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charts/chart6.xml" ContentType="application/vnd.openxmlformats-officedocument.drawingml.chart+xml"/>
  <Default Extension="svg" ContentType="image/svg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vbaProject.bin" ContentType="application/vnd.ms-office.vbaProject"/>
  <Override PartName="/xl/charts/style4.xml" ContentType="application/vnd.ms-office.chartstyle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charts/style2.xml" ContentType="application/vnd.ms-office.chartstyle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ables/table9.xml" ContentType="application/vnd.openxmlformats-officedocument.spreadsheetml.table+xml"/>
  <Default Extension="vml" ContentType="application/vnd.openxmlformats-officedocument.vmlDrawing"/>
  <Override PartName="/xl/calcChain.xml" ContentType="application/vnd.openxmlformats-officedocument.spreadsheetml.calcChain+xml"/>
  <Override PartName="/xl/charts/colors4.xml" ContentType="application/vnd.ms-office.chartcolorsty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olors3.xml" ContentType="application/vnd.ms-office.chartcolorstyle+xml"/>
  <Override PartName="/xl/charts/colors2.xml" ContentType="application/vnd.ms-office.chartcolorsty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pivotTables/pivotTable5.xml" ContentType="application/vnd.openxmlformats-officedocument.spreadsheetml.pivotTable+xml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charts/chart5.xml" ContentType="application/vnd.openxmlformats-officedocument.drawingml.chart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pivotTables/pivotTable1.xml" ContentType="application/vnd.openxmlformats-officedocument.spreadsheetml.pivotTable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tables/table11.xml" ContentType="application/vnd.openxmlformats-officedocument.spreadsheetml.table+xml"/>
  <Default Extension="emf" ContentType="image/x-emf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372AB895-14C1-FC20-EB20-F1B4BCFD95AE}"/>
  <workbookPr codeName="ThisWorkbook" hidePivotFieldList="1"/>
  <bookViews>
    <workbookView xWindow="-120" yWindow="-120" windowWidth="20730" windowHeight="11160" tabRatio="695" activeTab="3"/>
  </bookViews>
  <sheets>
    <sheet name="Feuil2" sheetId="3" r:id="rId1"/>
    <sheet name="partie mchn" sheetId="15" state="hidden" r:id="rId2"/>
    <sheet name="Menu" sheetId="26" r:id="rId3"/>
    <sheet name="CODE mchn" sheetId="5" r:id="rId4"/>
    <sheet name="BDD interv" sheetId="7" r:id="rId5"/>
    <sheet name="KPI Maintenance" sheetId="25" r:id="rId6"/>
    <sheet name="En cours" sheetId="9" r:id="rId7"/>
    <sheet name="Rappel" sheetId="19" r:id="rId8"/>
    <sheet name="Jrs arret" sheetId="13" state="hidden" r:id="rId9"/>
    <sheet name="TYP INTERV" sheetId="8" state="hidden" r:id="rId10"/>
    <sheet name="Hist mchine" sheetId="18" r:id="rId11"/>
    <sheet name="Suivi air comprimé" sheetId="28" r:id="rId12"/>
    <sheet name="Bdd Incidents" sheetId="31" r:id="rId13"/>
    <sheet name="Form PV incidents" sheetId="30" r:id="rId14"/>
    <sheet name="Etats Ponts roulants" sheetId="32" r:id="rId15"/>
  </sheets>
  <definedNames>
    <definedName name="ChronologieNative_Date_fin_intervention">#N/A</definedName>
    <definedName name="Segment_An">#N/A</definedName>
    <definedName name="Segment_Machine">#N/A</definedName>
    <definedName name="Segment_Mois">#N/A</definedName>
    <definedName name="Segment_Section">#N/A</definedName>
    <definedName name="_xlnm.Print_Area" localSheetId="11">'Suivi air comprimé'!$A$1:$S$9</definedName>
  </definedNames>
  <calcPr calcId="125725"/>
  <pivotCaches>
    <pivotCache cacheId="0" r:id="rId16"/>
    <pivotCache cacheId="1" r:id="rId17"/>
  </pivotCaches>
</workbook>
</file>

<file path=xl/calcChain.xml><?xml version="1.0" encoding="utf-8"?>
<calcChain xmlns="http://schemas.openxmlformats.org/spreadsheetml/2006/main">
  <c r="C2722" i="7"/>
  <c r="D2722"/>
  <c r="N2722"/>
  <c r="O2722"/>
  <c r="C2721"/>
  <c r="D2721"/>
  <c r="N2721"/>
  <c r="O2721"/>
  <c r="C2720"/>
  <c r="D2720"/>
  <c r="N2720"/>
  <c r="O2720"/>
  <c r="C2719"/>
  <c r="D2719"/>
  <c r="N2719"/>
  <c r="O2719"/>
  <c r="C2716"/>
  <c r="D2716"/>
  <c r="N2716"/>
  <c r="O2716"/>
  <c r="C2715"/>
  <c r="D2715"/>
  <c r="N2715"/>
  <c r="O2715"/>
  <c r="C2718"/>
  <c r="D2718"/>
  <c r="N2718"/>
  <c r="O2718"/>
  <c r="C2714"/>
  <c r="D2714"/>
  <c r="N2714"/>
  <c r="O2714"/>
  <c r="C2710"/>
  <c r="D2710"/>
  <c r="N2710"/>
  <c r="O2710"/>
  <c r="C2708"/>
  <c r="D2708"/>
  <c r="N2708"/>
  <c r="O2708"/>
  <c r="C2706"/>
  <c r="D2706"/>
  <c r="N2706"/>
  <c r="O2706"/>
  <c r="C2702"/>
  <c r="D2702"/>
  <c r="N2702"/>
  <c r="O2702"/>
  <c r="C2717"/>
  <c r="D2717"/>
  <c r="N2717"/>
  <c r="O2717"/>
  <c r="C2713"/>
  <c r="D2713"/>
  <c r="N2713"/>
  <c r="O2713"/>
  <c r="C2712"/>
  <c r="D2712"/>
  <c r="N2712"/>
  <c r="O2712"/>
  <c r="C2711"/>
  <c r="D2711"/>
  <c r="N2711"/>
  <c r="O2711"/>
  <c r="C2709"/>
  <c r="D2709"/>
  <c r="N2709"/>
  <c r="O2709"/>
  <c r="C2707"/>
  <c r="D2707"/>
  <c r="N2707"/>
  <c r="O2707"/>
  <c r="C2705"/>
  <c r="D2705"/>
  <c r="N2705"/>
  <c r="O2705"/>
  <c r="C2704"/>
  <c r="D2704"/>
  <c r="N2704"/>
  <c r="O2704"/>
  <c r="C2644"/>
  <c r="D2644"/>
  <c r="N2644"/>
  <c r="O2644"/>
  <c r="C2703"/>
  <c r="D2703"/>
  <c r="N2703"/>
  <c r="O2703"/>
  <c r="C2701"/>
  <c r="D2701"/>
  <c r="N2701"/>
  <c r="O2701"/>
  <c r="C2694"/>
  <c r="D2694"/>
  <c r="N2694"/>
  <c r="O2694"/>
  <c r="C2692"/>
  <c r="D2692"/>
  <c r="N2692"/>
  <c r="O2692"/>
  <c r="C2691"/>
  <c r="D2691"/>
  <c r="N2691"/>
  <c r="O2691"/>
  <c r="C2700"/>
  <c r="D2700"/>
  <c r="N2700"/>
  <c r="O2700"/>
  <c r="C2699"/>
  <c r="D2699"/>
  <c r="N2699"/>
  <c r="O2699"/>
  <c r="C2698"/>
  <c r="D2698"/>
  <c r="N2698"/>
  <c r="O2698"/>
  <c r="C2697"/>
  <c r="D2697"/>
  <c r="N2697"/>
  <c r="O2697"/>
  <c r="C2696"/>
  <c r="D2696"/>
  <c r="N2696"/>
  <c r="O2696"/>
  <c r="C2695"/>
  <c r="D2695"/>
  <c r="N2695"/>
  <c r="O2695"/>
  <c r="C2693"/>
  <c r="D2693"/>
  <c r="N2693"/>
  <c r="O2693"/>
  <c r="C2690"/>
  <c r="D2690"/>
  <c r="N2690"/>
  <c r="O2690"/>
  <c r="C2689"/>
  <c r="D2689"/>
  <c r="N2689"/>
  <c r="O2689"/>
  <c r="C2688"/>
  <c r="D2688"/>
  <c r="N2688"/>
  <c r="O2688"/>
  <c r="C2643" l="1"/>
  <c r="D2643"/>
  <c r="N2643"/>
  <c r="O2643"/>
  <c r="C2687"/>
  <c r="D2687"/>
  <c r="N2687"/>
  <c r="O2687"/>
  <c r="C2686"/>
  <c r="D2686"/>
  <c r="N2686"/>
  <c r="O2686"/>
  <c r="C2685"/>
  <c r="D2685"/>
  <c r="N2685"/>
  <c r="O2685"/>
  <c r="C2684"/>
  <c r="D2684"/>
  <c r="N2684"/>
  <c r="O2684"/>
  <c r="C2683"/>
  <c r="D2683"/>
  <c r="N2683"/>
  <c r="O2683"/>
  <c r="C2682"/>
  <c r="D2682"/>
  <c r="N2682"/>
  <c r="O2682"/>
  <c r="C2681"/>
  <c r="D2681"/>
  <c r="N2681"/>
  <c r="O2681"/>
  <c r="C2680"/>
  <c r="D2680"/>
  <c r="N2680"/>
  <c r="O2680"/>
  <c r="O2674"/>
  <c r="N2674"/>
  <c r="D2674"/>
  <c r="C2674"/>
  <c r="C2678"/>
  <c r="D2678"/>
  <c r="N2678"/>
  <c r="O2678"/>
  <c r="C2677"/>
  <c r="D2677"/>
  <c r="N2677"/>
  <c r="O2677"/>
  <c r="N2672" l="1"/>
  <c r="N2673"/>
  <c r="C2679"/>
  <c r="N2679"/>
  <c r="O2679"/>
  <c r="D2667"/>
  <c r="D2672"/>
  <c r="D2673"/>
  <c r="D2675"/>
  <c r="D2676"/>
  <c r="D2679"/>
  <c r="O2665"/>
  <c r="O2666"/>
  <c r="O2667"/>
  <c r="O2672"/>
  <c r="O2673"/>
  <c r="O2675"/>
  <c r="N2665"/>
  <c r="N2666"/>
  <c r="N2667"/>
  <c r="D2665"/>
  <c r="D2666"/>
  <c r="C2665"/>
  <c r="C2666"/>
  <c r="C2667"/>
  <c r="C2672"/>
  <c r="C2673"/>
  <c r="C2675"/>
  <c r="C2676"/>
  <c r="N2675"/>
  <c r="N2676"/>
  <c r="O2676"/>
  <c r="C2659"/>
  <c r="D2659"/>
  <c r="N2659"/>
  <c r="O2659"/>
  <c r="C2657"/>
  <c r="D2657"/>
  <c r="N2657"/>
  <c r="O2657"/>
  <c r="C2655"/>
  <c r="D2655"/>
  <c r="N2655"/>
  <c r="O2655"/>
  <c r="C2651"/>
  <c r="D2651"/>
  <c r="N2651"/>
  <c r="O2651"/>
  <c r="C2650"/>
  <c r="D2650"/>
  <c r="N2650"/>
  <c r="O2650"/>
  <c r="C2649"/>
  <c r="D2649"/>
  <c r="N2649"/>
  <c r="O2649"/>
  <c r="C2648"/>
  <c r="D2648"/>
  <c r="N2648"/>
  <c r="O2648"/>
  <c r="C2647"/>
  <c r="D2647"/>
  <c r="N2647"/>
  <c r="O2647"/>
  <c r="C2671"/>
  <c r="D2671"/>
  <c r="N2671"/>
  <c r="O2671"/>
  <c r="C2670"/>
  <c r="D2670"/>
  <c r="N2670"/>
  <c r="O2670"/>
  <c r="C2669"/>
  <c r="D2669"/>
  <c r="N2669"/>
  <c r="O2669"/>
  <c r="C2668"/>
  <c r="D2668"/>
  <c r="N2668"/>
  <c r="O2668"/>
  <c r="C2664"/>
  <c r="D2664"/>
  <c r="N2664"/>
  <c r="O2664"/>
  <c r="C2663"/>
  <c r="D2663"/>
  <c r="N2663"/>
  <c r="O2663"/>
  <c r="C2662"/>
  <c r="D2662"/>
  <c r="N2662"/>
  <c r="O2662"/>
  <c r="C2661"/>
  <c r="D2661"/>
  <c r="N2661"/>
  <c r="O2661"/>
  <c r="C2660"/>
  <c r="D2660"/>
  <c r="N2660"/>
  <c r="O2660"/>
  <c r="C2658"/>
  <c r="D2658"/>
  <c r="N2658"/>
  <c r="O2658"/>
  <c r="C2623"/>
  <c r="D2623"/>
  <c r="N2623"/>
  <c r="O2623"/>
  <c r="C2656"/>
  <c r="D2656"/>
  <c r="N2656"/>
  <c r="O2656"/>
  <c r="C2654"/>
  <c r="D2654"/>
  <c r="N2654"/>
  <c r="O2654"/>
  <c r="C2653"/>
  <c r="D2653"/>
  <c r="N2653"/>
  <c r="O2653"/>
  <c r="C2652"/>
  <c r="D2652"/>
  <c r="N2652"/>
  <c r="O2652"/>
  <c r="C2646"/>
  <c r="D2646"/>
  <c r="N2646"/>
  <c r="O2646"/>
  <c r="N2640"/>
  <c r="C2640"/>
  <c r="D2640"/>
  <c r="O2640"/>
  <c r="C2645"/>
  <c r="D2645"/>
  <c r="N2645"/>
  <c r="O2645"/>
  <c r="C2642"/>
  <c r="D2642"/>
  <c r="N2642"/>
  <c r="O2642"/>
  <c r="C2641"/>
  <c r="D2641"/>
  <c r="N2641"/>
  <c r="O2641"/>
  <c r="C2639"/>
  <c r="D2639"/>
  <c r="N2639"/>
  <c r="O2639"/>
  <c r="C2637"/>
  <c r="D2637"/>
  <c r="N2637"/>
  <c r="O2637"/>
  <c r="C2634"/>
  <c r="D2634"/>
  <c r="N2634"/>
  <c r="O2634"/>
  <c r="C2633"/>
  <c r="D2633"/>
  <c r="N2633"/>
  <c r="O2633"/>
  <c r="C2631"/>
  <c r="D2631"/>
  <c r="N2631"/>
  <c r="O2631"/>
  <c r="C2628"/>
  <c r="D2628"/>
  <c r="N2628"/>
  <c r="O2628"/>
  <c r="C2622"/>
  <c r="D2622"/>
  <c r="N2622"/>
  <c r="O2622"/>
  <c r="C2618"/>
  <c r="D2618"/>
  <c r="N2618"/>
  <c r="O2618"/>
  <c r="C2617"/>
  <c r="D2617"/>
  <c r="N2617"/>
  <c r="O2617"/>
  <c r="C2616"/>
  <c r="D2616"/>
  <c r="N2616"/>
  <c r="O2616"/>
  <c r="C2614"/>
  <c r="D2614"/>
  <c r="N2614"/>
  <c r="O2614"/>
  <c r="C2613"/>
  <c r="D2613"/>
  <c r="N2613"/>
  <c r="O2613"/>
  <c r="C2611"/>
  <c r="D2611"/>
  <c r="N2611"/>
  <c r="O2611"/>
  <c r="O2610"/>
  <c r="N2610"/>
  <c r="C2610"/>
  <c r="D2610"/>
  <c r="C2607"/>
  <c r="D2607"/>
  <c r="N2607"/>
  <c r="O2607"/>
  <c r="C2606"/>
  <c r="D2606"/>
  <c r="N2606"/>
  <c r="O2606"/>
  <c r="C2597"/>
  <c r="D2597"/>
  <c r="N2597"/>
  <c r="O2597"/>
  <c r="C2590"/>
  <c r="D2590"/>
  <c r="N2590"/>
  <c r="O2590"/>
  <c r="C2584"/>
  <c r="D2584"/>
  <c r="N2584"/>
  <c r="O2584"/>
  <c r="C2580"/>
  <c r="D2580"/>
  <c r="N2580"/>
  <c r="O2580"/>
  <c r="C2579"/>
  <c r="D2579"/>
  <c r="N2579"/>
  <c r="O2579"/>
  <c r="C2578"/>
  <c r="D2578"/>
  <c r="N2578"/>
  <c r="O2578"/>
  <c r="C2577"/>
  <c r="D2577"/>
  <c r="N2577"/>
  <c r="O2577"/>
  <c r="C2575"/>
  <c r="D2575"/>
  <c r="N2575"/>
  <c r="O2575"/>
  <c r="C2574"/>
  <c r="D2574"/>
  <c r="N2574"/>
  <c r="O2574"/>
  <c r="C2573"/>
  <c r="D2573"/>
  <c r="N2573"/>
  <c r="O2573"/>
  <c r="C2572"/>
  <c r="D2572"/>
  <c r="N2572"/>
  <c r="O2572"/>
  <c r="C2638"/>
  <c r="D2638"/>
  <c r="N2638"/>
  <c r="O2638"/>
  <c r="C2636"/>
  <c r="D2636"/>
  <c r="N2636"/>
  <c r="O2636"/>
  <c r="C2635"/>
  <c r="D2635"/>
  <c r="N2635"/>
  <c r="O2635"/>
  <c r="C2632"/>
  <c r="D2632"/>
  <c r="N2632"/>
  <c r="O2632"/>
  <c r="C2630"/>
  <c r="D2630"/>
  <c r="N2630"/>
  <c r="O2630"/>
  <c r="C2629"/>
  <c r="D2629"/>
  <c r="N2629"/>
  <c r="O2629"/>
  <c r="C2627"/>
  <c r="D2627"/>
  <c r="N2627"/>
  <c r="O2627"/>
  <c r="C2626"/>
  <c r="D2626"/>
  <c r="N2626"/>
  <c r="O2626"/>
  <c r="C2625"/>
  <c r="D2625"/>
  <c r="N2625"/>
  <c r="O2625"/>
  <c r="C2624"/>
  <c r="D2624"/>
  <c r="N2624"/>
  <c r="O2624"/>
  <c r="C2571"/>
  <c r="D2571"/>
  <c r="N2571"/>
  <c r="O2571"/>
  <c r="C2621"/>
  <c r="D2621"/>
  <c r="N2621"/>
  <c r="O2621"/>
  <c r="C2620"/>
  <c r="D2620"/>
  <c r="N2620"/>
  <c r="O2620"/>
  <c r="C2619"/>
  <c r="D2619"/>
  <c r="N2619"/>
  <c r="O2619"/>
  <c r="C2615"/>
  <c r="D2615"/>
  <c r="N2615"/>
  <c r="O2615"/>
  <c r="C2612"/>
  <c r="D2612"/>
  <c r="N2612"/>
  <c r="O2612"/>
  <c r="C2609"/>
  <c r="D2609"/>
  <c r="N2609"/>
  <c r="O2609"/>
  <c r="C2608"/>
  <c r="D2608"/>
  <c r="N2608"/>
  <c r="O2608"/>
  <c r="C2605"/>
  <c r="D2605"/>
  <c r="N2605"/>
  <c r="O2605"/>
  <c r="C2604"/>
  <c r="D2604"/>
  <c r="N2604"/>
  <c r="O2604"/>
  <c r="C2603"/>
  <c r="D2603"/>
  <c r="N2603"/>
  <c r="O2603"/>
  <c r="C2602"/>
  <c r="D2602"/>
  <c r="N2602"/>
  <c r="O2602"/>
  <c r="C2601"/>
  <c r="D2601"/>
  <c r="N2601"/>
  <c r="O2601"/>
  <c r="C2600"/>
  <c r="D2600"/>
  <c r="N2600"/>
  <c r="O2600"/>
  <c r="C2599"/>
  <c r="D2599"/>
  <c r="N2599"/>
  <c r="O2599"/>
  <c r="C2598"/>
  <c r="D2598"/>
  <c r="N2598"/>
  <c r="O2598"/>
  <c r="C2595"/>
  <c r="D2595"/>
  <c r="N2595"/>
  <c r="O2595"/>
  <c r="C2596"/>
  <c r="D2596"/>
  <c r="N2596"/>
  <c r="O2596"/>
  <c r="C2594"/>
  <c r="D2594"/>
  <c r="N2594"/>
  <c r="O2594"/>
  <c r="C2593"/>
  <c r="D2593"/>
  <c r="N2593"/>
  <c r="O2593"/>
  <c r="C2592"/>
  <c r="D2592"/>
  <c r="N2592"/>
  <c r="O2592"/>
  <c r="C2591"/>
  <c r="D2591"/>
  <c r="N2591"/>
  <c r="O2591"/>
  <c r="C2589"/>
  <c r="D2589"/>
  <c r="N2589"/>
  <c r="O2589"/>
  <c r="C2588"/>
  <c r="D2588"/>
  <c r="N2588"/>
  <c r="O2588"/>
  <c r="C2587"/>
  <c r="D2587"/>
  <c r="N2587"/>
  <c r="O2587"/>
  <c r="C2586"/>
  <c r="D2586"/>
  <c r="N2586"/>
  <c r="O2586"/>
  <c r="C2585"/>
  <c r="D2585"/>
  <c r="N2585"/>
  <c r="O2585"/>
  <c r="C2583"/>
  <c r="D2583"/>
  <c r="N2583"/>
  <c r="O2583"/>
  <c r="C2582"/>
  <c r="D2582"/>
  <c r="N2582"/>
  <c r="O2582"/>
  <c r="C2581"/>
  <c r="D2581"/>
  <c r="N2581"/>
  <c r="O2581"/>
  <c r="C2570"/>
  <c r="D2570"/>
  <c r="D2576"/>
  <c r="N2576"/>
  <c r="O2576"/>
  <c r="C2576"/>
  <c r="D2568"/>
  <c r="C2568"/>
  <c r="D2565"/>
  <c r="C2565"/>
  <c r="N2570"/>
  <c r="O2570"/>
  <c r="C2569"/>
  <c r="D2569"/>
  <c r="N2569"/>
  <c r="O2569"/>
  <c r="N2568"/>
  <c r="O2568"/>
  <c r="N2565"/>
  <c r="O2565"/>
  <c r="M2523" l="1"/>
  <c r="C2523"/>
  <c r="D2523"/>
  <c r="N2523"/>
  <c r="O2523"/>
  <c r="M2543"/>
  <c r="C2543"/>
  <c r="D2543"/>
  <c r="N2543"/>
  <c r="O2543"/>
  <c r="M2557"/>
  <c r="C2557"/>
  <c r="D2557"/>
  <c r="N2557"/>
  <c r="O2557"/>
  <c r="M2566" l="1"/>
  <c r="C2566"/>
  <c r="D2566"/>
  <c r="N2566"/>
  <c r="O2566"/>
  <c r="C2564"/>
  <c r="D2564"/>
  <c r="N2564"/>
  <c r="O2564"/>
  <c r="M2562"/>
  <c r="C2562"/>
  <c r="D2562"/>
  <c r="N2562"/>
  <c r="O2562"/>
  <c r="C2556"/>
  <c r="D2556"/>
  <c r="N2556"/>
  <c r="O2556"/>
  <c r="C2555"/>
  <c r="D2555"/>
  <c r="N2555"/>
  <c r="O2555"/>
  <c r="M2553"/>
  <c r="C2553"/>
  <c r="D2553"/>
  <c r="N2553"/>
  <c r="O2553"/>
  <c r="C2551"/>
  <c r="D2551"/>
  <c r="N2551"/>
  <c r="O2551"/>
  <c r="M2520"/>
  <c r="C2520"/>
  <c r="D2520"/>
  <c r="N2520"/>
  <c r="O2520"/>
  <c r="C2517"/>
  <c r="D2517"/>
  <c r="N2517"/>
  <c r="O2517"/>
  <c r="C2500"/>
  <c r="D2500"/>
  <c r="N2500"/>
  <c r="O2500"/>
  <c r="M2515"/>
  <c r="C2515"/>
  <c r="D2515"/>
  <c r="N2515"/>
  <c r="O2515"/>
  <c r="C2513"/>
  <c r="D2513"/>
  <c r="N2513"/>
  <c r="O2513"/>
  <c r="C2506"/>
  <c r="D2506"/>
  <c r="N2506"/>
  <c r="O2506"/>
  <c r="C2511"/>
  <c r="D2511"/>
  <c r="N2511"/>
  <c r="O2511"/>
  <c r="N2508"/>
  <c r="C2508"/>
  <c r="D2508"/>
  <c r="O2508"/>
  <c r="M2507"/>
  <c r="C2507"/>
  <c r="D2507"/>
  <c r="N2507"/>
  <c r="O2507"/>
  <c r="C2503"/>
  <c r="D2503"/>
  <c r="N2503"/>
  <c r="O2503"/>
  <c r="C2502"/>
  <c r="D2502"/>
  <c r="N2502"/>
  <c r="O2502"/>
  <c r="M2567"/>
  <c r="C2567"/>
  <c r="D2567"/>
  <c r="N2567"/>
  <c r="O2567"/>
  <c r="M2504"/>
  <c r="C2504"/>
  <c r="D2504"/>
  <c r="N2504"/>
  <c r="O2504"/>
  <c r="M2501"/>
  <c r="C2501"/>
  <c r="D2501"/>
  <c r="N2501"/>
  <c r="O2501"/>
  <c r="C2483"/>
  <c r="D2483"/>
  <c r="N2483"/>
  <c r="O2483"/>
  <c r="M2563"/>
  <c r="C2563"/>
  <c r="D2563"/>
  <c r="N2563"/>
  <c r="O2563"/>
  <c r="C2561"/>
  <c r="D2561"/>
  <c r="N2561"/>
  <c r="O2561"/>
  <c r="C2560"/>
  <c r="D2560"/>
  <c r="N2560"/>
  <c r="O2560"/>
  <c r="C2559"/>
  <c r="D2559"/>
  <c r="N2559"/>
  <c r="O2559"/>
  <c r="M2558"/>
  <c r="C2558"/>
  <c r="D2558"/>
  <c r="N2558"/>
  <c r="O2558"/>
  <c r="C2554"/>
  <c r="D2554"/>
  <c r="N2554"/>
  <c r="O2554"/>
  <c r="M2552"/>
  <c r="C2552"/>
  <c r="D2552"/>
  <c r="N2552"/>
  <c r="O2552"/>
  <c r="C2538"/>
  <c r="D2538"/>
  <c r="N2538"/>
  <c r="O2538"/>
  <c r="C2522"/>
  <c r="D2522"/>
  <c r="N2522"/>
  <c r="O2522"/>
  <c r="C2519"/>
  <c r="D2519"/>
  <c r="N2519"/>
  <c r="O2519"/>
  <c r="C2516"/>
  <c r="D2516"/>
  <c r="N2516"/>
  <c r="O2516"/>
  <c r="M2518"/>
  <c r="N2518"/>
  <c r="C2518"/>
  <c r="D2518"/>
  <c r="O2518"/>
  <c r="M2531"/>
  <c r="C2531"/>
  <c r="D2531"/>
  <c r="N2531"/>
  <c r="O2531"/>
  <c r="M2514"/>
  <c r="C2514"/>
  <c r="D2514"/>
  <c r="N2514"/>
  <c r="O2514"/>
  <c r="M2512"/>
  <c r="C2512"/>
  <c r="D2512"/>
  <c r="N2512"/>
  <c r="O2512"/>
  <c r="C2510"/>
  <c r="D2510"/>
  <c r="N2510"/>
  <c r="O2510"/>
  <c r="M2505"/>
  <c r="C2505"/>
  <c r="D2505"/>
  <c r="N2505"/>
  <c r="O2505"/>
  <c r="C2550" l="1"/>
  <c r="D2550"/>
  <c r="N2550"/>
  <c r="O2550"/>
  <c r="C2548"/>
  <c r="D2548"/>
  <c r="N2548"/>
  <c r="O2548"/>
  <c r="C2547"/>
  <c r="D2547"/>
  <c r="N2547"/>
  <c r="O2547"/>
  <c r="C2549"/>
  <c r="D2549"/>
  <c r="N2549"/>
  <c r="O2549"/>
  <c r="C2546"/>
  <c r="D2546"/>
  <c r="N2546"/>
  <c r="O2546"/>
  <c r="C2545"/>
  <c r="D2545"/>
  <c r="N2545"/>
  <c r="O2545"/>
  <c r="M2544"/>
  <c r="C2544"/>
  <c r="D2544"/>
  <c r="N2544"/>
  <c r="O2544"/>
  <c r="C2542"/>
  <c r="D2542"/>
  <c r="N2542"/>
  <c r="O2542"/>
  <c r="C2540"/>
  <c r="D2540"/>
  <c r="N2540"/>
  <c r="O2540"/>
  <c r="C2536"/>
  <c r="D2536"/>
  <c r="N2536"/>
  <c r="O2536"/>
  <c r="C2535"/>
  <c r="D2535"/>
  <c r="N2535"/>
  <c r="O2535"/>
  <c r="M2527"/>
  <c r="C2527"/>
  <c r="D2527"/>
  <c r="N2527"/>
  <c r="O2527"/>
  <c r="M2526"/>
  <c r="C2526"/>
  <c r="D2526"/>
  <c r="N2526"/>
  <c r="O2526"/>
  <c r="M2525"/>
  <c r="C2525"/>
  <c r="D2525"/>
  <c r="N2525"/>
  <c r="O2525"/>
  <c r="M2541"/>
  <c r="C2541"/>
  <c r="D2541"/>
  <c r="N2541"/>
  <c r="O2541"/>
  <c r="C2539"/>
  <c r="D2539"/>
  <c r="N2539"/>
  <c r="O2539"/>
  <c r="M2537"/>
  <c r="C2537"/>
  <c r="D2537"/>
  <c r="N2537"/>
  <c r="O2537"/>
  <c r="C2534"/>
  <c r="D2534"/>
  <c r="N2534"/>
  <c r="O2534"/>
  <c r="C2533"/>
  <c r="D2533"/>
  <c r="N2533"/>
  <c r="O2533"/>
  <c r="M2532"/>
  <c r="C2532"/>
  <c r="D2532"/>
  <c r="N2532"/>
  <c r="O2532"/>
  <c r="M2530"/>
  <c r="M2521"/>
  <c r="C2530"/>
  <c r="D2530"/>
  <c r="N2530"/>
  <c r="O2530"/>
  <c r="C2529"/>
  <c r="D2529"/>
  <c r="N2529"/>
  <c r="O2529"/>
  <c r="M2528"/>
  <c r="C2528"/>
  <c r="D2528"/>
  <c r="N2528"/>
  <c r="O2528"/>
  <c r="C2524"/>
  <c r="D2524"/>
  <c r="N2524"/>
  <c r="O2524"/>
  <c r="C2521"/>
  <c r="D2521"/>
  <c r="N2521"/>
  <c r="O2521"/>
  <c r="M2509" l="1"/>
  <c r="C2509"/>
  <c r="D2509"/>
  <c r="N2509"/>
  <c r="O2509"/>
  <c r="C2493" l="1"/>
  <c r="D2493"/>
  <c r="N2493"/>
  <c r="O2493"/>
  <c r="M2484"/>
  <c r="C2484"/>
  <c r="D2484"/>
  <c r="N2484"/>
  <c r="O2484"/>
  <c r="M2496"/>
  <c r="C2496"/>
  <c r="D2496"/>
  <c r="N2496"/>
  <c r="O2496"/>
  <c r="C2498"/>
  <c r="D2498"/>
  <c r="N2498"/>
  <c r="O2498"/>
  <c r="C2497"/>
  <c r="D2497"/>
  <c r="N2497"/>
  <c r="O2497"/>
  <c r="C2495"/>
  <c r="D2495"/>
  <c r="N2495"/>
  <c r="O2495"/>
  <c r="C2492"/>
  <c r="D2492"/>
  <c r="N2492"/>
  <c r="O2492"/>
  <c r="M2490"/>
  <c r="C2490"/>
  <c r="D2490"/>
  <c r="N2490"/>
  <c r="O2490"/>
  <c r="C2499"/>
  <c r="D2499"/>
  <c r="N2499"/>
  <c r="O2499"/>
  <c r="C2494"/>
  <c r="D2494"/>
  <c r="N2494"/>
  <c r="O2494"/>
  <c r="C2491"/>
  <c r="D2491"/>
  <c r="N2491"/>
  <c r="O2491"/>
  <c r="C2488"/>
  <c r="D2488"/>
  <c r="N2488"/>
  <c r="O2488"/>
  <c r="C2487"/>
  <c r="D2487"/>
  <c r="N2487"/>
  <c r="O2487"/>
  <c r="M2486"/>
  <c r="C2486"/>
  <c r="D2486"/>
  <c r="N2486"/>
  <c r="O2486"/>
  <c r="C2485"/>
  <c r="D2485"/>
  <c r="N2485"/>
  <c r="O2485"/>
  <c r="C2482"/>
  <c r="D2482"/>
  <c r="N2482"/>
  <c r="O2482"/>
  <c r="C2481"/>
  <c r="D2481"/>
  <c r="N2481"/>
  <c r="O2481"/>
  <c r="C2477"/>
  <c r="D2477"/>
  <c r="N2477"/>
  <c r="O2477"/>
  <c r="C2476"/>
  <c r="D2476"/>
  <c r="N2476"/>
  <c r="O2476"/>
  <c r="C2475"/>
  <c r="D2475"/>
  <c r="N2475"/>
  <c r="O2475"/>
  <c r="C2474"/>
  <c r="D2474"/>
  <c r="N2474"/>
  <c r="O2474"/>
  <c r="C2473"/>
  <c r="D2473"/>
  <c r="N2473"/>
  <c r="O2473"/>
  <c r="C2472"/>
  <c r="D2472"/>
  <c r="N2472"/>
  <c r="O2472"/>
  <c r="C2469"/>
  <c r="D2469"/>
  <c r="N2469"/>
  <c r="O2469"/>
  <c r="M2468"/>
  <c r="C2468"/>
  <c r="D2468"/>
  <c r="N2468"/>
  <c r="O2468"/>
  <c r="M2467"/>
  <c r="C2467"/>
  <c r="D2467"/>
  <c r="N2467"/>
  <c r="O2467"/>
  <c r="C2466"/>
  <c r="D2466"/>
  <c r="N2466"/>
  <c r="O2466"/>
  <c r="C2465"/>
  <c r="D2465"/>
  <c r="N2465"/>
  <c r="O2465"/>
  <c r="C2464"/>
  <c r="D2464"/>
  <c r="N2464"/>
  <c r="O2464"/>
  <c r="C2461"/>
  <c r="D2461"/>
  <c r="N2461"/>
  <c r="O2461"/>
  <c r="C2460"/>
  <c r="D2460"/>
  <c r="N2460"/>
  <c r="O2460"/>
  <c r="C2459"/>
  <c r="D2459"/>
  <c r="N2459"/>
  <c r="O2459"/>
  <c r="C2489" l="1"/>
  <c r="D2489"/>
  <c r="N2489"/>
  <c r="O2489"/>
  <c r="M2480"/>
  <c r="C2480"/>
  <c r="D2480"/>
  <c r="N2480"/>
  <c r="O2480"/>
  <c r="C2479"/>
  <c r="D2479"/>
  <c r="N2479"/>
  <c r="O2479"/>
  <c r="M2478"/>
  <c r="C2478"/>
  <c r="D2478"/>
  <c r="N2478"/>
  <c r="O2478"/>
  <c r="M2471"/>
  <c r="C2471"/>
  <c r="D2471"/>
  <c r="N2471"/>
  <c r="O2471"/>
  <c r="C2470"/>
  <c r="D2470"/>
  <c r="N2470"/>
  <c r="O2470"/>
  <c r="C2463"/>
  <c r="D2463"/>
  <c r="N2463"/>
  <c r="O2463"/>
  <c r="C2462"/>
  <c r="D2462"/>
  <c r="N2462"/>
  <c r="O2462"/>
  <c r="C2458" l="1"/>
  <c r="D2458"/>
  <c r="N2458"/>
  <c r="O2458"/>
  <c r="C2438"/>
  <c r="D2438"/>
  <c r="N2438"/>
  <c r="O2438"/>
  <c r="M2421"/>
  <c r="C2421"/>
  <c r="D2421"/>
  <c r="N2421"/>
  <c r="O2421"/>
  <c r="C2424"/>
  <c r="D2424"/>
  <c r="N2424"/>
  <c r="O2424"/>
  <c r="C2457"/>
  <c r="D2457"/>
  <c r="N2457"/>
  <c r="O2457"/>
  <c r="C2443"/>
  <c r="D2443"/>
  <c r="N2443"/>
  <c r="O2443"/>
  <c r="M2434"/>
  <c r="C2434"/>
  <c r="D2434"/>
  <c r="N2434"/>
  <c r="O2434"/>
  <c r="C2432"/>
  <c r="D2432"/>
  <c r="N2432"/>
  <c r="O2432"/>
  <c r="C2429"/>
  <c r="D2429"/>
  <c r="N2429"/>
  <c r="O2429"/>
  <c r="C2428"/>
  <c r="D2428"/>
  <c r="N2428"/>
  <c r="O2428"/>
  <c r="C2420"/>
  <c r="D2420"/>
  <c r="N2420"/>
  <c r="O2420"/>
  <c r="M2456"/>
  <c r="C2456"/>
  <c r="D2456"/>
  <c r="N2456"/>
  <c r="O2456"/>
  <c r="C2455"/>
  <c r="D2455"/>
  <c r="N2455"/>
  <c r="O2455"/>
  <c r="C2454"/>
  <c r="D2454"/>
  <c r="N2454"/>
  <c r="O2454"/>
  <c r="C2453"/>
  <c r="D2453"/>
  <c r="N2453"/>
  <c r="O2453"/>
  <c r="C2452"/>
  <c r="D2452"/>
  <c r="N2452"/>
  <c r="O2452"/>
  <c r="M2451"/>
  <c r="C2451"/>
  <c r="D2451"/>
  <c r="N2451"/>
  <c r="O2451"/>
  <c r="C2450"/>
  <c r="D2450"/>
  <c r="N2450"/>
  <c r="O2450"/>
  <c r="C2449"/>
  <c r="D2449"/>
  <c r="N2449"/>
  <c r="O2449"/>
  <c r="M2448"/>
  <c r="C2448"/>
  <c r="D2448"/>
  <c r="N2448"/>
  <c r="O2448"/>
  <c r="C2446"/>
  <c r="D2446"/>
  <c r="N2446"/>
  <c r="O2446"/>
  <c r="C2447"/>
  <c r="D2447"/>
  <c r="N2447"/>
  <c r="O2447"/>
  <c r="M2445"/>
  <c r="C2445"/>
  <c r="D2445"/>
  <c r="N2445"/>
  <c r="O2445"/>
  <c r="C2444"/>
  <c r="D2444"/>
  <c r="N2444"/>
  <c r="O2444"/>
  <c r="C2442"/>
  <c r="D2442"/>
  <c r="N2442"/>
  <c r="O2442"/>
  <c r="C2441"/>
  <c r="D2441"/>
  <c r="N2441"/>
  <c r="O2441"/>
  <c r="C2440"/>
  <c r="D2440"/>
  <c r="N2440"/>
  <c r="O2440"/>
  <c r="M2439"/>
  <c r="C2439"/>
  <c r="D2439"/>
  <c r="N2439"/>
  <c r="O2439"/>
  <c r="M2437"/>
  <c r="C2437"/>
  <c r="D2437"/>
  <c r="N2437"/>
  <c r="O2437"/>
  <c r="C2436"/>
  <c r="D2436"/>
  <c r="N2436"/>
  <c r="O2436"/>
  <c r="C2435"/>
  <c r="D2435"/>
  <c r="N2435"/>
  <c r="O2435"/>
  <c r="C2433"/>
  <c r="D2433"/>
  <c r="N2433"/>
  <c r="O2433"/>
  <c r="M2431"/>
  <c r="C2431"/>
  <c r="D2431"/>
  <c r="N2431"/>
  <c r="O2431"/>
  <c r="C2430"/>
  <c r="D2430"/>
  <c r="N2430"/>
  <c r="O2430"/>
  <c r="C2427"/>
  <c r="D2427"/>
  <c r="N2427"/>
  <c r="O2427"/>
  <c r="C2426"/>
  <c r="D2426"/>
  <c r="N2426"/>
  <c r="O2426"/>
  <c r="C2425"/>
  <c r="D2425"/>
  <c r="N2425"/>
  <c r="O2425"/>
  <c r="C2423"/>
  <c r="D2423"/>
  <c r="N2423"/>
  <c r="O2423"/>
  <c r="C2422"/>
  <c r="D2422"/>
  <c r="N2422"/>
  <c r="O2422"/>
  <c r="C2419"/>
  <c r="D2419"/>
  <c r="N2419"/>
  <c r="O2419"/>
  <c r="C2416" l="1"/>
  <c r="D2416"/>
  <c r="N2416"/>
  <c r="O2416"/>
  <c r="C2414"/>
  <c r="D2414"/>
  <c r="N2414"/>
  <c r="O2414"/>
  <c r="C2413"/>
  <c r="D2413"/>
  <c r="N2413"/>
  <c r="O2413"/>
  <c r="M2411"/>
  <c r="C2411"/>
  <c r="D2411"/>
  <c r="N2411"/>
  <c r="O2411"/>
  <c r="C2418"/>
  <c r="D2418"/>
  <c r="N2418"/>
  <c r="O2418"/>
  <c r="C2417"/>
  <c r="D2417"/>
  <c r="N2417"/>
  <c r="O2417"/>
  <c r="C2415"/>
  <c r="D2415"/>
  <c r="N2415"/>
  <c r="O2415"/>
  <c r="C2409"/>
  <c r="D2409"/>
  <c r="N2409"/>
  <c r="O2409"/>
  <c r="M2408"/>
  <c r="C2408"/>
  <c r="D2408"/>
  <c r="N2408"/>
  <c r="O2408"/>
  <c r="O2306" l="1"/>
  <c r="O2307"/>
  <c r="O2308"/>
  <c r="O2309"/>
  <c r="O2310"/>
  <c r="O2311"/>
  <c r="O2312"/>
  <c r="O2313"/>
  <c r="O2314"/>
  <c r="O2315"/>
  <c r="O2316"/>
  <c r="O2317"/>
  <c r="O2318"/>
  <c r="O2319"/>
  <c r="O2320"/>
  <c r="O2321"/>
  <c r="O2322"/>
  <c r="O2323"/>
  <c r="O2324"/>
  <c r="O2325"/>
  <c r="O2326"/>
  <c r="O2327"/>
  <c r="O2328"/>
  <c r="O2329"/>
  <c r="O2330"/>
  <c r="O2331"/>
  <c r="O2332"/>
  <c r="O2333"/>
  <c r="O2334"/>
  <c r="O2335"/>
  <c r="O2336"/>
  <c r="O2337"/>
  <c r="O2338"/>
  <c r="O2339"/>
  <c r="O2340"/>
  <c r="O2341"/>
  <c r="O2342"/>
  <c r="O2343"/>
  <c r="O2344"/>
  <c r="O2345"/>
  <c r="O2346"/>
  <c r="O2347"/>
  <c r="O2348"/>
  <c r="O2349"/>
  <c r="O2350"/>
  <c r="O2351"/>
  <c r="O2352"/>
  <c r="O2353"/>
  <c r="O2354"/>
  <c r="O2355"/>
  <c r="O2356"/>
  <c r="O2357"/>
  <c r="O2358"/>
  <c r="O2359"/>
  <c r="O2360"/>
  <c r="O2361"/>
  <c r="O2362"/>
  <c r="O2363"/>
  <c r="O2364"/>
  <c r="O2365"/>
  <c r="O2366"/>
  <c r="O2367"/>
  <c r="O2368"/>
  <c r="O2369"/>
  <c r="O2370"/>
  <c r="O2371"/>
  <c r="O2372"/>
  <c r="O2373"/>
  <c r="O2374"/>
  <c r="O2375"/>
  <c r="O2376"/>
  <c r="O2377"/>
  <c r="O2378"/>
  <c r="O2379"/>
  <c r="O2380"/>
  <c r="O2381"/>
  <c r="O2382"/>
  <c r="O2383"/>
  <c r="O2384"/>
  <c r="O2385"/>
  <c r="O2386"/>
  <c r="O2387"/>
  <c r="O2388"/>
  <c r="O2389"/>
  <c r="O2390"/>
  <c r="O2391"/>
  <c r="O2392"/>
  <c r="O2393"/>
  <c r="O2394"/>
  <c r="O2395"/>
  <c r="O2396"/>
  <c r="O2397"/>
  <c r="O2398"/>
  <c r="O2399"/>
  <c r="O2400"/>
  <c r="O2401"/>
  <c r="O2402"/>
  <c r="O2403"/>
  <c r="O2404"/>
  <c r="O2405"/>
  <c r="O2406"/>
  <c r="O2407"/>
  <c r="O2410"/>
  <c r="O2412"/>
  <c r="N2307"/>
  <c r="N2308"/>
  <c r="N2309"/>
  <c r="N2310"/>
  <c r="N2311"/>
  <c r="N2312"/>
  <c r="N2313"/>
  <c r="N2314"/>
  <c r="N2315"/>
  <c r="N2316"/>
  <c r="N2317"/>
  <c r="N2318"/>
  <c r="N2319"/>
  <c r="N2320"/>
  <c r="N2321"/>
  <c r="N2322"/>
  <c r="N2323"/>
  <c r="N2324"/>
  <c r="N2325"/>
  <c r="N2326"/>
  <c r="N2327"/>
  <c r="N2328"/>
  <c r="N2329"/>
  <c r="N2330"/>
  <c r="N2331"/>
  <c r="N2332"/>
  <c r="N2333"/>
  <c r="N2334"/>
  <c r="N2335"/>
  <c r="N2336"/>
  <c r="N2337"/>
  <c r="N2338"/>
  <c r="N2339"/>
  <c r="N2340"/>
  <c r="N2341"/>
  <c r="N2342"/>
  <c r="N2343"/>
  <c r="N2344"/>
  <c r="N2345"/>
  <c r="N2346"/>
  <c r="N2347"/>
  <c r="N2348"/>
  <c r="N2349"/>
  <c r="N2350"/>
  <c r="N2351"/>
  <c r="N2352"/>
  <c r="N2353"/>
  <c r="N2354"/>
  <c r="N2355"/>
  <c r="N2356"/>
  <c r="N2357"/>
  <c r="N2358"/>
  <c r="N2359"/>
  <c r="N2360"/>
  <c r="N2361"/>
  <c r="N2362"/>
  <c r="N2363"/>
  <c r="N2364"/>
  <c r="N2365"/>
  <c r="N2366"/>
  <c r="N2367"/>
  <c r="N2368"/>
  <c r="N2369"/>
  <c r="N2370"/>
  <c r="N2371"/>
  <c r="N2372"/>
  <c r="N2373"/>
  <c r="N2374"/>
  <c r="N2375"/>
  <c r="N2376"/>
  <c r="N2377"/>
  <c r="N2378"/>
  <c r="N2379"/>
  <c r="N2380"/>
  <c r="N2381"/>
  <c r="N2382"/>
  <c r="N2383"/>
  <c r="N2384"/>
  <c r="N2385"/>
  <c r="N2386"/>
  <c r="N2387"/>
  <c r="N2388"/>
  <c r="N2389"/>
  <c r="N2390"/>
  <c r="N2391"/>
  <c r="N2392"/>
  <c r="N2393"/>
  <c r="N2394"/>
  <c r="N2395"/>
  <c r="N2396"/>
  <c r="N2397"/>
  <c r="N2398"/>
  <c r="N2399"/>
  <c r="N2400"/>
  <c r="N2401"/>
  <c r="N2402"/>
  <c r="N2403"/>
  <c r="N2404"/>
  <c r="N2405"/>
  <c r="N2406"/>
  <c r="N2407"/>
  <c r="N2410"/>
  <c r="N2412"/>
  <c r="D2299"/>
  <c r="D2300"/>
  <c r="D2301"/>
  <c r="D2302"/>
  <c r="D2303"/>
  <c r="D2304"/>
  <c r="D2305"/>
  <c r="D2306"/>
  <c r="D2307"/>
  <c r="D2308"/>
  <c r="D2309"/>
  <c r="D2310"/>
  <c r="D2311"/>
  <c r="D2312"/>
  <c r="D2313"/>
  <c r="D2314"/>
  <c r="D2315"/>
  <c r="D2316"/>
  <c r="D2317"/>
  <c r="D2318"/>
  <c r="D2319"/>
  <c r="D2320"/>
  <c r="D2321"/>
  <c r="D2322"/>
  <c r="D2323"/>
  <c r="D2324"/>
  <c r="D2325"/>
  <c r="D2326"/>
  <c r="D2327"/>
  <c r="D2328"/>
  <c r="D2329"/>
  <c r="D2330"/>
  <c r="D2331"/>
  <c r="D2332"/>
  <c r="D2333"/>
  <c r="D2334"/>
  <c r="D2335"/>
  <c r="D2336"/>
  <c r="D2337"/>
  <c r="D2338"/>
  <c r="D2339"/>
  <c r="D2340"/>
  <c r="D2341"/>
  <c r="D2342"/>
  <c r="D2343"/>
  <c r="D2344"/>
  <c r="D2345"/>
  <c r="D2346"/>
  <c r="D2347"/>
  <c r="D2348"/>
  <c r="D2349"/>
  <c r="D2350"/>
  <c r="D2351"/>
  <c r="D2352"/>
  <c r="D2353"/>
  <c r="D2354"/>
  <c r="D2355"/>
  <c r="D2356"/>
  <c r="D2357"/>
  <c r="D2358"/>
  <c r="D2359"/>
  <c r="D2360"/>
  <c r="D2361"/>
  <c r="D2362"/>
  <c r="D2363"/>
  <c r="D2364"/>
  <c r="D2365"/>
  <c r="D2366"/>
  <c r="D2367"/>
  <c r="D2368"/>
  <c r="D2369"/>
  <c r="D2370"/>
  <c r="D2371"/>
  <c r="D2372"/>
  <c r="D2373"/>
  <c r="D2374"/>
  <c r="D2375"/>
  <c r="D2376"/>
  <c r="D2377"/>
  <c r="D2378"/>
  <c r="D2379"/>
  <c r="D2380"/>
  <c r="D2381"/>
  <c r="D2382"/>
  <c r="D2383"/>
  <c r="D2384"/>
  <c r="D2385"/>
  <c r="D2386"/>
  <c r="D2387"/>
  <c r="D2388"/>
  <c r="D2389"/>
  <c r="D2390"/>
  <c r="D2391"/>
  <c r="D2392"/>
  <c r="D2393"/>
  <c r="D2394"/>
  <c r="D2395"/>
  <c r="D2396"/>
  <c r="D2397"/>
  <c r="D2398"/>
  <c r="D2399"/>
  <c r="D2400"/>
  <c r="D2401"/>
  <c r="D2402"/>
  <c r="D2403"/>
  <c r="D2404"/>
  <c r="D2405"/>
  <c r="D2406"/>
  <c r="D2407"/>
  <c r="D2410"/>
  <c r="D2412"/>
  <c r="C2303"/>
  <c r="C2304"/>
  <c r="C2305"/>
  <c r="C2306"/>
  <c r="C2307"/>
  <c r="C2308"/>
  <c r="C2309"/>
  <c r="C2310"/>
  <c r="C2311"/>
  <c r="C2312"/>
  <c r="C2313"/>
  <c r="C2314"/>
  <c r="C2315"/>
  <c r="C2316"/>
  <c r="C2317"/>
  <c r="C2318"/>
  <c r="C2319"/>
  <c r="C2320"/>
  <c r="C2321"/>
  <c r="C2322"/>
  <c r="C2323"/>
  <c r="C2324"/>
  <c r="C2325"/>
  <c r="C2326"/>
  <c r="C2327"/>
  <c r="C2328"/>
  <c r="C2329"/>
  <c r="C2330"/>
  <c r="C2331"/>
  <c r="C2332"/>
  <c r="C2333"/>
  <c r="C2334"/>
  <c r="C2335"/>
  <c r="C2336"/>
  <c r="C2337"/>
  <c r="C2338"/>
  <c r="C2339"/>
  <c r="C2340"/>
  <c r="C2341"/>
  <c r="C2342"/>
  <c r="C2343"/>
  <c r="C2344"/>
  <c r="C2345"/>
  <c r="C2346"/>
  <c r="C2347"/>
  <c r="C2348"/>
  <c r="C2349"/>
  <c r="C2350"/>
  <c r="C2351"/>
  <c r="C2352"/>
  <c r="C2353"/>
  <c r="C2354"/>
  <c r="C2355"/>
  <c r="C2356"/>
  <c r="C2357"/>
  <c r="C2358"/>
  <c r="C2359"/>
  <c r="C2360"/>
  <c r="C2361"/>
  <c r="C2362"/>
  <c r="C2363"/>
  <c r="C2364"/>
  <c r="C2365"/>
  <c r="C2366"/>
  <c r="C2367"/>
  <c r="C2368"/>
  <c r="C2369"/>
  <c r="C2370"/>
  <c r="C2371"/>
  <c r="C2372"/>
  <c r="C2373"/>
  <c r="C2374"/>
  <c r="C2375"/>
  <c r="C2376"/>
  <c r="C2377"/>
  <c r="C2378"/>
  <c r="C2379"/>
  <c r="C2380"/>
  <c r="C2381"/>
  <c r="C2382"/>
  <c r="C2383"/>
  <c r="C2384"/>
  <c r="C2385"/>
  <c r="C2386"/>
  <c r="C2387"/>
  <c r="C2388"/>
  <c r="C2389"/>
  <c r="C2390"/>
  <c r="C2391"/>
  <c r="C2392"/>
  <c r="C2393"/>
  <c r="C2394"/>
  <c r="C2395"/>
  <c r="C2396"/>
  <c r="C2397"/>
  <c r="C2398"/>
  <c r="C2399"/>
  <c r="C2400"/>
  <c r="C2401"/>
  <c r="C2402"/>
  <c r="C2403"/>
  <c r="C2404"/>
  <c r="C2405"/>
  <c r="C2406"/>
  <c r="C2407"/>
  <c r="C2410"/>
  <c r="C2412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1003"/>
  <c r="D1004"/>
  <c r="D1005"/>
  <c r="D1006"/>
  <c r="D1007"/>
  <c r="D1008"/>
  <c r="D1009"/>
  <c r="D1010"/>
  <c r="D1011"/>
  <c r="D1012"/>
  <c r="D1013"/>
  <c r="D1014"/>
  <c r="D1015"/>
  <c r="D1016"/>
  <c r="D1017"/>
  <c r="D1018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D1504"/>
  <c r="D1505"/>
  <c r="D1506"/>
  <c r="D1507"/>
  <c r="D1508"/>
  <c r="D1509"/>
  <c r="D1510"/>
  <c r="D1511"/>
  <c r="D1512"/>
  <c r="D1513"/>
  <c r="D1514"/>
  <c r="D1515"/>
  <c r="D1516"/>
  <c r="D1517"/>
  <c r="D1518"/>
  <c r="D1519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5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0"/>
  <c r="D1691"/>
  <c r="D1692"/>
  <c r="D1693"/>
  <c r="D1694"/>
  <c r="D1695"/>
  <c r="D1696"/>
  <c r="D1697"/>
  <c r="D1698"/>
  <c r="D1699"/>
  <c r="D1700"/>
  <c r="D1701"/>
  <c r="D1702"/>
  <c r="D1703"/>
  <c r="D1704"/>
  <c r="D1705"/>
  <c r="D1706"/>
  <c r="D1707"/>
  <c r="D1708"/>
  <c r="D1709"/>
  <c r="D1710"/>
  <c r="D1711"/>
  <c r="D1712"/>
  <c r="D1713"/>
  <c r="D1714"/>
  <c r="D1715"/>
  <c r="D1716"/>
  <c r="D1717"/>
  <c r="D1718"/>
  <c r="D1719"/>
  <c r="D1720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5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89"/>
  <c r="D1790"/>
  <c r="D1791"/>
  <c r="D1792"/>
  <c r="D1793"/>
  <c r="D1794"/>
  <c r="D1795"/>
  <c r="D1796"/>
  <c r="D1797"/>
  <c r="D1798"/>
  <c r="D1799"/>
  <c r="D1800"/>
  <c r="D1801"/>
  <c r="D1802"/>
  <c r="D1803"/>
  <c r="D1804"/>
  <c r="D1805"/>
  <c r="D1806"/>
  <c r="D1807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7"/>
  <c r="D1828"/>
  <c r="D1829"/>
  <c r="D1830"/>
  <c r="D1831"/>
  <c r="D1832"/>
  <c r="D1833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59"/>
  <c r="D1860"/>
  <c r="D1861"/>
  <c r="D1862"/>
  <c r="D1863"/>
  <c r="D1864"/>
  <c r="D1865"/>
  <c r="D1866"/>
  <c r="D1867"/>
  <c r="D1868"/>
  <c r="D1869"/>
  <c r="D1870"/>
  <c r="D1871"/>
  <c r="D1872"/>
  <c r="D1873"/>
  <c r="D1874"/>
  <c r="D1875"/>
  <c r="D1876"/>
  <c r="D1877"/>
  <c r="D1878"/>
  <c r="D1879"/>
  <c r="D1880"/>
  <c r="D1881"/>
  <c r="D1882"/>
  <c r="D1883"/>
  <c r="D1884"/>
  <c r="D1885"/>
  <c r="D1886"/>
  <c r="D1887"/>
  <c r="D1888"/>
  <c r="D1889"/>
  <c r="D1890"/>
  <c r="D1891"/>
  <c r="D1892"/>
  <c r="D1893"/>
  <c r="D1894"/>
  <c r="D1895"/>
  <c r="D1896"/>
  <c r="D1897"/>
  <c r="D1898"/>
  <c r="D1899"/>
  <c r="D1900"/>
  <c r="D1901"/>
  <c r="D1902"/>
  <c r="D1903"/>
  <c r="D1904"/>
  <c r="D1905"/>
  <c r="D1906"/>
  <c r="D1907"/>
  <c r="D1908"/>
  <c r="D1909"/>
  <c r="D1910"/>
  <c r="D1911"/>
  <c r="D1912"/>
  <c r="D1913"/>
  <c r="D1914"/>
  <c r="D1915"/>
  <c r="D1916"/>
  <c r="D1917"/>
  <c r="D1918"/>
  <c r="D1919"/>
  <c r="D1920"/>
  <c r="D1921"/>
  <c r="D1922"/>
  <c r="D1923"/>
  <c r="D1924"/>
  <c r="D1925"/>
  <c r="D1926"/>
  <c r="D1927"/>
  <c r="D1928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4"/>
  <c r="D1955"/>
  <c r="D1956"/>
  <c r="D1957"/>
  <c r="D1958"/>
  <c r="D1959"/>
  <c r="D1960"/>
  <c r="D1961"/>
  <c r="D1962"/>
  <c r="D1963"/>
  <c r="D1964"/>
  <c r="D1965"/>
  <c r="D1966"/>
  <c r="D1967"/>
  <c r="D1968"/>
  <c r="D1969"/>
  <c r="D1970"/>
  <c r="D1971"/>
  <c r="D1972"/>
  <c r="D1973"/>
  <c r="D1974"/>
  <c r="D1975"/>
  <c r="D1976"/>
  <c r="D1977"/>
  <c r="D1978"/>
  <c r="D1979"/>
  <c r="D1980"/>
  <c r="D1981"/>
  <c r="D1982"/>
  <c r="D1983"/>
  <c r="D1984"/>
  <c r="D1985"/>
  <c r="D1986"/>
  <c r="D1987"/>
  <c r="D1988"/>
  <c r="D1989"/>
  <c r="D1990"/>
  <c r="D1991"/>
  <c r="D1992"/>
  <c r="D1993"/>
  <c r="D1994"/>
  <c r="D1995"/>
  <c r="D1996"/>
  <c r="D1997"/>
  <c r="D1998"/>
  <c r="D1999"/>
  <c r="D2000"/>
  <c r="D2001"/>
  <c r="D2002"/>
  <c r="D2003"/>
  <c r="D2004"/>
  <c r="D2005"/>
  <c r="D2006"/>
  <c r="D2007"/>
  <c r="D2008"/>
  <c r="D2009"/>
  <c r="D2010"/>
  <c r="D2011"/>
  <c r="D2012"/>
  <c r="D2013"/>
  <c r="D2014"/>
  <c r="D2015"/>
  <c r="D2016"/>
  <c r="D2017"/>
  <c r="D2018"/>
  <c r="D2019"/>
  <c r="D2020"/>
  <c r="D2021"/>
  <c r="D2022"/>
  <c r="D2023"/>
  <c r="D2024"/>
  <c r="D2025"/>
  <c r="D2026"/>
  <c r="D2027"/>
  <c r="D2028"/>
  <c r="D2029"/>
  <c r="D2030"/>
  <c r="D2031"/>
  <c r="D2032"/>
  <c r="D2033"/>
  <c r="D2034"/>
  <c r="D2035"/>
  <c r="D2036"/>
  <c r="D2037"/>
  <c r="D2038"/>
  <c r="D2039"/>
  <c r="D2040"/>
  <c r="D2041"/>
  <c r="D2042"/>
  <c r="D2043"/>
  <c r="D2044"/>
  <c r="D2045"/>
  <c r="D2046"/>
  <c r="D2047"/>
  <c r="D2048"/>
  <c r="D2049"/>
  <c r="D2050"/>
  <c r="D2051"/>
  <c r="D2052"/>
  <c r="D2053"/>
  <c r="D2054"/>
  <c r="D2055"/>
  <c r="D2056"/>
  <c r="D2057"/>
  <c r="D2058"/>
  <c r="D2059"/>
  <c r="D2060"/>
  <c r="D2061"/>
  <c r="D2062"/>
  <c r="D2063"/>
  <c r="D2064"/>
  <c r="D2065"/>
  <c r="D2066"/>
  <c r="D2067"/>
  <c r="D2068"/>
  <c r="D2069"/>
  <c r="D2070"/>
  <c r="D2071"/>
  <c r="D2072"/>
  <c r="D2073"/>
  <c r="D2074"/>
  <c r="D2075"/>
  <c r="D2076"/>
  <c r="D2077"/>
  <c r="D2078"/>
  <c r="D2079"/>
  <c r="D2080"/>
  <c r="D2081"/>
  <c r="D2082"/>
  <c r="D2083"/>
  <c r="D2084"/>
  <c r="D2085"/>
  <c r="D2086"/>
  <c r="D2087"/>
  <c r="D2088"/>
  <c r="D2089"/>
  <c r="D2090"/>
  <c r="D2091"/>
  <c r="D2092"/>
  <c r="D2093"/>
  <c r="D2094"/>
  <c r="D2095"/>
  <c r="D2096"/>
  <c r="D2097"/>
  <c r="D2098"/>
  <c r="D2099"/>
  <c r="D2100"/>
  <c r="D2101"/>
  <c r="D2102"/>
  <c r="D2103"/>
  <c r="D2104"/>
  <c r="D2105"/>
  <c r="D2106"/>
  <c r="D2107"/>
  <c r="D2108"/>
  <c r="D2109"/>
  <c r="D2110"/>
  <c r="D2111"/>
  <c r="D2112"/>
  <c r="D2113"/>
  <c r="D2114"/>
  <c r="D2115"/>
  <c r="D2116"/>
  <c r="D2117"/>
  <c r="D2118"/>
  <c r="D2119"/>
  <c r="D2120"/>
  <c r="D2121"/>
  <c r="D2122"/>
  <c r="D2123"/>
  <c r="D2124"/>
  <c r="D2125"/>
  <c r="D2126"/>
  <c r="D2127"/>
  <c r="D2128"/>
  <c r="D2129"/>
  <c r="D2130"/>
  <c r="D2131"/>
  <c r="D2132"/>
  <c r="D2133"/>
  <c r="D2134"/>
  <c r="D2135"/>
  <c r="D2136"/>
  <c r="D2137"/>
  <c r="D2138"/>
  <c r="D2139"/>
  <c r="D2140"/>
  <c r="D2141"/>
  <c r="D2142"/>
  <c r="D2143"/>
  <c r="D2144"/>
  <c r="D2145"/>
  <c r="D2146"/>
  <c r="D2147"/>
  <c r="D2148"/>
  <c r="D2149"/>
  <c r="D2150"/>
  <c r="D2151"/>
  <c r="D2152"/>
  <c r="D2153"/>
  <c r="D2154"/>
  <c r="D2155"/>
  <c r="D2156"/>
  <c r="D2157"/>
  <c r="D2158"/>
  <c r="D2159"/>
  <c r="D2160"/>
  <c r="D2161"/>
  <c r="D2162"/>
  <c r="D2163"/>
  <c r="D2164"/>
  <c r="D2165"/>
  <c r="D2166"/>
  <c r="D2167"/>
  <c r="D2168"/>
  <c r="D2169"/>
  <c r="D2170"/>
  <c r="D2171"/>
  <c r="D2172"/>
  <c r="D2173"/>
  <c r="D2174"/>
  <c r="D2175"/>
  <c r="D2176"/>
  <c r="D2177"/>
  <c r="D2178"/>
  <c r="D2179"/>
  <c r="D2180"/>
  <c r="D2181"/>
  <c r="D2182"/>
  <c r="D2183"/>
  <c r="D2184"/>
  <c r="D2185"/>
  <c r="D2186"/>
  <c r="D2187"/>
  <c r="D2188"/>
  <c r="D2189"/>
  <c r="D2190"/>
  <c r="D2191"/>
  <c r="D2192"/>
  <c r="D2193"/>
  <c r="D2194"/>
  <c r="D2195"/>
  <c r="D2196"/>
  <c r="D2197"/>
  <c r="D2198"/>
  <c r="D2199"/>
  <c r="D2200"/>
  <c r="D2201"/>
  <c r="D2202"/>
  <c r="D2203"/>
  <c r="D2204"/>
  <c r="D2205"/>
  <c r="D2206"/>
  <c r="D2207"/>
  <c r="D2208"/>
  <c r="D2209"/>
  <c r="D2210"/>
  <c r="D2211"/>
  <c r="D2212"/>
  <c r="D2213"/>
  <c r="D2214"/>
  <c r="D2215"/>
  <c r="D2216"/>
  <c r="D2217"/>
  <c r="D2218"/>
  <c r="D2219"/>
  <c r="D2220"/>
  <c r="D2221"/>
  <c r="D2222"/>
  <c r="D2223"/>
  <c r="D2224"/>
  <c r="D2225"/>
  <c r="D2226"/>
  <c r="D2227"/>
  <c r="D2228"/>
  <c r="D2229"/>
  <c r="D2230"/>
  <c r="D2231"/>
  <c r="D2232"/>
  <c r="D2233"/>
  <c r="D2234"/>
  <c r="D2235"/>
  <c r="D2236"/>
  <c r="D2237"/>
  <c r="D2238"/>
  <c r="D2239"/>
  <c r="D2240"/>
  <c r="D2241"/>
  <c r="D2242"/>
  <c r="D2243"/>
  <c r="D2244"/>
  <c r="D2245"/>
  <c r="D2246"/>
  <c r="D2247"/>
  <c r="D2248"/>
  <c r="D2249"/>
  <c r="D2250"/>
  <c r="D2251"/>
  <c r="D2252"/>
  <c r="D2253"/>
  <c r="D2254"/>
  <c r="D2255"/>
  <c r="D2256"/>
  <c r="D2257"/>
  <c r="D2258"/>
  <c r="D2259"/>
  <c r="D2260"/>
  <c r="D2261"/>
  <c r="D2262"/>
  <c r="D2263"/>
  <c r="D2264"/>
  <c r="D2265"/>
  <c r="D2266"/>
  <c r="D2267"/>
  <c r="D2268"/>
  <c r="D2269"/>
  <c r="D2270"/>
  <c r="D2271"/>
  <c r="D2272"/>
  <c r="D2273"/>
  <c r="D2274"/>
  <c r="D2275"/>
  <c r="D2276"/>
  <c r="D2277"/>
  <c r="D2278"/>
  <c r="D2279"/>
  <c r="D2280"/>
  <c r="D2281"/>
  <c r="D2282"/>
  <c r="D2283"/>
  <c r="D2284"/>
  <c r="D2285"/>
  <c r="D2286"/>
  <c r="D2287"/>
  <c r="D2288"/>
  <c r="D2289"/>
  <c r="D2290"/>
  <c r="D2291"/>
  <c r="D2292"/>
  <c r="D2293"/>
  <c r="D2294"/>
  <c r="D2295"/>
  <c r="D2296"/>
  <c r="D2297"/>
  <c r="D2298"/>
  <c r="C2299"/>
  <c r="C2300"/>
  <c r="C2301"/>
  <c r="C2302"/>
  <c r="C2255" l="1"/>
  <c r="N2255"/>
  <c r="O2255"/>
  <c r="C2256"/>
  <c r="N2256"/>
  <c r="O2256"/>
  <c r="C2272"/>
  <c r="N2272"/>
  <c r="O2272"/>
  <c r="N2306"/>
  <c r="N2305"/>
  <c r="N2254"/>
  <c r="N2257"/>
  <c r="N2258"/>
  <c r="N2259"/>
  <c r="N2260"/>
  <c r="N2261"/>
  <c r="N2262"/>
  <c r="N2263"/>
  <c r="N2264"/>
  <c r="N2265"/>
  <c r="N2266"/>
  <c r="N2267"/>
  <c r="N2268"/>
  <c r="N2269"/>
  <c r="N2270"/>
  <c r="N2271"/>
  <c r="N2273"/>
  <c r="N2274"/>
  <c r="N2275"/>
  <c r="N2276"/>
  <c r="N2277"/>
  <c r="N2278"/>
  <c r="N2279"/>
  <c r="N2280"/>
  <c r="N2281"/>
  <c r="N2282"/>
  <c r="N2283"/>
  <c r="N2284"/>
  <c r="N2285"/>
  <c r="N2286"/>
  <c r="N2287"/>
  <c r="N2288"/>
  <c r="N2289"/>
  <c r="N2290"/>
  <c r="N2291"/>
  <c r="N2292"/>
  <c r="N2293"/>
  <c r="N2294"/>
  <c r="N2295"/>
  <c r="N2296"/>
  <c r="N2297"/>
  <c r="N2298"/>
  <c r="N2299"/>
  <c r="N2300"/>
  <c r="N2301"/>
  <c r="N2302"/>
  <c r="N2303"/>
  <c r="N2304"/>
  <c r="N2253"/>
  <c r="N2246"/>
  <c r="N2247"/>
  <c r="N2248"/>
  <c r="N2249"/>
  <c r="N2250"/>
  <c r="N2251"/>
  <c r="N2252"/>
  <c r="N2245"/>
  <c r="N2195"/>
  <c r="N2196"/>
  <c r="N2197"/>
  <c r="N2198"/>
  <c r="N2199"/>
  <c r="N2200"/>
  <c r="N2201"/>
  <c r="N2203"/>
  <c r="N2204"/>
  <c r="N2205"/>
  <c r="N2207"/>
  <c r="N2208"/>
  <c r="N2209"/>
  <c r="N2211"/>
  <c r="N2212"/>
  <c r="N2213"/>
  <c r="N2214"/>
  <c r="N2215"/>
  <c r="N2216"/>
  <c r="N2218"/>
  <c r="N2219"/>
  <c r="N2222"/>
  <c r="N2223"/>
  <c r="N2224"/>
  <c r="N2225"/>
  <c r="N2226"/>
  <c r="N2227"/>
  <c r="N2228"/>
  <c r="N2229"/>
  <c r="N2230"/>
  <c r="N2231"/>
  <c r="N2232"/>
  <c r="N2233"/>
  <c r="N2234"/>
  <c r="N2235"/>
  <c r="N2236"/>
  <c r="N2237"/>
  <c r="N2238"/>
  <c r="N2239"/>
  <c r="N2240"/>
  <c r="N2241"/>
  <c r="N2242"/>
  <c r="N2243"/>
  <c r="N2244"/>
  <c r="C2298"/>
  <c r="C2297"/>
  <c r="C2296"/>
  <c r="C2295"/>
  <c r="C2294"/>
  <c r="C2293"/>
  <c r="C2292"/>
  <c r="C2291"/>
  <c r="C2290"/>
  <c r="C2289"/>
  <c r="C2288"/>
  <c r="C2287"/>
  <c r="C2286"/>
  <c r="C2285"/>
  <c r="C2284"/>
  <c r="C2283"/>
  <c r="C2282"/>
  <c r="C2281"/>
  <c r="C2280"/>
  <c r="C2279"/>
  <c r="C2278"/>
  <c r="C2277"/>
  <c r="C2276"/>
  <c r="C2275"/>
  <c r="C2274"/>
  <c r="C2273"/>
  <c r="C2271"/>
  <c r="C2270"/>
  <c r="C2269"/>
  <c r="C2268"/>
  <c r="C2267"/>
  <c r="C2266"/>
  <c r="C2265"/>
  <c r="C2264"/>
  <c r="C2263"/>
  <c r="C2262"/>
  <c r="C2261"/>
  <c r="C2260"/>
  <c r="C2259"/>
  <c r="C2258"/>
  <c r="C2257"/>
  <c r="C2254"/>
  <c r="C2253"/>
  <c r="C2252"/>
  <c r="C2251"/>
  <c r="C2250"/>
  <c r="C2249"/>
  <c r="C2248"/>
  <c r="C2247"/>
  <c r="C2246"/>
  <c r="C2245"/>
  <c r="C2244"/>
  <c r="C2243"/>
  <c r="C2242"/>
  <c r="C2241"/>
  <c r="C2240"/>
  <c r="C2239"/>
  <c r="C2238"/>
  <c r="C2237"/>
  <c r="C2236"/>
  <c r="C2235"/>
  <c r="C2234"/>
  <c r="C2233"/>
  <c r="C2232"/>
  <c r="C2231"/>
  <c r="C2230"/>
  <c r="C2229"/>
  <c r="C2228"/>
  <c r="C2227"/>
  <c r="C2226"/>
  <c r="C2225"/>
  <c r="C2224"/>
  <c r="C2223"/>
  <c r="C2222"/>
  <c r="C2219"/>
  <c r="C2218"/>
  <c r="C2216"/>
  <c r="C2215"/>
  <c r="C2214"/>
  <c r="C2213"/>
  <c r="C2212"/>
  <c r="C2211"/>
  <c r="C2209"/>
  <c r="C2208"/>
  <c r="C2207"/>
  <c r="C2205"/>
  <c r="C2204"/>
  <c r="C2203"/>
  <c r="C2201"/>
  <c r="C2200"/>
  <c r="C2199"/>
  <c r="C2198"/>
  <c r="C2197"/>
  <c r="C2196"/>
  <c r="C2195"/>
  <c r="C1693"/>
  <c r="O2205"/>
  <c r="O2203"/>
  <c r="O2196"/>
  <c r="O2195"/>
  <c r="O2197"/>
  <c r="O2198"/>
  <c r="O2199"/>
  <c r="O2200"/>
  <c r="O2201"/>
  <c r="O2204"/>
  <c r="O2207"/>
  <c r="O2208"/>
  <c r="O2209"/>
  <c r="O2211"/>
  <c r="O2212"/>
  <c r="O2213"/>
  <c r="O2214"/>
  <c r="O2215"/>
  <c r="O2216"/>
  <c r="O2218"/>
  <c r="O2219"/>
  <c r="O2222"/>
  <c r="O2223"/>
  <c r="O2224"/>
  <c r="O2225"/>
  <c r="O2226"/>
  <c r="O2227"/>
  <c r="O2228"/>
  <c r="O2229"/>
  <c r="O2230"/>
  <c r="O2231"/>
  <c r="O2232"/>
  <c r="O2233"/>
  <c r="O2234"/>
  <c r="O2235"/>
  <c r="O2236"/>
  <c r="O2237"/>
  <c r="O2238"/>
  <c r="O2239"/>
  <c r="O2240"/>
  <c r="O2241"/>
  <c r="O2242"/>
  <c r="O2243"/>
  <c r="O2244"/>
  <c r="O2245"/>
  <c r="O2246"/>
  <c r="O2247"/>
  <c r="O2248"/>
  <c r="O2249"/>
  <c r="O2250"/>
  <c r="O2251"/>
  <c r="O2252"/>
  <c r="O2253"/>
  <c r="O2254"/>
  <c r="O2257"/>
  <c r="O2258"/>
  <c r="O2259"/>
  <c r="O2260"/>
  <c r="O2261"/>
  <c r="O2262"/>
  <c r="O2263"/>
  <c r="O2264"/>
  <c r="O2265"/>
  <c r="O2266"/>
  <c r="O2267"/>
  <c r="O2268"/>
  <c r="O2269"/>
  <c r="O2270"/>
  <c r="O2271"/>
  <c r="O2273"/>
  <c r="O2274"/>
  <c r="O2275"/>
  <c r="O2276"/>
  <c r="O2277"/>
  <c r="O2278"/>
  <c r="O2279"/>
  <c r="O2280"/>
  <c r="O2281"/>
  <c r="O2282"/>
  <c r="O2283"/>
  <c r="O2284"/>
  <c r="O2285"/>
  <c r="O2286"/>
  <c r="O2287"/>
  <c r="O2288"/>
  <c r="O2289"/>
  <c r="O2290"/>
  <c r="O2291"/>
  <c r="O2292"/>
  <c r="O2293"/>
  <c r="O2294"/>
  <c r="O2295"/>
  <c r="O2296"/>
  <c r="O2297"/>
  <c r="O2298"/>
  <c r="O2299"/>
  <c r="O2300"/>
  <c r="O2301"/>
  <c r="O2302"/>
  <c r="O2303"/>
  <c r="O2304"/>
  <c r="O2305"/>
  <c r="C2193"/>
  <c r="N2193"/>
  <c r="O2193"/>
  <c r="C2192"/>
  <c r="N2192"/>
  <c r="O2192"/>
  <c r="C2191"/>
  <c r="N2191"/>
  <c r="O2191"/>
  <c r="C1864"/>
  <c r="N1864"/>
  <c r="O1864"/>
  <c r="C1637"/>
  <c r="N1637"/>
  <c r="O1637"/>
  <c r="C929"/>
  <c r="N929"/>
  <c r="O929"/>
  <c r="C1656"/>
  <c r="N1656"/>
  <c r="O1656"/>
  <c r="C928"/>
  <c r="N928"/>
  <c r="O928"/>
  <c r="C1913"/>
  <c r="N1913"/>
  <c r="O1913"/>
  <c r="C1655"/>
  <c r="N1655"/>
  <c r="O1655"/>
  <c r="C924"/>
  <c r="N924"/>
  <c r="O924"/>
  <c r="C1654"/>
  <c r="N1654"/>
  <c r="O1654"/>
  <c r="C923"/>
  <c r="N923"/>
  <c r="O923"/>
  <c r="C2189"/>
  <c r="C2155"/>
  <c r="N2155"/>
  <c r="O2155"/>
  <c r="C1988"/>
  <c r="N1988"/>
  <c r="O1988"/>
  <c r="C1992"/>
  <c r="N1992"/>
  <c r="O1992"/>
  <c r="C1653"/>
  <c r="N1653"/>
  <c r="O1653"/>
  <c r="C1633"/>
  <c r="N1633"/>
  <c r="O1633"/>
  <c r="C799"/>
  <c r="N799"/>
  <c r="O799"/>
  <c r="C1519"/>
  <c r="N1519"/>
  <c r="O1519"/>
  <c r="C826"/>
  <c r="N826"/>
  <c r="O826"/>
  <c r="C1518"/>
  <c r="N1518"/>
  <c r="O1518"/>
  <c r="C1676"/>
  <c r="N1676"/>
  <c r="O1676"/>
  <c r="C1751"/>
  <c r="N1751"/>
  <c r="O1751"/>
  <c r="M7" i="28" l="1"/>
  <c r="C2190" i="7" l="1"/>
  <c r="N2190"/>
  <c r="O2190"/>
  <c r="N2189"/>
  <c r="O2189"/>
  <c r="C2185"/>
  <c r="N2185"/>
  <c r="O2185"/>
  <c r="M2217"/>
  <c r="C2182"/>
  <c r="N2182"/>
  <c r="O2182"/>
  <c r="C2217"/>
  <c r="N2217"/>
  <c r="O2217"/>
  <c r="C2221"/>
  <c r="N2221"/>
  <c r="O2221"/>
  <c r="C2220"/>
  <c r="N2220"/>
  <c r="O2220"/>
  <c r="C2210"/>
  <c r="N2210"/>
  <c r="O2210"/>
  <c r="C2206"/>
  <c r="N2206"/>
  <c r="O2206"/>
  <c r="C2202"/>
  <c r="N2202"/>
  <c r="O2202"/>
  <c r="C2129"/>
  <c r="N2129"/>
  <c r="O2129"/>
  <c r="C2175"/>
  <c r="N2175"/>
  <c r="O2175"/>
  <c r="M2145"/>
  <c r="C2145"/>
  <c r="N2145"/>
  <c r="O2145"/>
  <c r="C2138"/>
  <c r="N2138"/>
  <c r="O2138"/>
  <c r="C2137"/>
  <c r="N2137"/>
  <c r="O2137"/>
  <c r="C2154"/>
  <c r="N2154"/>
  <c r="O2154"/>
  <c r="C2148"/>
  <c r="N2148"/>
  <c r="O2148"/>
  <c r="C2139"/>
  <c r="N2139"/>
  <c r="O2139"/>
  <c r="C2144"/>
  <c r="N2144"/>
  <c r="O2144"/>
  <c r="C2143"/>
  <c r="N2143"/>
  <c r="O2143"/>
  <c r="C2136"/>
  <c r="N2136"/>
  <c r="O2136"/>
  <c r="C2134"/>
  <c r="N2134"/>
  <c r="O2134"/>
  <c r="C2133"/>
  <c r="N2133"/>
  <c r="O2133"/>
  <c r="C2132"/>
  <c r="N2132"/>
  <c r="O2132"/>
  <c r="C2123"/>
  <c r="N2123"/>
  <c r="O2123"/>
  <c r="C2119"/>
  <c r="N2119"/>
  <c r="O2119"/>
  <c r="C2114"/>
  <c r="N2114"/>
  <c r="O2114"/>
  <c r="C2112"/>
  <c r="N2112"/>
  <c r="O2112"/>
  <c r="M2111"/>
  <c r="C2111"/>
  <c r="N2111"/>
  <c r="O2111"/>
  <c r="M2084"/>
  <c r="C2084"/>
  <c r="N2084"/>
  <c r="O2084"/>
  <c r="C2074"/>
  <c r="N2074"/>
  <c r="O2074"/>
  <c r="C2071"/>
  <c r="N2071"/>
  <c r="O2071"/>
  <c r="C2081"/>
  <c r="N2081"/>
  <c r="O2081"/>
  <c r="M2070"/>
  <c r="C2070"/>
  <c r="N2070"/>
  <c r="O2070"/>
  <c r="C2032"/>
  <c r="N2032"/>
  <c r="O2032"/>
  <c r="C2029"/>
  <c r="N2029"/>
  <c r="O2029"/>
  <c r="C2028"/>
  <c r="N2028"/>
  <c r="O2028"/>
  <c r="C2024"/>
  <c r="N2024"/>
  <c r="O2024"/>
  <c r="C2020"/>
  <c r="N2020"/>
  <c r="O2020"/>
  <c r="C2013"/>
  <c r="N2013"/>
  <c r="O2013"/>
  <c r="M1999"/>
  <c r="C1999"/>
  <c r="N1999"/>
  <c r="O1999"/>
  <c r="C2005"/>
  <c r="N2005"/>
  <c r="O2005"/>
  <c r="C2000"/>
  <c r="N2000"/>
  <c r="O2000"/>
  <c r="C1987"/>
  <c r="N1987"/>
  <c r="O1987"/>
  <c r="C2153"/>
  <c r="N2153"/>
  <c r="O2153"/>
  <c r="C2152"/>
  <c r="N2152"/>
  <c r="O2152"/>
  <c r="M2151"/>
  <c r="C2151"/>
  <c r="N2151"/>
  <c r="O2151"/>
  <c r="C2150"/>
  <c r="N2150"/>
  <c r="O2150"/>
  <c r="M2149"/>
  <c r="C2149"/>
  <c r="N2149"/>
  <c r="O2149"/>
  <c r="M2147"/>
  <c r="C2147"/>
  <c r="N2147"/>
  <c r="O2147"/>
  <c r="C2146"/>
  <c r="N2146"/>
  <c r="O2146"/>
  <c r="M2142"/>
  <c r="C2142"/>
  <c r="N2142"/>
  <c r="O2142"/>
  <c r="C2141"/>
  <c r="N2141"/>
  <c r="O2141"/>
  <c r="M2140"/>
  <c r="C2140"/>
  <c r="N2140"/>
  <c r="O2140"/>
  <c r="M2174"/>
  <c r="C2174"/>
  <c r="N2174"/>
  <c r="O2174"/>
  <c r="M2178"/>
  <c r="C2178"/>
  <c r="N2178"/>
  <c r="O2178"/>
  <c r="C2194"/>
  <c r="N2194"/>
  <c r="O2194"/>
  <c r="C2188"/>
  <c r="N2188"/>
  <c r="O2188"/>
  <c r="C2187"/>
  <c r="N2187"/>
  <c r="O2187"/>
  <c r="C2186"/>
  <c r="N2186"/>
  <c r="O2186"/>
  <c r="C2181"/>
  <c r="N2181"/>
  <c r="O2181"/>
  <c r="M2177"/>
  <c r="C2177"/>
  <c r="N2177"/>
  <c r="O2177"/>
  <c r="M2159"/>
  <c r="C2159"/>
  <c r="N2159"/>
  <c r="O2159"/>
  <c r="C2167"/>
  <c r="N2167"/>
  <c r="O2167"/>
  <c r="C2163"/>
  <c r="N2163"/>
  <c r="O2163"/>
  <c r="C2161"/>
  <c r="N2161"/>
  <c r="O2161"/>
  <c r="C2156"/>
  <c r="N2156"/>
  <c r="O2156"/>
  <c r="C2183"/>
  <c r="C2184"/>
  <c r="N2184"/>
  <c r="O2184"/>
  <c r="M2183"/>
  <c r="N2183"/>
  <c r="O2183"/>
  <c r="C2173"/>
  <c r="N2173"/>
  <c r="O2173"/>
  <c r="C2168"/>
  <c r="N2168"/>
  <c r="O2168"/>
  <c r="C2166"/>
  <c r="N2166"/>
  <c r="O2166"/>
  <c r="M2160"/>
  <c r="C2160"/>
  <c r="N2160"/>
  <c r="O2160"/>
  <c r="C2180"/>
  <c r="N2180"/>
  <c r="O2180"/>
  <c r="C2179"/>
  <c r="N2179"/>
  <c r="O2179"/>
  <c r="M2176"/>
  <c r="C2176"/>
  <c r="N2176"/>
  <c r="O2176"/>
  <c r="C2172"/>
  <c r="N2172"/>
  <c r="O2172"/>
  <c r="C2171"/>
  <c r="N2171"/>
  <c r="O2171"/>
  <c r="M2170"/>
  <c r="C2170"/>
  <c r="N2170"/>
  <c r="O2170"/>
  <c r="C2169"/>
  <c r="N2169"/>
  <c r="O2169"/>
  <c r="M2165"/>
  <c r="C2165"/>
  <c r="N2165"/>
  <c r="O2165"/>
  <c r="C2164"/>
  <c r="N2164"/>
  <c r="O2164"/>
  <c r="C2162"/>
  <c r="N2162"/>
  <c r="O2162"/>
  <c r="M2158"/>
  <c r="C2158"/>
  <c r="N2158"/>
  <c r="O2158"/>
  <c r="C2157"/>
  <c r="N2157"/>
  <c r="O2157"/>
  <c r="C2135"/>
  <c r="N2135"/>
  <c r="O2135"/>
  <c r="C2131"/>
  <c r="N2131"/>
  <c r="O2131"/>
  <c r="C2130"/>
  <c r="N2130"/>
  <c r="O2130"/>
  <c r="C2128"/>
  <c r="N2128"/>
  <c r="O2128"/>
  <c r="C2127"/>
  <c r="N2127"/>
  <c r="O2127"/>
  <c r="C2126"/>
  <c r="N2126"/>
  <c r="O2126"/>
  <c r="C2125"/>
  <c r="N2125"/>
  <c r="O2125"/>
  <c r="M2124"/>
  <c r="C2124"/>
  <c r="N2124"/>
  <c r="O2124"/>
  <c r="C2122"/>
  <c r="N2122"/>
  <c r="O2122"/>
  <c r="M2121"/>
  <c r="C2121"/>
  <c r="N2121"/>
  <c r="O2121"/>
  <c r="M2120"/>
  <c r="C2120"/>
  <c r="N2120"/>
  <c r="O2120"/>
  <c r="M2118"/>
  <c r="C2118"/>
  <c r="N2118"/>
  <c r="O2118"/>
  <c r="C2117"/>
  <c r="N2117"/>
  <c r="O2117"/>
  <c r="M2116"/>
  <c r="C2116"/>
  <c r="N2116"/>
  <c r="O2116"/>
  <c r="M2115"/>
  <c r="C2115"/>
  <c r="N2115"/>
  <c r="O2115"/>
  <c r="M2113"/>
  <c r="C2113"/>
  <c r="N2113"/>
  <c r="O2113"/>
  <c r="C2110" l="1"/>
  <c r="N2110"/>
  <c r="O2110"/>
  <c r="C2109"/>
  <c r="N2109"/>
  <c r="O2109"/>
  <c r="C2108"/>
  <c r="N2108"/>
  <c r="O2108"/>
  <c r="C2103"/>
  <c r="N2103"/>
  <c r="O2103"/>
  <c r="M2100"/>
  <c r="C2100"/>
  <c r="N2100"/>
  <c r="O2100"/>
  <c r="C2051"/>
  <c r="N2051"/>
  <c r="O2051"/>
  <c r="C2073"/>
  <c r="N2073"/>
  <c r="O2073"/>
  <c r="C2080"/>
  <c r="N2080"/>
  <c r="O2080"/>
  <c r="M2069"/>
  <c r="C2069"/>
  <c r="N2069"/>
  <c r="O2069"/>
  <c r="M2043"/>
  <c r="C2043"/>
  <c r="N2043"/>
  <c r="O2043"/>
  <c r="M2031"/>
  <c r="C2031"/>
  <c r="N2031"/>
  <c r="O2031"/>
  <c r="M2027"/>
  <c r="C2027"/>
  <c r="N2027"/>
  <c r="O2027"/>
  <c r="C2012"/>
  <c r="N2012"/>
  <c r="O2012"/>
  <c r="M2011"/>
  <c r="C2011"/>
  <c r="N2011"/>
  <c r="O2011"/>
  <c r="C1982"/>
  <c r="N1982"/>
  <c r="O1982"/>
  <c r="M1981"/>
  <c r="C1981"/>
  <c r="N1981"/>
  <c r="O1981"/>
  <c r="M1973"/>
  <c r="C1973"/>
  <c r="N1973"/>
  <c r="O1973"/>
  <c r="C1962"/>
  <c r="N1962"/>
  <c r="O1962"/>
  <c r="C1959"/>
  <c r="N1959"/>
  <c r="O1959"/>
  <c r="C1955"/>
  <c r="N1955"/>
  <c r="O1955"/>
  <c r="C2106"/>
  <c r="N2106"/>
  <c r="O2106"/>
  <c r="C2093"/>
  <c r="N2093"/>
  <c r="O2093"/>
  <c r="M2105"/>
  <c r="C2105"/>
  <c r="N2105"/>
  <c r="O2105"/>
  <c r="C2104"/>
  <c r="N2104"/>
  <c r="O2104"/>
  <c r="C2102"/>
  <c r="N2102"/>
  <c r="O2102"/>
  <c r="M2099"/>
  <c r="C2099"/>
  <c r="N2099"/>
  <c r="O2099"/>
  <c r="C2098"/>
  <c r="N2098"/>
  <c r="O2098"/>
  <c r="C2097"/>
  <c r="N2097"/>
  <c r="O2097"/>
  <c r="C2094"/>
  <c r="N2094"/>
  <c r="O2094"/>
  <c r="C2092"/>
  <c r="N2092"/>
  <c r="O2092"/>
  <c r="C2089"/>
  <c r="N2089"/>
  <c r="O2089"/>
  <c r="C2088"/>
  <c r="N2088"/>
  <c r="O2088"/>
  <c r="C2091"/>
  <c r="N2091"/>
  <c r="O2091"/>
  <c r="C2087"/>
  <c r="N2087"/>
  <c r="O2087"/>
  <c r="C2086"/>
  <c r="N2086"/>
  <c r="O2086"/>
  <c r="C2083"/>
  <c r="N2083"/>
  <c r="O2083"/>
  <c r="C2085"/>
  <c r="N2085"/>
  <c r="O2085"/>
  <c r="M2082"/>
  <c r="C2082"/>
  <c r="N2082"/>
  <c r="O2082"/>
  <c r="M2090"/>
  <c r="C2090"/>
  <c r="N2090"/>
  <c r="O2090"/>
  <c r="C2096"/>
  <c r="N2096"/>
  <c r="O2096"/>
  <c r="C2095"/>
  <c r="N2095"/>
  <c r="O2095"/>
  <c r="C2101"/>
  <c r="N2101"/>
  <c r="O2101"/>
  <c r="C2107"/>
  <c r="N2107"/>
  <c r="O2107"/>
  <c r="M2076"/>
  <c r="C2076"/>
  <c r="N2076"/>
  <c r="O2076"/>
  <c r="C2068"/>
  <c r="N2068"/>
  <c r="O2068"/>
  <c r="C2067"/>
  <c r="N2067"/>
  <c r="O2067"/>
  <c r="C2066"/>
  <c r="N2066"/>
  <c r="O2066"/>
  <c r="M2060"/>
  <c r="C2060"/>
  <c r="N2060"/>
  <c r="O2060"/>
  <c r="C2059"/>
  <c r="N2059"/>
  <c r="O2059"/>
  <c r="C2056"/>
  <c r="N2056"/>
  <c r="O2056"/>
  <c r="C2050"/>
  <c r="N2050"/>
  <c r="O2050"/>
  <c r="C2046"/>
  <c r="N2046"/>
  <c r="O2046"/>
  <c r="C2041"/>
  <c r="N2041"/>
  <c r="O2041"/>
  <c r="C2040"/>
  <c r="N2040"/>
  <c r="O2040"/>
  <c r="C2034"/>
  <c r="N2034"/>
  <c r="O2034"/>
  <c r="C1991"/>
  <c r="N1991"/>
  <c r="O1991"/>
  <c r="C2042"/>
  <c r="N2042"/>
  <c r="O2042"/>
  <c r="C2036"/>
  <c r="N2036"/>
  <c r="O2036"/>
  <c r="C2022"/>
  <c r="N2022"/>
  <c r="O2022"/>
  <c r="C2018"/>
  <c r="N2018"/>
  <c r="O2018"/>
  <c r="C2010"/>
  <c r="N2010"/>
  <c r="O2010"/>
  <c r="C2009"/>
  <c r="N2009"/>
  <c r="O2009"/>
  <c r="C2004"/>
  <c r="N2004"/>
  <c r="O2004"/>
  <c r="C1996"/>
  <c r="N1996"/>
  <c r="O1996"/>
  <c r="M1994"/>
  <c r="C1994"/>
  <c r="N1994"/>
  <c r="O1994"/>
  <c r="M2077"/>
  <c r="C2077"/>
  <c r="N2077"/>
  <c r="O2077"/>
  <c r="C2065"/>
  <c r="N2065"/>
  <c r="O2065"/>
  <c r="C2064"/>
  <c r="N2064"/>
  <c r="O2064"/>
  <c r="M2063"/>
  <c r="C2055"/>
  <c r="N2055"/>
  <c r="O2055"/>
  <c r="M2049"/>
  <c r="C2049"/>
  <c r="N2049"/>
  <c r="O2049"/>
  <c r="C2054"/>
  <c r="N2054"/>
  <c r="O2054"/>
  <c r="M2053"/>
  <c r="C2053"/>
  <c r="N2053"/>
  <c r="O2053"/>
  <c r="M2079"/>
  <c r="C2079"/>
  <c r="N2079"/>
  <c r="O2079"/>
  <c r="C2078"/>
  <c r="N2078"/>
  <c r="O2078"/>
  <c r="C2075"/>
  <c r="N2075"/>
  <c r="O2075"/>
  <c r="M2072"/>
  <c r="C2072"/>
  <c r="N2072"/>
  <c r="O2072"/>
  <c r="C2063"/>
  <c r="N2063"/>
  <c r="O2063"/>
  <c r="M2062"/>
  <c r="C2062"/>
  <c r="N2062"/>
  <c r="O2062"/>
  <c r="C2061"/>
  <c r="N2061"/>
  <c r="O2061"/>
  <c r="C2058"/>
  <c r="N2058"/>
  <c r="O2058"/>
  <c r="M2057"/>
  <c r="C2057"/>
  <c r="N2057"/>
  <c r="O2057"/>
  <c r="C2052"/>
  <c r="N2052"/>
  <c r="O2052"/>
  <c r="C2048"/>
  <c r="N2048"/>
  <c r="O2048"/>
  <c r="C2047"/>
  <c r="N2047"/>
  <c r="O2047"/>
  <c r="C2045"/>
  <c r="N2045"/>
  <c r="O2045"/>
  <c r="M2044"/>
  <c r="C2044"/>
  <c r="N2044"/>
  <c r="O2044"/>
  <c r="M2039"/>
  <c r="C2039"/>
  <c r="N2039"/>
  <c r="O2039"/>
  <c r="M2038"/>
  <c r="C2014"/>
  <c r="C2038" l="1"/>
  <c r="N2038"/>
  <c r="O2038"/>
  <c r="C2037"/>
  <c r="N2037"/>
  <c r="O2037"/>
  <c r="C2035"/>
  <c r="N2035"/>
  <c r="O2035"/>
  <c r="M2033"/>
  <c r="C2033"/>
  <c r="N2033"/>
  <c r="O2033"/>
  <c r="C2026"/>
  <c r="N2026"/>
  <c r="O2026"/>
  <c r="C2023"/>
  <c r="N2023"/>
  <c r="O2023"/>
  <c r="C2021"/>
  <c r="N2021"/>
  <c r="O2021"/>
  <c r="C2017"/>
  <c r="N2017"/>
  <c r="O2017"/>
  <c r="C2016"/>
  <c r="N2016"/>
  <c r="O2016"/>
  <c r="C2008"/>
  <c r="N2008"/>
  <c r="O2008"/>
  <c r="C2007"/>
  <c r="N2007"/>
  <c r="O2007"/>
  <c r="C2006"/>
  <c r="N2006"/>
  <c r="O2006"/>
  <c r="C2003"/>
  <c r="N2003"/>
  <c r="O2003"/>
  <c r="C2002"/>
  <c r="N2002"/>
  <c r="O2002"/>
  <c r="M2001"/>
  <c r="C2001"/>
  <c r="N2001"/>
  <c r="O2001"/>
  <c r="C1998"/>
  <c r="N1998"/>
  <c r="O1998"/>
  <c r="C1997"/>
  <c r="N1997"/>
  <c r="O1997"/>
  <c r="C1986"/>
  <c r="N1986"/>
  <c r="O1986"/>
  <c r="C1985"/>
  <c r="N1985"/>
  <c r="O1985"/>
  <c r="C1984"/>
  <c r="N1984"/>
  <c r="O1984"/>
  <c r="C1983"/>
  <c r="N1983"/>
  <c r="O1983"/>
  <c r="C1978"/>
  <c r="N1978"/>
  <c r="O1978"/>
  <c r="C1977"/>
  <c r="N1977"/>
  <c r="O1977"/>
  <c r="C1976"/>
  <c r="N1976"/>
  <c r="O1976"/>
  <c r="C1989"/>
  <c r="N1989"/>
  <c r="O1989"/>
  <c r="C1990"/>
  <c r="N1990"/>
  <c r="O1990"/>
  <c r="C1163"/>
  <c r="N1163"/>
  <c r="O1163"/>
  <c r="C1993"/>
  <c r="N1993"/>
  <c r="O1993"/>
  <c r="M1975"/>
  <c r="C1965"/>
  <c r="N1965"/>
  <c r="O1965"/>
  <c r="C1975"/>
  <c r="N1975"/>
  <c r="O1975"/>
  <c r="C1972"/>
  <c r="N1972"/>
  <c r="O1972"/>
  <c r="C1964"/>
  <c r="N1964"/>
  <c r="O1964"/>
  <c r="C1963"/>
  <c r="N1963"/>
  <c r="O1963"/>
  <c r="C1961"/>
  <c r="N1961"/>
  <c r="O1961"/>
  <c r="C1958"/>
  <c r="N1958"/>
  <c r="O1958"/>
  <c r="C1939"/>
  <c r="N1939"/>
  <c r="O1939"/>
  <c r="M1945"/>
  <c r="C1945"/>
  <c r="N1945"/>
  <c r="O1945"/>
  <c r="C1935"/>
  <c r="N1935"/>
  <c r="O1935"/>
  <c r="C1948"/>
  <c r="N1948"/>
  <c r="O1948"/>
  <c r="C1917"/>
  <c r="N1917"/>
  <c r="O1917"/>
  <c r="C1916"/>
  <c r="N1916"/>
  <c r="O1916"/>
  <c r="C1947"/>
  <c r="N1947"/>
  <c r="O1947"/>
  <c r="C1899"/>
  <c r="N1899"/>
  <c r="O1899"/>
  <c r="C1890"/>
  <c r="N1890"/>
  <c r="O1890"/>
  <c r="C1889"/>
  <c r="N1889"/>
  <c r="O1889"/>
  <c r="C1863"/>
  <c r="N1863"/>
  <c r="O1863"/>
  <c r="C1853"/>
  <c r="N1853"/>
  <c r="O1853"/>
  <c r="C1931"/>
  <c r="N1931"/>
  <c r="O1931"/>
  <c r="C1930"/>
  <c r="N1930"/>
  <c r="O1930"/>
  <c r="C1831"/>
  <c r="N1831"/>
  <c r="O1831"/>
  <c r="C1898"/>
  <c r="N1898"/>
  <c r="O1898"/>
  <c r="C1823"/>
  <c r="N1823"/>
  <c r="O1823"/>
  <c r="C1828"/>
  <c r="N1828"/>
  <c r="O1828"/>
  <c r="C1848"/>
  <c r="N1848"/>
  <c r="O1848"/>
  <c r="C1800"/>
  <c r="N1800"/>
  <c r="O1800"/>
  <c r="C1859"/>
  <c r="N1859"/>
  <c r="O1859"/>
  <c r="C1789"/>
  <c r="N1789"/>
  <c r="O1789"/>
  <c r="C1847"/>
  <c r="N1847"/>
  <c r="O1847"/>
  <c r="C1812"/>
  <c r="N1812"/>
  <c r="O1812"/>
  <c r="C1827"/>
  <c r="N1827"/>
  <c r="O1827"/>
  <c r="C1820"/>
  <c r="N1820"/>
  <c r="O1820"/>
  <c r="C1754"/>
  <c r="N1754"/>
  <c r="O1754"/>
  <c r="C1792"/>
  <c r="N1792"/>
  <c r="O1792"/>
  <c r="C1950"/>
  <c r="N1950"/>
  <c r="O1950"/>
  <c r="C1938"/>
  <c r="N1938"/>
  <c r="O1938"/>
  <c r="C1934"/>
  <c r="N1934"/>
  <c r="O1934"/>
  <c r="C1937"/>
  <c r="N1937"/>
  <c r="O1937"/>
  <c r="C1926"/>
  <c r="N1926"/>
  <c r="O1926"/>
  <c r="C1922"/>
  <c r="N1922"/>
  <c r="O1922"/>
  <c r="C1929"/>
  <c r="N1929"/>
  <c r="O1929"/>
  <c r="C1921"/>
  <c r="N1921"/>
  <c r="O1921"/>
  <c r="C1915"/>
  <c r="N1915"/>
  <c r="O1915"/>
  <c r="C1920"/>
  <c r="N1920"/>
  <c r="O1920"/>
  <c r="C1906"/>
  <c r="N1906"/>
  <c r="O1906"/>
  <c r="C1858"/>
  <c r="N1858"/>
  <c r="O1858"/>
  <c r="C1903"/>
  <c r="N1903"/>
  <c r="O1903"/>
  <c r="C1892"/>
  <c r="N1892"/>
  <c r="O1892"/>
  <c r="C1888"/>
  <c r="N1888"/>
  <c r="O1888"/>
  <c r="C1872"/>
  <c r="N1872"/>
  <c r="O1872"/>
  <c r="C1866"/>
  <c r="N1866"/>
  <c r="O1866"/>
  <c r="C1819"/>
  <c r="N1819"/>
  <c r="O1819"/>
  <c r="C1811"/>
  <c r="N1811"/>
  <c r="O1811"/>
  <c r="C1852"/>
  <c r="N1852"/>
  <c r="O1852"/>
  <c r="C1851"/>
  <c r="N1851"/>
  <c r="O1851"/>
  <c r="C1850"/>
  <c r="N1850"/>
  <c r="O1850"/>
  <c r="C1846"/>
  <c r="N1846"/>
  <c r="O1846"/>
  <c r="C1845"/>
  <c r="N1845"/>
  <c r="O1845"/>
  <c r="C1818"/>
  <c r="N1818"/>
  <c r="O1818"/>
  <c r="C1810"/>
  <c r="N1810"/>
  <c r="O1810"/>
  <c r="C1809"/>
  <c r="N1809"/>
  <c r="O1809"/>
  <c r="C1970"/>
  <c r="N1970"/>
  <c r="O1970"/>
  <c r="C1891"/>
  <c r="N1891"/>
  <c r="O1891"/>
  <c r="C1969"/>
  <c r="N1969"/>
  <c r="O1969"/>
  <c r="C1968"/>
  <c r="N1968"/>
  <c r="O1968"/>
  <c r="C1971"/>
  <c r="N1971"/>
  <c r="O1971"/>
  <c r="C1960"/>
  <c r="N1960"/>
  <c r="O1960"/>
  <c r="C1957"/>
  <c r="N1957"/>
  <c r="O1957"/>
  <c r="C1946"/>
  <c r="N1946"/>
  <c r="O1946"/>
  <c r="C1942"/>
  <c r="N1942"/>
  <c r="O1942"/>
  <c r="C1941"/>
  <c r="N1941"/>
  <c r="O1941"/>
  <c r="C1936"/>
  <c r="N1936"/>
  <c r="O1936"/>
  <c r="C1925"/>
  <c r="N1925"/>
  <c r="O1925"/>
  <c r="C1924"/>
  <c r="N1924"/>
  <c r="O1924"/>
  <c r="C1923"/>
  <c r="N1923"/>
  <c r="O1923"/>
  <c r="C1919"/>
  <c r="N1919"/>
  <c r="O1919"/>
  <c r="C1911"/>
  <c r="N1911"/>
  <c r="O1911"/>
  <c r="C1908"/>
  <c r="N1908"/>
  <c r="O1908"/>
  <c r="C1905"/>
  <c r="N1905"/>
  <c r="O1905"/>
  <c r="C1902"/>
  <c r="N1902"/>
  <c r="O1902"/>
  <c r="C1870"/>
  <c r="N1870"/>
  <c r="O1870"/>
  <c r="C1869"/>
  <c r="N1869"/>
  <c r="O1869"/>
  <c r="C1897"/>
  <c r="N1897"/>
  <c r="O1897"/>
  <c r="C1881"/>
  <c r="N1881"/>
  <c r="O1881"/>
  <c r="C1880"/>
  <c r="N1880"/>
  <c r="O1880"/>
  <c r="C1875"/>
  <c r="N1875"/>
  <c r="O1875"/>
  <c r="C1791"/>
  <c r="N1791"/>
  <c r="O1791"/>
  <c r="C1849"/>
  <c r="N1849"/>
  <c r="O1849"/>
  <c r="C1844"/>
  <c r="N1844"/>
  <c r="O1844"/>
  <c r="C1838"/>
  <c r="N1838"/>
  <c r="O1838"/>
  <c r="C1837"/>
  <c r="N1837"/>
  <c r="O1837"/>
  <c r="C1817"/>
  <c r="N1817"/>
  <c r="O1817"/>
  <c r="C1816"/>
  <c r="N1816"/>
  <c r="O1816"/>
  <c r="C1808"/>
  <c r="N1808"/>
  <c r="O1808"/>
  <c r="C1750"/>
  <c r="N1750"/>
  <c r="O1750"/>
  <c r="C1737"/>
  <c r="N1737"/>
  <c r="O1737"/>
  <c r="C1753"/>
  <c r="N1753"/>
  <c r="O1753"/>
  <c r="C1744"/>
  <c r="N1744"/>
  <c r="O1744"/>
  <c r="C1733"/>
  <c r="N1733"/>
  <c r="O1733"/>
  <c r="C1743"/>
  <c r="N1743"/>
  <c r="O1743"/>
  <c r="C1740"/>
  <c r="N1740"/>
  <c r="O1740"/>
  <c r="C1749"/>
  <c r="N1749"/>
  <c r="O1749"/>
  <c r="C1732"/>
  <c r="N1732"/>
  <c r="O1732"/>
  <c r="C1731"/>
  <c r="N1731"/>
  <c r="O1731"/>
  <c r="C1752"/>
  <c r="N1752"/>
  <c r="O1752"/>
  <c r="C1742"/>
  <c r="N1742"/>
  <c r="O1742"/>
  <c r="C1748"/>
  <c r="N1748"/>
  <c r="O1748"/>
  <c r="C1747"/>
  <c r="N1747"/>
  <c r="O1747"/>
  <c r="C1746"/>
  <c r="N1746"/>
  <c r="O1746"/>
  <c r="C1739"/>
  <c r="N1739"/>
  <c r="O1739"/>
  <c r="C1741"/>
  <c r="N1741"/>
  <c r="O1741"/>
  <c r="C1736"/>
  <c r="N1736"/>
  <c r="O1736"/>
  <c r="C1716"/>
  <c r="N1716"/>
  <c r="O1716"/>
  <c r="C1730"/>
  <c r="N1730"/>
  <c r="O1730"/>
  <c r="C1729"/>
  <c r="N1729"/>
  <c r="O1729"/>
  <c r="C1728"/>
  <c r="N1728"/>
  <c r="O1728"/>
  <c r="C1735"/>
  <c r="N1735"/>
  <c r="O1735"/>
  <c r="C1715"/>
  <c r="N1715"/>
  <c r="O1715"/>
  <c r="C1714"/>
  <c r="N1714"/>
  <c r="O1714"/>
  <c r="C1713"/>
  <c r="N1713"/>
  <c r="O1713"/>
  <c r="C1707"/>
  <c r="N1707"/>
  <c r="O1707"/>
  <c r="C1727"/>
  <c r="N1727"/>
  <c r="O1727"/>
  <c r="C1726"/>
  <c r="N1726"/>
  <c r="O1726"/>
  <c r="C1700"/>
  <c r="N1700"/>
  <c r="O1700"/>
  <c r="C1699"/>
  <c r="N1699"/>
  <c r="O1699"/>
  <c r="C1725"/>
  <c r="N1725"/>
  <c r="O1725"/>
  <c r="C1706"/>
  <c r="N1706"/>
  <c r="O1706"/>
  <c r="C1734"/>
  <c r="N1734"/>
  <c r="O1734"/>
  <c r="C1724"/>
  <c r="N1724"/>
  <c r="O1724"/>
  <c r="C1705"/>
  <c r="N1705"/>
  <c r="O1705"/>
  <c r="C1686"/>
  <c r="N1686"/>
  <c r="O1686"/>
  <c r="C1723"/>
  <c r="N1723"/>
  <c r="O1723"/>
  <c r="C1722"/>
  <c r="N1722"/>
  <c r="O1722"/>
  <c r="N1693"/>
  <c r="O1693"/>
  <c r="C1685"/>
  <c r="N1685"/>
  <c r="O1685"/>
  <c r="C1698"/>
  <c r="N1698"/>
  <c r="O1698"/>
  <c r="C1692"/>
  <c r="N1692"/>
  <c r="O1692"/>
  <c r="C1712"/>
  <c r="N1712"/>
  <c r="O1712"/>
  <c r="C1711"/>
  <c r="N1711"/>
  <c r="O1711"/>
  <c r="C1697"/>
  <c r="N1697"/>
  <c r="O1697"/>
  <c r="C2030"/>
  <c r="N2030"/>
  <c r="O2030"/>
  <c r="C2025"/>
  <c r="N2025"/>
  <c r="O2025"/>
  <c r="C2019"/>
  <c r="N2019"/>
  <c r="O2019"/>
  <c r="C2015"/>
  <c r="N2015"/>
  <c r="O2015"/>
  <c r="N2014"/>
  <c r="O2014"/>
  <c r="C1995"/>
  <c r="N1995"/>
  <c r="O1995"/>
  <c r="C1980"/>
  <c r="N1980"/>
  <c r="O1980"/>
  <c r="C1979"/>
  <c r="N1979"/>
  <c r="O1979"/>
  <c r="C1974"/>
  <c r="N1974"/>
  <c r="O1974"/>
  <c r="C1967"/>
  <c r="N1967"/>
  <c r="O1967"/>
  <c r="C1966"/>
  <c r="N1966"/>
  <c r="O1966"/>
  <c r="C1956"/>
  <c r="N1956"/>
  <c r="O1956"/>
  <c r="C1954"/>
  <c r="N1954"/>
  <c r="O1954"/>
  <c r="C1953"/>
  <c r="N1953"/>
  <c r="O1953"/>
  <c r="C1952" l="1"/>
  <c r="N1952"/>
  <c r="O1952"/>
  <c r="C1951"/>
  <c r="N1951"/>
  <c r="O1951"/>
  <c r="C1949"/>
  <c r="N1949"/>
  <c r="O1949"/>
  <c r="C1944"/>
  <c r="N1944"/>
  <c r="O1944"/>
  <c r="C1943"/>
  <c r="N1943"/>
  <c r="O1943"/>
  <c r="C1940" l="1"/>
  <c r="N1940"/>
  <c r="O1940"/>
  <c r="C1933"/>
  <c r="N1933"/>
  <c r="O1933"/>
  <c r="M1932"/>
  <c r="C1932"/>
  <c r="N1932"/>
  <c r="O1932"/>
  <c r="C1928"/>
  <c r="N1928"/>
  <c r="O1928"/>
  <c r="C1927"/>
  <c r="N1927"/>
  <c r="O1927"/>
  <c r="C1918"/>
  <c r="N1918"/>
  <c r="O1918"/>
  <c r="M1914"/>
  <c r="C1914"/>
  <c r="N1914"/>
  <c r="O1914"/>
  <c r="C1912"/>
  <c r="N1912"/>
  <c r="O1912"/>
  <c r="C1910"/>
  <c r="N1910"/>
  <c r="O1910"/>
  <c r="C1901"/>
  <c r="N1901"/>
  <c r="O1901"/>
  <c r="C1900"/>
  <c r="N1900"/>
  <c r="O1900"/>
  <c r="C1884"/>
  <c r="N1884"/>
  <c r="O1884"/>
  <c r="C1879"/>
  <c r="N1879"/>
  <c r="O1879"/>
  <c r="C1878"/>
  <c r="N1878"/>
  <c r="O1878"/>
  <c r="C1883"/>
  <c r="N1883"/>
  <c r="O1883"/>
  <c r="C1874"/>
  <c r="N1874"/>
  <c r="O1874"/>
  <c r="M1873"/>
  <c r="C1873"/>
  <c r="N1873"/>
  <c r="O1873"/>
  <c r="M1868"/>
  <c r="C1868"/>
  <c r="N1868"/>
  <c r="O1868"/>
  <c r="M1807"/>
  <c r="C1807"/>
  <c r="N1807"/>
  <c r="O1807"/>
  <c r="M1806"/>
  <c r="C1806"/>
  <c r="N1806"/>
  <c r="O1806"/>
  <c r="C1865"/>
  <c r="N1865"/>
  <c r="O1865"/>
  <c r="C1862"/>
  <c r="N1862"/>
  <c r="O1862"/>
  <c r="C1861"/>
  <c r="N1861"/>
  <c r="O1861"/>
  <c r="C1857"/>
  <c r="N1857"/>
  <c r="O1857"/>
  <c r="C1855"/>
  <c r="N1855"/>
  <c r="O1855"/>
  <c r="C1854"/>
  <c r="N1854"/>
  <c r="O1854"/>
  <c r="C1835"/>
  <c r="N1835"/>
  <c r="O1835"/>
  <c r="C1834"/>
  <c r="N1834"/>
  <c r="O1834"/>
  <c r="C1896"/>
  <c r="N1896"/>
  <c r="O1896"/>
  <c r="M1822"/>
  <c r="C1822"/>
  <c r="N1822"/>
  <c r="O1822"/>
  <c r="M1856"/>
  <c r="C1856"/>
  <c r="N1856"/>
  <c r="O1856"/>
  <c r="M1887"/>
  <c r="C1887"/>
  <c r="N1887"/>
  <c r="O1887"/>
  <c r="M1843"/>
  <c r="C1843"/>
  <c r="N1843"/>
  <c r="O1843"/>
  <c r="C1805"/>
  <c r="N1805"/>
  <c r="O1805"/>
  <c r="M1826"/>
  <c r="C1826"/>
  <c r="N1826"/>
  <c r="O1826"/>
  <c r="M1815"/>
  <c r="C1815"/>
  <c r="N1815"/>
  <c r="O1815"/>
  <c r="C1909"/>
  <c r="N1909"/>
  <c r="O1909"/>
  <c r="M1907"/>
  <c r="C1907"/>
  <c r="N1907"/>
  <c r="O1907"/>
  <c r="M1904"/>
  <c r="C1904"/>
  <c r="N1904"/>
  <c r="O1904"/>
  <c r="C1895"/>
  <c r="N1895"/>
  <c r="O1895"/>
  <c r="C1894"/>
  <c r="N1894"/>
  <c r="O1894"/>
  <c r="C1893"/>
  <c r="N1893"/>
  <c r="O1893"/>
  <c r="C1886"/>
  <c r="N1886"/>
  <c r="O1886"/>
  <c r="C1885"/>
  <c r="N1885"/>
  <c r="O1885"/>
  <c r="C1882"/>
  <c r="N1882"/>
  <c r="O1882"/>
  <c r="C1877"/>
  <c r="N1877"/>
  <c r="O1877"/>
  <c r="C1876"/>
  <c r="N1876"/>
  <c r="O1876"/>
  <c r="C1871"/>
  <c r="N1871"/>
  <c r="O1871"/>
  <c r="C1867"/>
  <c r="N1867"/>
  <c r="O1867"/>
  <c r="C1830" l="1"/>
  <c r="N1830"/>
  <c r="O1830"/>
  <c r="C1825"/>
  <c r="N1825"/>
  <c r="O1825"/>
  <c r="C1824"/>
  <c r="N1824"/>
  <c r="O1824"/>
  <c r="C1821"/>
  <c r="N1821"/>
  <c r="O1821"/>
  <c r="C1804"/>
  <c r="N1804"/>
  <c r="O1804"/>
  <c r="M1803"/>
  <c r="C1803"/>
  <c r="N1803"/>
  <c r="O1803"/>
  <c r="C1802"/>
  <c r="N1802"/>
  <c r="O1802"/>
  <c r="C1836"/>
  <c r="N1836"/>
  <c r="O1836"/>
  <c r="M1814"/>
  <c r="C1814"/>
  <c r="N1814"/>
  <c r="O1814"/>
  <c r="C1801"/>
  <c r="N1801"/>
  <c r="O1801"/>
  <c r="M1860"/>
  <c r="C1860"/>
  <c r="N1860"/>
  <c r="O1860"/>
  <c r="C1842"/>
  <c r="N1842"/>
  <c r="O1842"/>
  <c r="C1841"/>
  <c r="N1841"/>
  <c r="O1841"/>
  <c r="M1840"/>
  <c r="C1840"/>
  <c r="N1840"/>
  <c r="O1840"/>
  <c r="C1839"/>
  <c r="N1839"/>
  <c r="O1839"/>
  <c r="M1833"/>
  <c r="C1833"/>
  <c r="N1833"/>
  <c r="O1833"/>
  <c r="C1832"/>
  <c r="N1832"/>
  <c r="O1832"/>
  <c r="C1829"/>
  <c r="N1829"/>
  <c r="O1829"/>
  <c r="C1813"/>
  <c r="N1813"/>
  <c r="O1813"/>
  <c r="M1794"/>
  <c r="C1794"/>
  <c r="N1794"/>
  <c r="O1794"/>
  <c r="A5" i="31"/>
  <c r="C1788" i="7" l="1"/>
  <c r="N1788"/>
  <c r="O1788"/>
  <c r="C1780"/>
  <c r="N1780"/>
  <c r="O1780"/>
  <c r="M1797"/>
  <c r="C1797"/>
  <c r="N1797"/>
  <c r="O1797"/>
  <c r="M1767"/>
  <c r="C1767"/>
  <c r="N1767"/>
  <c r="O1767"/>
  <c r="M1799"/>
  <c r="M1759"/>
  <c r="C1759"/>
  <c r="N1759"/>
  <c r="O1759"/>
  <c r="C1799"/>
  <c r="N1799"/>
  <c r="O1799"/>
  <c r="M1798"/>
  <c r="C1798"/>
  <c r="N1798"/>
  <c r="O1798"/>
  <c r="M1772"/>
  <c r="C1772"/>
  <c r="N1772"/>
  <c r="O1772"/>
  <c r="C1784"/>
  <c r="N1784"/>
  <c r="O1784"/>
  <c r="M1775"/>
  <c r="C1775"/>
  <c r="N1775"/>
  <c r="O1775"/>
  <c r="C1779"/>
  <c r="N1779"/>
  <c r="O1779"/>
  <c r="M1790"/>
  <c r="C1790"/>
  <c r="N1790"/>
  <c r="O1790"/>
  <c r="C1796"/>
  <c r="N1796"/>
  <c r="O1796"/>
  <c r="C1795"/>
  <c r="N1795"/>
  <c r="O1795"/>
  <c r="C1783"/>
  <c r="N1783"/>
  <c r="O1783"/>
  <c r="C1774"/>
  <c r="N1774"/>
  <c r="O1774"/>
  <c r="M1771"/>
  <c r="C1771"/>
  <c r="N1771"/>
  <c r="O1771"/>
  <c r="C1758"/>
  <c r="N1758"/>
  <c r="O1758"/>
  <c r="M1763"/>
  <c r="C1763"/>
  <c r="N1763"/>
  <c r="O1763"/>
  <c r="C1765"/>
  <c r="N1765"/>
  <c r="O1765"/>
  <c r="M1770"/>
  <c r="C1764"/>
  <c r="N1764"/>
  <c r="O1764"/>
  <c r="C1770"/>
  <c r="N1770"/>
  <c r="O1770"/>
  <c r="M1769"/>
  <c r="C1769"/>
  <c r="N1769"/>
  <c r="O1769"/>
  <c r="H6" i="31"/>
  <c r="C1768" i="7"/>
  <c r="N1768"/>
  <c r="O1768"/>
  <c r="C1766"/>
  <c r="N1766"/>
  <c r="O1766"/>
  <c r="C1762"/>
  <c r="N1762"/>
  <c r="O1762"/>
  <c r="C1757"/>
  <c r="N1757"/>
  <c r="O1757"/>
  <c r="C1756"/>
  <c r="N1756"/>
  <c r="O1756"/>
  <c r="C1761"/>
  <c r="N1761"/>
  <c r="O1761"/>
  <c r="C1782"/>
  <c r="N1782"/>
  <c r="O1782"/>
  <c r="C1787"/>
  <c r="N1787"/>
  <c r="O1787"/>
  <c r="C1786"/>
  <c r="N1786"/>
  <c r="O1786"/>
  <c r="C1781"/>
  <c r="N1781"/>
  <c r="O1781"/>
  <c r="C1755"/>
  <c r="N1755"/>
  <c r="O1755"/>
  <c r="C1773"/>
  <c r="N1773"/>
  <c r="O1773"/>
  <c r="M1778"/>
  <c r="C1778"/>
  <c r="N1778"/>
  <c r="O1778"/>
  <c r="C1777"/>
  <c r="N1777"/>
  <c r="O1777"/>
  <c r="C1785"/>
  <c r="N1785"/>
  <c r="O1785"/>
  <c r="M1793"/>
  <c r="C1793"/>
  <c r="N1793"/>
  <c r="O1793"/>
  <c r="C1503" l="1"/>
  <c r="F6" i="31" l="1"/>
  <c r="F5"/>
  <c r="E7"/>
  <c r="E6"/>
  <c r="E5"/>
  <c r="D7"/>
  <c r="D6"/>
  <c r="D5"/>
  <c r="C7"/>
  <c r="C6"/>
  <c r="C5"/>
  <c r="F7"/>
  <c r="H7"/>
  <c r="H5"/>
  <c r="I7"/>
  <c r="I6"/>
  <c r="I5"/>
  <c r="C1745" i="7"/>
  <c r="N1745"/>
  <c r="O1745"/>
  <c r="C1738"/>
  <c r="N1738"/>
  <c r="O1738"/>
  <c r="C1710"/>
  <c r="N1710"/>
  <c r="O1710"/>
  <c r="C1721"/>
  <c r="N1721"/>
  <c r="O1721"/>
  <c r="C1720"/>
  <c r="N1720"/>
  <c r="O1720"/>
  <c r="C1696"/>
  <c r="N1696"/>
  <c r="O1696"/>
  <c r="C1704"/>
  <c r="N1704"/>
  <c r="O1704"/>
  <c r="C1719"/>
  <c r="N1719"/>
  <c r="O1719"/>
  <c r="C1684"/>
  <c r="N1684"/>
  <c r="O1684"/>
  <c r="C1683"/>
  <c r="N1683"/>
  <c r="O1683"/>
  <c r="C1776"/>
  <c r="N1776"/>
  <c r="O1776"/>
  <c r="A6" i="31" l="1"/>
  <c r="A7"/>
  <c r="R3" i="28"/>
  <c r="S3"/>
  <c r="R4"/>
  <c r="S4"/>
  <c r="R5"/>
  <c r="S5"/>
  <c r="R6"/>
  <c r="S6"/>
  <c r="R7"/>
  <c r="S7"/>
  <c r="R8"/>
  <c r="S8"/>
  <c r="R9"/>
  <c r="S9"/>
  <c r="M1667" i="7"/>
  <c r="C1667"/>
  <c r="N1667"/>
  <c r="O1667"/>
  <c r="M1641"/>
  <c r="C1641"/>
  <c r="N1641"/>
  <c r="O1641"/>
  <c r="C1718"/>
  <c r="N1718"/>
  <c r="O1718"/>
  <c r="M1717"/>
  <c r="C1717"/>
  <c r="N1717"/>
  <c r="O1717"/>
  <c r="C1703"/>
  <c r="N1703"/>
  <c r="O1703"/>
  <c r="M1695"/>
  <c r="C1695"/>
  <c r="N1695"/>
  <c r="O1695"/>
  <c r="M1709"/>
  <c r="C1709"/>
  <c r="N1709"/>
  <c r="O1709"/>
  <c r="M1708"/>
  <c r="C1708"/>
  <c r="N1708"/>
  <c r="O1708"/>
  <c r="N1702"/>
  <c r="O1702"/>
  <c r="C1702"/>
  <c r="M1702"/>
  <c r="M1701"/>
  <c r="C1701"/>
  <c r="N1701"/>
  <c r="O1701"/>
  <c r="C1675"/>
  <c r="N1675"/>
  <c r="O1675"/>
  <c r="C1682"/>
  <c r="N1682"/>
  <c r="O1682"/>
  <c r="C1694"/>
  <c r="N1694"/>
  <c r="O1694"/>
  <c r="M1658"/>
  <c r="C1658"/>
  <c r="N1658"/>
  <c r="O1658"/>
  <c r="C1691"/>
  <c r="N1691"/>
  <c r="O1691"/>
  <c r="C1690"/>
  <c r="N1690"/>
  <c r="O1690"/>
  <c r="M1689"/>
  <c r="C1689"/>
  <c r="N1689"/>
  <c r="O1689"/>
  <c r="C1688"/>
  <c r="N1688"/>
  <c r="O1688"/>
  <c r="C1687"/>
  <c r="N1687"/>
  <c r="O1687"/>
  <c r="C1679"/>
  <c r="N1679"/>
  <c r="O1679"/>
  <c r="C1672"/>
  <c r="N1672"/>
  <c r="O1672"/>
  <c r="C1663"/>
  <c r="N1663"/>
  <c r="O1663"/>
  <c r="C1674"/>
  <c r="N1674"/>
  <c r="O1674"/>
  <c r="B31" i="30" l="1"/>
  <c r="B22"/>
  <c r="C9"/>
  <c r="B13"/>
  <c r="H9"/>
  <c r="H8"/>
  <c r="H7"/>
  <c r="C8"/>
  <c r="C7"/>
  <c r="C1671" i="7"/>
  <c r="N1671"/>
  <c r="O1671"/>
  <c r="C1673"/>
  <c r="N1673"/>
  <c r="O1673"/>
  <c r="C1662"/>
  <c r="N1662"/>
  <c r="O1662"/>
  <c r="C1681"/>
  <c r="N1681"/>
  <c r="O1681"/>
  <c r="C1670"/>
  <c r="N1670"/>
  <c r="O1670"/>
  <c r="C1678"/>
  <c r="N1678"/>
  <c r="O1678"/>
  <c r="C1680"/>
  <c r="N1680"/>
  <c r="O1680"/>
  <c r="C1666"/>
  <c r="N1666"/>
  <c r="O1666"/>
  <c r="C1669"/>
  <c r="N1669"/>
  <c r="O1669"/>
  <c r="C1665"/>
  <c r="N1665"/>
  <c r="O1665"/>
  <c r="C1664"/>
  <c r="N1664"/>
  <c r="O1664"/>
  <c r="M1677"/>
  <c r="C1677"/>
  <c r="N1677"/>
  <c r="O1677"/>
  <c r="C1660"/>
  <c r="N1660"/>
  <c r="O1660"/>
  <c r="C1661"/>
  <c r="N1661"/>
  <c r="O1661"/>
  <c r="M1659"/>
  <c r="C1659"/>
  <c r="N1659"/>
  <c r="O1659"/>
  <c r="M1668"/>
  <c r="N1668"/>
  <c r="C1668"/>
  <c r="O1668"/>
  <c r="C1657" l="1"/>
  <c r="N1657"/>
  <c r="O1657"/>
  <c r="M1638"/>
  <c r="C1638"/>
  <c r="N1638"/>
  <c r="O1638"/>
  <c r="M1636"/>
  <c r="C1636"/>
  <c r="N1636"/>
  <c r="O1636"/>
  <c r="M1643"/>
  <c r="C1643"/>
  <c r="N1643"/>
  <c r="O1643"/>
  <c r="M1639"/>
  <c r="C1639"/>
  <c r="N1639"/>
  <c r="O1639"/>
  <c r="M1640"/>
  <c r="C1640"/>
  <c r="N1640"/>
  <c r="O1640"/>
  <c r="C1642"/>
  <c r="N1642"/>
  <c r="O1642"/>
  <c r="M1635"/>
  <c r="C1634"/>
  <c r="N1634"/>
  <c r="O1634"/>
  <c r="C1635"/>
  <c r="N1635"/>
  <c r="O1635"/>
  <c r="C1630"/>
  <c r="N1630"/>
  <c r="O1630"/>
  <c r="C1619"/>
  <c r="N1619"/>
  <c r="O1619"/>
  <c r="C1652" l="1"/>
  <c r="N1652"/>
  <c r="O1652"/>
  <c r="C1651"/>
  <c r="N1651"/>
  <c r="O1651"/>
  <c r="C1650"/>
  <c r="N1650"/>
  <c r="O1650"/>
  <c r="C1649"/>
  <c r="N1649"/>
  <c r="O1649"/>
  <c r="C1648"/>
  <c r="N1648"/>
  <c r="O1648"/>
  <c r="M1647"/>
  <c r="C1647"/>
  <c r="N1647"/>
  <c r="O1647"/>
  <c r="C1646"/>
  <c r="N1646"/>
  <c r="O1646"/>
  <c r="C1645"/>
  <c r="N1645"/>
  <c r="O1645"/>
  <c r="C1644"/>
  <c r="N1644"/>
  <c r="O1644"/>
  <c r="M1621"/>
  <c r="M1588"/>
  <c r="M1616"/>
  <c r="M1620"/>
  <c r="M1624"/>
  <c r="M1628" l="1"/>
  <c r="M1626"/>
  <c r="M1625"/>
  <c r="M1623"/>
  <c r="M1589"/>
  <c r="M1618"/>
  <c r="O1586"/>
  <c r="O1589"/>
  <c r="O1592"/>
  <c r="O1593"/>
  <c r="O1594"/>
  <c r="O1598"/>
  <c r="O1599"/>
  <c r="O1603"/>
  <c r="O1608"/>
  <c r="O1609"/>
  <c r="O1613"/>
  <c r="O1614"/>
  <c r="O1590"/>
  <c r="O1600"/>
  <c r="O1596"/>
  <c r="O1604"/>
  <c r="O1605"/>
  <c r="O1587"/>
  <c r="O1591"/>
  <c r="O1597"/>
  <c r="O1602"/>
  <c r="O1610"/>
  <c r="O1615"/>
  <c r="O1617"/>
  <c r="O1618"/>
  <c r="O1622"/>
  <c r="O1623"/>
  <c r="O1625"/>
  <c r="O1626"/>
  <c r="O1627"/>
  <c r="O1628"/>
  <c r="O1629"/>
  <c r="O1631"/>
  <c r="O1632"/>
  <c r="O1624"/>
  <c r="O1588"/>
  <c r="O1620"/>
  <c r="O1616"/>
  <c r="O1621"/>
  <c r="O1585"/>
  <c r="N1586"/>
  <c r="N1589"/>
  <c r="N1592"/>
  <c r="N1593"/>
  <c r="N1594"/>
  <c r="N1598"/>
  <c r="N1599"/>
  <c r="N1603"/>
  <c r="N1608"/>
  <c r="N1609"/>
  <c r="N1613"/>
  <c r="N1614"/>
  <c r="N1590"/>
  <c r="N1600"/>
  <c r="N1596"/>
  <c r="N1604"/>
  <c r="N1605"/>
  <c r="N1587"/>
  <c r="N1591"/>
  <c r="N1597"/>
  <c r="N1602"/>
  <c r="N1610"/>
  <c r="N1615"/>
  <c r="N1617"/>
  <c r="N1618"/>
  <c r="N1622"/>
  <c r="N1623"/>
  <c r="N1625"/>
  <c r="N1626"/>
  <c r="N1627"/>
  <c r="N1628"/>
  <c r="N1629"/>
  <c r="N1631"/>
  <c r="N1632"/>
  <c r="N1624"/>
  <c r="N1588"/>
  <c r="N1620"/>
  <c r="N1616"/>
  <c r="N1621"/>
  <c r="N1585"/>
  <c r="C1586"/>
  <c r="C1589"/>
  <c r="C1592"/>
  <c r="C1593"/>
  <c r="C1594"/>
  <c r="C1598"/>
  <c r="C1599"/>
  <c r="C1603"/>
  <c r="C1608"/>
  <c r="C1609"/>
  <c r="C1613"/>
  <c r="C1614"/>
  <c r="C1590"/>
  <c r="C1600"/>
  <c r="C1596"/>
  <c r="C1604"/>
  <c r="C1605"/>
  <c r="C1587"/>
  <c r="C1591"/>
  <c r="C1597"/>
  <c r="C1602"/>
  <c r="C1610"/>
  <c r="C1615"/>
  <c r="C1617"/>
  <c r="C1618"/>
  <c r="C1622"/>
  <c r="C1623"/>
  <c r="C1625"/>
  <c r="C1626"/>
  <c r="C1627"/>
  <c r="C1628"/>
  <c r="C1629"/>
  <c r="C1631"/>
  <c r="C1632"/>
  <c r="C1624"/>
  <c r="C1588"/>
  <c r="C1620"/>
  <c r="C1616"/>
  <c r="C1621"/>
  <c r="C1585"/>
  <c r="C1612"/>
  <c r="N1612"/>
  <c r="O1612"/>
  <c r="C1611"/>
  <c r="N1611"/>
  <c r="O1611"/>
  <c r="C1607"/>
  <c r="N1607"/>
  <c r="O1607"/>
  <c r="C1606"/>
  <c r="N1606"/>
  <c r="O1606"/>
  <c r="C1601"/>
  <c r="N1601"/>
  <c r="O1601"/>
  <c r="C1595"/>
  <c r="N1595"/>
  <c r="O1595"/>
  <c r="C1584"/>
  <c r="N1584"/>
  <c r="O1584"/>
  <c r="C1583"/>
  <c r="N1583"/>
  <c r="O1583"/>
  <c r="C1582"/>
  <c r="N1582"/>
  <c r="O1582"/>
  <c r="C1581"/>
  <c r="N1581"/>
  <c r="O1581"/>
  <c r="C1570"/>
  <c r="N1570"/>
  <c r="O1570"/>
  <c r="C1572"/>
  <c r="N1572"/>
  <c r="O1572"/>
  <c r="C1573"/>
  <c r="N1573"/>
  <c r="O1573"/>
  <c r="C1580"/>
  <c r="N1580"/>
  <c r="O1580"/>
  <c r="C1579"/>
  <c r="N1579"/>
  <c r="O1579"/>
  <c r="C1578"/>
  <c r="N1578"/>
  <c r="O1578"/>
  <c r="C1576"/>
  <c r="N1576"/>
  <c r="O1576"/>
  <c r="C1571"/>
  <c r="N1571"/>
  <c r="O1571"/>
  <c r="C1574"/>
  <c r="N1574"/>
  <c r="O1574"/>
  <c r="C1577"/>
  <c r="N1577"/>
  <c r="O1577"/>
  <c r="M1569"/>
  <c r="C1569"/>
  <c r="N1569"/>
  <c r="O1569"/>
  <c r="C1575"/>
  <c r="N1575"/>
  <c r="O1575"/>
  <c r="C1568"/>
  <c r="N1568"/>
  <c r="O1568"/>
  <c r="C1563"/>
  <c r="N1563"/>
  <c r="O1563"/>
  <c r="C1567" l="1"/>
  <c r="N1567"/>
  <c r="O1567"/>
  <c r="C1564"/>
  <c r="N1564"/>
  <c r="O1564"/>
  <c r="M1545"/>
  <c r="C1545"/>
  <c r="N1545"/>
  <c r="O1545"/>
  <c r="O1424"/>
  <c r="O1425"/>
  <c r="O1426"/>
  <c r="O1427"/>
  <c r="O1428"/>
  <c r="O1429"/>
  <c r="O1430"/>
  <c r="O1431"/>
  <c r="O1432"/>
  <c r="O1433"/>
  <c r="O1434"/>
  <c r="O1435"/>
  <c r="O1436"/>
  <c r="O1437"/>
  <c r="O1438"/>
  <c r="O1439"/>
  <c r="O1440"/>
  <c r="O1441"/>
  <c r="O1442"/>
  <c r="O1443"/>
  <c r="O1444"/>
  <c r="O1445"/>
  <c r="O1446"/>
  <c r="O1447"/>
  <c r="O1448"/>
  <c r="O1449"/>
  <c r="O1450"/>
  <c r="O1451"/>
  <c r="O1452"/>
  <c r="O1453"/>
  <c r="O1454"/>
  <c r="O1455"/>
  <c r="O1456"/>
  <c r="O1457"/>
  <c r="O1458"/>
  <c r="O1459"/>
  <c r="O1460"/>
  <c r="O1461"/>
  <c r="O1462"/>
  <c r="O1463"/>
  <c r="O1464"/>
  <c r="O1465"/>
  <c r="O1466"/>
  <c r="O1467"/>
  <c r="O1468"/>
  <c r="O1469"/>
  <c r="O1470"/>
  <c r="O1471"/>
  <c r="O1472"/>
  <c r="O1473"/>
  <c r="O1474"/>
  <c r="O1475"/>
  <c r="O1476"/>
  <c r="O1477"/>
  <c r="O1478"/>
  <c r="O1479"/>
  <c r="O1480"/>
  <c r="O1481"/>
  <c r="O1482"/>
  <c r="O1483"/>
  <c r="O1484"/>
  <c r="O1485"/>
  <c r="O1486"/>
  <c r="O1487"/>
  <c r="O1488"/>
  <c r="O1489"/>
  <c r="O1490"/>
  <c r="O1491"/>
  <c r="O1492"/>
  <c r="O1493"/>
  <c r="O1494"/>
  <c r="O1495"/>
  <c r="O1496"/>
  <c r="O1497"/>
  <c r="O1498"/>
  <c r="O1499"/>
  <c r="O1500"/>
  <c r="O1501"/>
  <c r="O1502"/>
  <c r="O1503"/>
  <c r="O1504"/>
  <c r="O1505"/>
  <c r="O1506"/>
  <c r="O1507"/>
  <c r="O1508"/>
  <c r="O1509"/>
  <c r="O1510"/>
  <c r="O1511"/>
  <c r="O1512"/>
  <c r="O1513"/>
  <c r="O1514"/>
  <c r="O1515"/>
  <c r="O1516"/>
  <c r="O1517"/>
  <c r="O1520"/>
  <c r="O1521"/>
  <c r="O1522"/>
  <c r="O1523"/>
  <c r="O1524"/>
  <c r="O1525"/>
  <c r="O1526"/>
  <c r="O1527"/>
  <c r="O1528"/>
  <c r="O1529"/>
  <c r="O1530"/>
  <c r="O1531"/>
  <c r="O1532"/>
  <c r="O1533"/>
  <c r="O1534"/>
  <c r="O1535"/>
  <c r="O1536"/>
  <c r="O1537"/>
  <c r="O1538"/>
  <c r="O1539"/>
  <c r="O1540"/>
  <c r="O1541"/>
  <c r="O1542"/>
  <c r="O1543"/>
  <c r="O1544"/>
  <c r="O1546"/>
  <c r="O1547"/>
  <c r="O1548"/>
  <c r="O1549"/>
  <c r="O1550"/>
  <c r="O1551"/>
  <c r="O1552"/>
  <c r="O1553"/>
  <c r="O1554"/>
  <c r="O1555"/>
  <c r="O1556"/>
  <c r="O1557"/>
  <c r="O1558"/>
  <c r="O1559"/>
  <c r="O1560"/>
  <c r="O1561"/>
  <c r="O1562"/>
  <c r="O1565"/>
  <c r="O1566"/>
  <c r="N1462"/>
  <c r="N1463"/>
  <c r="N1464"/>
  <c r="N1465"/>
  <c r="N1466"/>
  <c r="N1467"/>
  <c r="N1468"/>
  <c r="N1469"/>
  <c r="N1470"/>
  <c r="N1471"/>
  <c r="N1472"/>
  <c r="N1473"/>
  <c r="N1474"/>
  <c r="N1475"/>
  <c r="N1476"/>
  <c r="N1477"/>
  <c r="N1478"/>
  <c r="N1479"/>
  <c r="N1480"/>
  <c r="N1481"/>
  <c r="N1482"/>
  <c r="N1483"/>
  <c r="N1484"/>
  <c r="N1485"/>
  <c r="N1486"/>
  <c r="N1487"/>
  <c r="N1488"/>
  <c r="N1489"/>
  <c r="N1490"/>
  <c r="N1491"/>
  <c r="N1492"/>
  <c r="N1493"/>
  <c r="N1494"/>
  <c r="N1495"/>
  <c r="N1496"/>
  <c r="N1497"/>
  <c r="N1498"/>
  <c r="N1499"/>
  <c r="N1500"/>
  <c r="N1501"/>
  <c r="N1502"/>
  <c r="N1503"/>
  <c r="N1504"/>
  <c r="N1505"/>
  <c r="N1506"/>
  <c r="N1507"/>
  <c r="N1508"/>
  <c r="N1509"/>
  <c r="N1510"/>
  <c r="N1511"/>
  <c r="N1512"/>
  <c r="N1513"/>
  <c r="N1514"/>
  <c r="N1515"/>
  <c r="N1516"/>
  <c r="N1517"/>
  <c r="N1520"/>
  <c r="N1521"/>
  <c r="N1522"/>
  <c r="N1523"/>
  <c r="N1524"/>
  <c r="N1525"/>
  <c r="N1526"/>
  <c r="N1527"/>
  <c r="N1528"/>
  <c r="N1529"/>
  <c r="N1530"/>
  <c r="N1531"/>
  <c r="N1532"/>
  <c r="N1533"/>
  <c r="N1534"/>
  <c r="N1535"/>
  <c r="N1536"/>
  <c r="N1537"/>
  <c r="N1538"/>
  <c r="N1539"/>
  <c r="N1540"/>
  <c r="N1541"/>
  <c r="N1542"/>
  <c r="N1543"/>
  <c r="N1544"/>
  <c r="N1546"/>
  <c r="N1547"/>
  <c r="N1548"/>
  <c r="N1549"/>
  <c r="N1550"/>
  <c r="N1551"/>
  <c r="N1552"/>
  <c r="N1553"/>
  <c r="N1554"/>
  <c r="N1555"/>
  <c r="N1556"/>
  <c r="N1557"/>
  <c r="N1558"/>
  <c r="N1559"/>
  <c r="N1560"/>
  <c r="N1561"/>
  <c r="N1562"/>
  <c r="N1565"/>
  <c r="N1566"/>
  <c r="N1426"/>
  <c r="N1427"/>
  <c r="N1428"/>
  <c r="N1429"/>
  <c r="N1430"/>
  <c r="N1431"/>
  <c r="N1432"/>
  <c r="N1433"/>
  <c r="N1434"/>
  <c r="N1435"/>
  <c r="N1436"/>
  <c r="N1437"/>
  <c r="N1438"/>
  <c r="N1439"/>
  <c r="N1440"/>
  <c r="N1441"/>
  <c r="N1442"/>
  <c r="N1443"/>
  <c r="N1444"/>
  <c r="N1445"/>
  <c r="N1446"/>
  <c r="N1447"/>
  <c r="N1448"/>
  <c r="N1449"/>
  <c r="N1450"/>
  <c r="N1451"/>
  <c r="N1452"/>
  <c r="N1453"/>
  <c r="N1454"/>
  <c r="N1455"/>
  <c r="N1456"/>
  <c r="N1457"/>
  <c r="N1458"/>
  <c r="N1459"/>
  <c r="N1460"/>
  <c r="N1461"/>
  <c r="N1425"/>
  <c r="M1566"/>
  <c r="C1566"/>
  <c r="C1425"/>
  <c r="C1426"/>
  <c r="C1427"/>
  <c r="C1428"/>
  <c r="C1429"/>
  <c r="C1430"/>
  <c r="C1431"/>
  <c r="C1432"/>
  <c r="C1433"/>
  <c r="C1434"/>
  <c r="C1435"/>
  <c r="C1436"/>
  <c r="C1437"/>
  <c r="C1438"/>
  <c r="C1439"/>
  <c r="C1440"/>
  <c r="C1441"/>
  <c r="C1442"/>
  <c r="C1443"/>
  <c r="C1444"/>
  <c r="C1445"/>
  <c r="C1446"/>
  <c r="C1447"/>
  <c r="C1448"/>
  <c r="C1449"/>
  <c r="C1450"/>
  <c r="C1451"/>
  <c r="C1452"/>
  <c r="C1453"/>
  <c r="C1454"/>
  <c r="C1455"/>
  <c r="C1456"/>
  <c r="C1457"/>
  <c r="C1458"/>
  <c r="C1459"/>
  <c r="C1460"/>
  <c r="C1461"/>
  <c r="C1462"/>
  <c r="C1463"/>
  <c r="C1464"/>
  <c r="C1465"/>
  <c r="C1466"/>
  <c r="C1467"/>
  <c r="C1468"/>
  <c r="C1469"/>
  <c r="C1470"/>
  <c r="C1471"/>
  <c r="C1472"/>
  <c r="C1473"/>
  <c r="C1474"/>
  <c r="C1475"/>
  <c r="C1476"/>
  <c r="C1477"/>
  <c r="C1478"/>
  <c r="C1479"/>
  <c r="C1480"/>
  <c r="C1481"/>
  <c r="C1482"/>
  <c r="C1483"/>
  <c r="C1484"/>
  <c r="C1485"/>
  <c r="C1486"/>
  <c r="C1487"/>
  <c r="C1488"/>
  <c r="C1489"/>
  <c r="C1490"/>
  <c r="C1491"/>
  <c r="C1492"/>
  <c r="C1493"/>
  <c r="C1494"/>
  <c r="C1495"/>
  <c r="C1496"/>
  <c r="C1497"/>
  <c r="C1498"/>
  <c r="C1499"/>
  <c r="C1500"/>
  <c r="C1501"/>
  <c r="C1502"/>
  <c r="C1504"/>
  <c r="C1505"/>
  <c r="C1506"/>
  <c r="C1507"/>
  <c r="C1508"/>
  <c r="C1509"/>
  <c r="C1510"/>
  <c r="C1511"/>
  <c r="C1512"/>
  <c r="C1513"/>
  <c r="C1514"/>
  <c r="C1515"/>
  <c r="C1516"/>
  <c r="C1517"/>
  <c r="C1520"/>
  <c r="C1521"/>
  <c r="C1522"/>
  <c r="C1523"/>
  <c r="C1524"/>
  <c r="C1525"/>
  <c r="C1526"/>
  <c r="C1527"/>
  <c r="C1528"/>
  <c r="C1529"/>
  <c r="C1530"/>
  <c r="C1531"/>
  <c r="C1532"/>
  <c r="C1533"/>
  <c r="C1534"/>
  <c r="C1535"/>
  <c r="C1536"/>
  <c r="C1537"/>
  <c r="C1538"/>
  <c r="C1539"/>
  <c r="C1540"/>
  <c r="C1541"/>
  <c r="C1542"/>
  <c r="C1543"/>
  <c r="C1544"/>
  <c r="C1546"/>
  <c r="C1547"/>
  <c r="C1548"/>
  <c r="C1549"/>
  <c r="C1550"/>
  <c r="C1551"/>
  <c r="C1552"/>
  <c r="C1553"/>
  <c r="C1554"/>
  <c r="C1555"/>
  <c r="C1556"/>
  <c r="C1557"/>
  <c r="C1558"/>
  <c r="C1559"/>
  <c r="C1560"/>
  <c r="C1561"/>
  <c r="C1562"/>
  <c r="C1565"/>
  <c r="M1488"/>
  <c r="C918"/>
  <c r="N918"/>
  <c r="O918"/>
  <c r="F7" i="25" l="1"/>
  <c r="F8"/>
  <c r="F9"/>
  <c r="F10"/>
  <c r="F11"/>
  <c r="F12"/>
  <c r="F13"/>
  <c r="F14"/>
  <c r="F15"/>
  <c r="F16"/>
  <c r="F17"/>
  <c r="F18"/>
  <c r="F19"/>
  <c r="F20"/>
  <c r="M1422" i="7"/>
  <c r="M1412"/>
  <c r="M1415"/>
  <c r="M1408"/>
  <c r="C1312"/>
  <c r="C1313"/>
  <c r="C1314"/>
  <c r="C1315"/>
  <c r="C1316"/>
  <c r="C1317"/>
  <c r="C1318"/>
  <c r="C1319"/>
  <c r="C1320"/>
  <c r="C1321"/>
  <c r="C1322"/>
  <c r="C1323"/>
  <c r="C1324"/>
  <c r="C1325"/>
  <c r="C1326"/>
  <c r="C1327"/>
  <c r="C1328"/>
  <c r="C1329"/>
  <c r="C1330"/>
  <c r="C1331"/>
  <c r="C1332"/>
  <c r="C1333"/>
  <c r="C1334"/>
  <c r="C1335"/>
  <c r="C1336"/>
  <c r="C1337"/>
  <c r="C1338"/>
  <c r="C1339"/>
  <c r="C1340"/>
  <c r="C1341"/>
  <c r="C1342"/>
  <c r="C1343"/>
  <c r="C1344"/>
  <c r="C1345"/>
  <c r="C1346"/>
  <c r="C1347"/>
  <c r="C1348"/>
  <c r="C1349"/>
  <c r="C1350"/>
  <c r="C1351"/>
  <c r="C1352"/>
  <c r="C1353"/>
  <c r="C1354"/>
  <c r="C1355"/>
  <c r="C1356"/>
  <c r="C1357"/>
  <c r="C1358"/>
  <c r="C1359"/>
  <c r="C1360"/>
  <c r="C1361"/>
  <c r="C1362"/>
  <c r="C1363"/>
  <c r="C1364"/>
  <c r="C1365"/>
  <c r="C1366"/>
  <c r="C1367"/>
  <c r="C1368"/>
  <c r="C1371"/>
  <c r="C1369"/>
  <c r="C1370"/>
  <c r="C1373"/>
  <c r="C1374"/>
  <c r="C1375"/>
  <c r="C1372"/>
  <c r="C1376"/>
  <c r="C1378"/>
  <c r="C1380"/>
  <c r="C1379"/>
  <c r="C1377"/>
  <c r="C1381"/>
  <c r="C1382"/>
  <c r="C1383"/>
  <c r="C1384"/>
  <c r="C1385"/>
  <c r="C1386"/>
  <c r="C1387"/>
  <c r="C1388"/>
  <c r="C1389"/>
  <c r="C1390"/>
  <c r="C1391"/>
  <c r="C1392"/>
  <c r="C1393"/>
  <c r="C1394"/>
  <c r="C1395"/>
  <c r="C1396"/>
  <c r="C1397"/>
  <c r="C1398"/>
  <c r="C1399"/>
  <c r="C1400"/>
  <c r="C1401"/>
  <c r="C1402"/>
  <c r="C1403"/>
  <c r="C1404"/>
  <c r="C1405"/>
  <c r="C1406"/>
  <c r="C1407"/>
  <c r="C1408"/>
  <c r="C1409"/>
  <c r="C1410"/>
  <c r="C1411"/>
  <c r="C1413"/>
  <c r="C1414"/>
  <c r="C1415"/>
  <c r="C1416"/>
  <c r="C1417"/>
  <c r="C1418"/>
  <c r="C1412"/>
  <c r="C1419"/>
  <c r="C1420"/>
  <c r="C1421"/>
  <c r="C1422"/>
  <c r="C1423"/>
  <c r="C1424"/>
  <c r="N1363"/>
  <c r="O1363"/>
  <c r="N1364"/>
  <c r="O1364"/>
  <c r="N1365"/>
  <c r="O1365"/>
  <c r="N1366"/>
  <c r="O1366"/>
  <c r="N1367"/>
  <c r="O1367"/>
  <c r="N1368"/>
  <c r="O1368"/>
  <c r="N1371"/>
  <c r="O1371"/>
  <c r="N1369"/>
  <c r="O1369"/>
  <c r="N1370"/>
  <c r="O1370"/>
  <c r="N1373"/>
  <c r="O1373"/>
  <c r="N1374"/>
  <c r="O1374"/>
  <c r="N1375"/>
  <c r="O1375"/>
  <c r="N1372"/>
  <c r="O1372"/>
  <c r="N1376"/>
  <c r="O1376"/>
  <c r="N1378"/>
  <c r="O1378"/>
  <c r="N1380"/>
  <c r="O1380"/>
  <c r="N1379"/>
  <c r="O1379"/>
  <c r="N1377"/>
  <c r="O1377"/>
  <c r="N1381"/>
  <c r="O1381"/>
  <c r="N1382"/>
  <c r="O1382"/>
  <c r="N1383"/>
  <c r="O1383"/>
  <c r="N1384"/>
  <c r="O1384"/>
  <c r="N1385"/>
  <c r="O1385"/>
  <c r="N1386"/>
  <c r="O1386"/>
  <c r="N1387"/>
  <c r="O1387"/>
  <c r="N1388"/>
  <c r="O1388"/>
  <c r="N1389"/>
  <c r="O1389"/>
  <c r="N1390"/>
  <c r="O1390"/>
  <c r="N1391"/>
  <c r="O1391"/>
  <c r="N1392"/>
  <c r="O1392"/>
  <c r="N1393"/>
  <c r="O1393"/>
  <c r="N1394"/>
  <c r="O1394"/>
  <c r="N1395"/>
  <c r="O1395"/>
  <c r="N1396"/>
  <c r="O1396"/>
  <c r="N1397"/>
  <c r="O1397"/>
  <c r="N1398"/>
  <c r="O1398"/>
  <c r="N1399"/>
  <c r="O1399"/>
  <c r="N1400"/>
  <c r="O1400"/>
  <c r="N1401"/>
  <c r="O1401"/>
  <c r="N1402"/>
  <c r="O1402"/>
  <c r="N1403"/>
  <c r="O1403"/>
  <c r="N1404"/>
  <c r="O1404"/>
  <c r="N1405"/>
  <c r="O1405"/>
  <c r="N1406"/>
  <c r="O1406"/>
  <c r="N1407"/>
  <c r="O1407"/>
  <c r="N1408"/>
  <c r="O1408"/>
  <c r="N1409"/>
  <c r="O1409"/>
  <c r="N1410"/>
  <c r="O1410"/>
  <c r="N1411"/>
  <c r="O1411"/>
  <c r="N1413"/>
  <c r="O1413"/>
  <c r="N1414"/>
  <c r="O1414"/>
  <c r="N1415"/>
  <c r="O1415"/>
  <c r="N1416"/>
  <c r="O1416"/>
  <c r="N1417"/>
  <c r="O1417"/>
  <c r="N1418"/>
  <c r="O1418"/>
  <c r="N1412"/>
  <c r="O1412"/>
  <c r="N1419"/>
  <c r="O1419"/>
  <c r="N1420"/>
  <c r="O1420"/>
  <c r="N1421"/>
  <c r="O1421"/>
  <c r="N1422"/>
  <c r="O1422"/>
  <c r="N1423"/>
  <c r="O1423"/>
  <c r="N1424"/>
  <c r="C166" i="25"/>
  <c r="C186"/>
  <c r="C146"/>
  <c r="C152"/>
  <c r="C148"/>
  <c r="D160"/>
  <c r="D161"/>
  <c r="D166"/>
  <c r="D151"/>
  <c r="D144"/>
  <c r="C167"/>
  <c r="C160"/>
  <c r="D154"/>
  <c r="D155"/>
  <c r="D150"/>
  <c r="C154"/>
  <c r="C153"/>
  <c r="C158"/>
  <c r="D187"/>
  <c r="C159"/>
  <c r="D149"/>
  <c r="D147"/>
  <c r="D146"/>
  <c r="D186"/>
  <c r="C145"/>
  <c r="C156"/>
  <c r="C150"/>
  <c r="D157"/>
  <c r="D158"/>
  <c r="C187"/>
  <c r="D159"/>
  <c r="C149"/>
  <c r="C151"/>
  <c r="C144"/>
  <c r="D156"/>
  <c r="D167"/>
  <c r="D153"/>
  <c r="C155"/>
  <c r="D145"/>
  <c r="D152"/>
  <c r="C161"/>
  <c r="C157"/>
  <c r="D148"/>
  <c r="C147"/>
  <c r="G187" l="1"/>
  <c r="F187"/>
  <c r="G186"/>
  <c r="F186"/>
  <c r="G167"/>
  <c r="F167"/>
  <c r="G166"/>
  <c r="F166"/>
  <c r="G159"/>
  <c r="F159"/>
  <c r="G151"/>
  <c r="F151"/>
  <c r="G158"/>
  <c r="F158"/>
  <c r="G150"/>
  <c r="F150"/>
  <c r="F157"/>
  <c r="G157"/>
  <c r="F149"/>
  <c r="G149"/>
  <c r="F156"/>
  <c r="G156"/>
  <c r="F148"/>
  <c r="G148"/>
  <c r="F155"/>
  <c r="G155"/>
  <c r="F147"/>
  <c r="G147"/>
  <c r="G154"/>
  <c r="F154"/>
  <c r="G146"/>
  <c r="F146"/>
  <c r="G161"/>
  <c r="F161"/>
  <c r="G153"/>
  <c r="F153"/>
  <c r="G145"/>
  <c r="F145"/>
  <c r="G160"/>
  <c r="F160"/>
  <c r="G152"/>
  <c r="F152"/>
  <c r="G144"/>
  <c r="F144"/>
  <c r="C1195" i="7"/>
  <c r="C1182"/>
  <c r="C1217"/>
  <c r="M1203"/>
  <c r="M1218"/>
  <c r="C1218"/>
  <c r="N1218"/>
  <c r="O1218"/>
  <c r="C1215"/>
  <c r="N1215"/>
  <c r="O1215"/>
  <c r="C1214"/>
  <c r="N1214"/>
  <c r="O1214"/>
  <c r="M1211"/>
  <c r="C1211"/>
  <c r="N1211"/>
  <c r="O1211"/>
  <c r="M1210"/>
  <c r="C1210"/>
  <c r="N1210"/>
  <c r="O1210"/>
  <c r="C1212"/>
  <c r="N1212"/>
  <c r="O1212"/>
  <c r="C1206"/>
  <c r="N1206"/>
  <c r="O1206"/>
  <c r="M1223"/>
  <c r="M1220"/>
  <c r="M1304"/>
  <c r="M1176"/>
  <c r="M1306"/>
  <c r="M1298"/>
  <c r="M1290"/>
  <c r="C1205"/>
  <c r="N1205"/>
  <c r="O1205"/>
  <c r="C1203"/>
  <c r="N1203"/>
  <c r="O1203"/>
  <c r="C1199"/>
  <c r="N1199"/>
  <c r="O1199"/>
  <c r="C1201"/>
  <c r="N1201"/>
  <c r="O1201"/>
  <c r="C1202"/>
  <c r="N1202"/>
  <c r="O1202"/>
  <c r="C1200"/>
  <c r="N1200"/>
  <c r="O1200"/>
  <c r="C1193"/>
  <c r="N1193"/>
  <c r="O1193"/>
  <c r="C1190"/>
  <c r="N1190"/>
  <c r="O1190"/>
  <c r="C1181"/>
  <c r="N1181"/>
  <c r="O1181"/>
  <c r="C1179"/>
  <c r="N1179"/>
  <c r="O1179"/>
  <c r="C1176"/>
  <c r="N1176"/>
  <c r="O1176"/>
  <c r="C1170"/>
  <c r="N1170"/>
  <c r="O1170"/>
  <c r="C1171"/>
  <c r="N1171"/>
  <c r="O1171"/>
  <c r="C1169"/>
  <c r="N1169"/>
  <c r="O1169"/>
  <c r="C1167"/>
  <c r="N1167"/>
  <c r="O1167"/>
  <c r="C1162"/>
  <c r="N1162"/>
  <c r="O1162"/>
  <c r="O147" i="25" l="1"/>
  <c r="P146"/>
  <c r="P147"/>
  <c r="O146"/>
  <c r="N146"/>
  <c r="N147"/>
  <c r="H146"/>
  <c r="H150"/>
  <c r="H166"/>
  <c r="H160"/>
  <c r="H186"/>
  <c r="H187"/>
  <c r="H145"/>
  <c r="H167"/>
  <c r="H155"/>
  <c r="H154"/>
  <c r="H147"/>
  <c r="H149"/>
  <c r="H158"/>
  <c r="H157"/>
  <c r="H156"/>
  <c r="H144"/>
  <c r="H153"/>
  <c r="H151"/>
  <c r="H148"/>
  <c r="H152"/>
  <c r="H161"/>
  <c r="H159"/>
  <c r="O1312" i="7"/>
  <c r="O1313"/>
  <c r="O1314"/>
  <c r="O1315"/>
  <c r="O1316"/>
  <c r="O1317"/>
  <c r="O1318"/>
  <c r="O1319"/>
  <c r="O1320"/>
  <c r="O1321"/>
  <c r="O1322"/>
  <c r="O1323"/>
  <c r="O1324"/>
  <c r="O1325"/>
  <c r="O1326"/>
  <c r="O1327"/>
  <c r="O1328"/>
  <c r="O1329"/>
  <c r="O1330"/>
  <c r="O1331"/>
  <c r="O1332"/>
  <c r="O1333"/>
  <c r="O1334"/>
  <c r="O1335"/>
  <c r="O1336"/>
  <c r="O1337"/>
  <c r="O1338"/>
  <c r="O1339"/>
  <c r="O1340"/>
  <c r="O1341"/>
  <c r="O1342"/>
  <c r="O1343"/>
  <c r="O1344"/>
  <c r="O1345"/>
  <c r="O1346"/>
  <c r="O1347"/>
  <c r="O1348"/>
  <c r="O1349"/>
  <c r="O1350"/>
  <c r="O1351"/>
  <c r="O1352"/>
  <c r="O1353"/>
  <c r="O1354"/>
  <c r="O1355"/>
  <c r="O1356"/>
  <c r="O1357"/>
  <c r="O1358"/>
  <c r="O1359"/>
  <c r="O1360"/>
  <c r="O1361"/>
  <c r="O1362"/>
  <c r="N1312"/>
  <c r="N1313"/>
  <c r="N1314"/>
  <c r="N1315"/>
  <c r="N1316"/>
  <c r="N1317"/>
  <c r="N1318"/>
  <c r="N1319"/>
  <c r="N1320"/>
  <c r="N1321"/>
  <c r="N1322"/>
  <c r="N1323"/>
  <c r="N1324"/>
  <c r="N1325"/>
  <c r="N1326"/>
  <c r="N1327"/>
  <c r="N1328"/>
  <c r="N1329"/>
  <c r="N1330"/>
  <c r="N1331"/>
  <c r="N1332"/>
  <c r="N1333"/>
  <c r="N1334"/>
  <c r="N1335"/>
  <c r="N1336"/>
  <c r="N1337"/>
  <c r="N1338"/>
  <c r="N1339"/>
  <c r="N1340"/>
  <c r="N1341"/>
  <c r="N1342"/>
  <c r="N1343"/>
  <c r="N1344"/>
  <c r="N1345"/>
  <c r="N1346"/>
  <c r="N1347"/>
  <c r="N1348"/>
  <c r="N1349"/>
  <c r="N1350"/>
  <c r="N1351"/>
  <c r="N1352"/>
  <c r="N1353"/>
  <c r="N1354"/>
  <c r="N1355"/>
  <c r="N1356"/>
  <c r="N1357"/>
  <c r="N1358"/>
  <c r="N1359"/>
  <c r="N1360"/>
  <c r="N1361"/>
  <c r="N1362"/>
  <c r="M1348"/>
  <c r="M1341"/>
  <c r="R146" i="25" l="1"/>
  <c r="R147"/>
  <c r="P148"/>
  <c r="O148"/>
  <c r="N148"/>
  <c r="F6"/>
  <c r="I20"/>
  <c r="I21"/>
  <c r="I22"/>
  <c r="I23"/>
  <c r="I24"/>
  <c r="I25"/>
  <c r="I26"/>
  <c r="I27"/>
  <c r="I28"/>
  <c r="I29"/>
  <c r="I33"/>
  <c r="I34"/>
  <c r="I35"/>
  <c r="I36"/>
  <c r="I7"/>
  <c r="I8"/>
  <c r="I9"/>
  <c r="I10"/>
  <c r="I11"/>
  <c r="I12"/>
  <c r="I13"/>
  <c r="I14"/>
  <c r="I15"/>
  <c r="I16"/>
  <c r="I17"/>
  <c r="I18"/>
  <c r="I19"/>
  <c r="I6"/>
  <c r="F35"/>
  <c r="F34"/>
  <c r="F33"/>
  <c r="F29"/>
  <c r="H28"/>
  <c r="G28"/>
  <c r="F28"/>
  <c r="H27"/>
  <c r="G27"/>
  <c r="F27"/>
  <c r="G26"/>
  <c r="F26"/>
  <c r="H26" s="1"/>
  <c r="G25"/>
  <c r="H25" s="1"/>
  <c r="F25"/>
  <c r="H24"/>
  <c r="G24"/>
  <c r="F24"/>
  <c r="G23"/>
  <c r="F23"/>
  <c r="H23" s="1"/>
  <c r="G22"/>
  <c r="F22"/>
  <c r="G21"/>
  <c r="F21"/>
  <c r="G20"/>
  <c r="G19"/>
  <c r="G18"/>
  <c r="G17"/>
  <c r="G16"/>
  <c r="G15"/>
  <c r="G14"/>
  <c r="G13"/>
  <c r="G12"/>
  <c r="G11"/>
  <c r="G10"/>
  <c r="G9"/>
  <c r="G8"/>
  <c r="G7"/>
  <c r="G6"/>
  <c r="C1273" i="7"/>
  <c r="H22" i="25" l="1"/>
  <c r="R148"/>
  <c r="H21"/>
  <c r="H20"/>
  <c r="H19"/>
  <c r="H10"/>
  <c r="H15"/>
  <c r="H6"/>
  <c r="H18"/>
  <c r="H14"/>
  <c r="H12"/>
  <c r="H13"/>
  <c r="H11"/>
  <c r="H16"/>
  <c r="H8"/>
  <c r="H9"/>
  <c r="H17"/>
  <c r="H7"/>
  <c r="M1124" i="7" l="1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583"/>
  <c r="O584"/>
  <c r="O585"/>
  <c r="O586"/>
  <c r="O587"/>
  <c r="O588"/>
  <c r="O589"/>
  <c r="O590"/>
  <c r="O591"/>
  <c r="O592"/>
  <c r="O593"/>
  <c r="O594"/>
  <c r="O595"/>
  <c r="O596"/>
  <c r="O597"/>
  <c r="O598"/>
  <c r="O599"/>
  <c r="O600"/>
  <c r="O601"/>
  <c r="O602"/>
  <c r="O603"/>
  <c r="O604"/>
  <c r="O605"/>
  <c r="O606"/>
  <c r="O607"/>
  <c r="O608"/>
  <c r="O609"/>
  <c r="O610"/>
  <c r="O611"/>
  <c r="O612"/>
  <c r="O613"/>
  <c r="O614"/>
  <c r="O615"/>
  <c r="O616"/>
  <c r="O617"/>
  <c r="O618"/>
  <c r="O619"/>
  <c r="O620"/>
  <c r="O621"/>
  <c r="O622"/>
  <c r="O623"/>
  <c r="O624"/>
  <c r="O625"/>
  <c r="O626"/>
  <c r="O627"/>
  <c r="O628"/>
  <c r="O629"/>
  <c r="O630"/>
  <c r="O631"/>
  <c r="O632"/>
  <c r="O633"/>
  <c r="O634"/>
  <c r="O635"/>
  <c r="O636"/>
  <c r="O637"/>
  <c r="O638"/>
  <c r="O639"/>
  <c r="O640"/>
  <c r="O641"/>
  <c r="O642"/>
  <c r="O643"/>
  <c r="O644"/>
  <c r="O645"/>
  <c r="O646"/>
  <c r="O647"/>
  <c r="O648"/>
  <c r="O649"/>
  <c r="O650"/>
  <c r="O651"/>
  <c r="O652"/>
  <c r="O653"/>
  <c r="O654"/>
  <c r="O655"/>
  <c r="O656"/>
  <c r="O657"/>
  <c r="O658"/>
  <c r="O659"/>
  <c r="O660"/>
  <c r="O661"/>
  <c r="O662"/>
  <c r="O663"/>
  <c r="O664"/>
  <c r="O665"/>
  <c r="O666"/>
  <c r="O667"/>
  <c r="O668"/>
  <c r="O669"/>
  <c r="O670"/>
  <c r="O671"/>
  <c r="O672"/>
  <c r="O673"/>
  <c r="O674"/>
  <c r="O675"/>
  <c r="O676"/>
  <c r="O677"/>
  <c r="O678"/>
  <c r="O679"/>
  <c r="O680"/>
  <c r="O681"/>
  <c r="O682"/>
  <c r="O683"/>
  <c r="O684"/>
  <c r="O685"/>
  <c r="O686"/>
  <c r="O687"/>
  <c r="O688"/>
  <c r="O689"/>
  <c r="O690"/>
  <c r="O691"/>
  <c r="O692"/>
  <c r="O693"/>
  <c r="O694"/>
  <c r="O695"/>
  <c r="O696"/>
  <c r="O697"/>
  <c r="O698"/>
  <c r="O699"/>
  <c r="O700"/>
  <c r="O701"/>
  <c r="O702"/>
  <c r="O703"/>
  <c r="O704"/>
  <c r="O705"/>
  <c r="O706"/>
  <c r="O707"/>
  <c r="O708"/>
  <c r="O709"/>
  <c r="O710"/>
  <c r="O711"/>
  <c r="O712"/>
  <c r="O713"/>
  <c r="O714"/>
  <c r="O715"/>
  <c r="O716"/>
  <c r="O717"/>
  <c r="O718"/>
  <c r="O719"/>
  <c r="O720"/>
  <c r="O721"/>
  <c r="O722"/>
  <c r="O723"/>
  <c r="O724"/>
  <c r="O725"/>
  <c r="O726"/>
  <c r="O727"/>
  <c r="O728"/>
  <c r="O729"/>
  <c r="O730"/>
  <c r="O731"/>
  <c r="O732"/>
  <c r="O733"/>
  <c r="O734"/>
  <c r="O735"/>
  <c r="O736"/>
  <c r="O737"/>
  <c r="O738"/>
  <c r="O739"/>
  <c r="O740"/>
  <c r="O741"/>
  <c r="O742"/>
  <c r="O743"/>
  <c r="O744"/>
  <c r="O745"/>
  <c r="O746"/>
  <c r="O747"/>
  <c r="O748"/>
  <c r="O749"/>
  <c r="O750"/>
  <c r="O751"/>
  <c r="O752"/>
  <c r="O753"/>
  <c r="O754"/>
  <c r="O755"/>
  <c r="O756"/>
  <c r="O757"/>
  <c r="O758"/>
  <c r="O759"/>
  <c r="O760"/>
  <c r="O761"/>
  <c r="O762"/>
  <c r="O763"/>
  <c r="O764"/>
  <c r="O765"/>
  <c r="O766"/>
  <c r="O767"/>
  <c r="O768"/>
  <c r="O769"/>
  <c r="O770"/>
  <c r="O771"/>
  <c r="O772"/>
  <c r="O773"/>
  <c r="O774"/>
  <c r="O775"/>
  <c r="O776"/>
  <c r="O777"/>
  <c r="O778"/>
  <c r="O779"/>
  <c r="O780"/>
  <c r="O781"/>
  <c r="O782"/>
  <c r="O783"/>
  <c r="O784"/>
  <c r="O785"/>
  <c r="O786"/>
  <c r="O787"/>
  <c r="O788"/>
  <c r="O789"/>
  <c r="O790"/>
  <c r="O791"/>
  <c r="O792"/>
  <c r="O793"/>
  <c r="O794"/>
  <c r="O795"/>
  <c r="O796"/>
  <c r="O797"/>
  <c r="O798"/>
  <c r="O800"/>
  <c r="O801"/>
  <c r="O802"/>
  <c r="O803"/>
  <c r="O804"/>
  <c r="O805"/>
  <c r="O806"/>
  <c r="O807"/>
  <c r="O808"/>
  <c r="O809"/>
  <c r="O810"/>
  <c r="O811"/>
  <c r="O812"/>
  <c r="O813"/>
  <c r="O814"/>
  <c r="O815"/>
  <c r="O816"/>
  <c r="O817"/>
  <c r="O818"/>
  <c r="O819"/>
  <c r="O820"/>
  <c r="O821"/>
  <c r="O822"/>
  <c r="O823"/>
  <c r="O824"/>
  <c r="O825"/>
  <c r="O827"/>
  <c r="O828"/>
  <c r="O829"/>
  <c r="O830"/>
  <c r="O831"/>
  <c r="O832"/>
  <c r="O833"/>
  <c r="O834"/>
  <c r="O835"/>
  <c r="O836"/>
  <c r="O837"/>
  <c r="O838"/>
  <c r="O839"/>
  <c r="O840"/>
  <c r="O841"/>
  <c r="O842"/>
  <c r="O843"/>
  <c r="O844"/>
  <c r="O845"/>
  <c r="O846"/>
  <c r="O847"/>
  <c r="O848"/>
  <c r="O849"/>
  <c r="O850"/>
  <c r="O851"/>
  <c r="O852"/>
  <c r="O853"/>
  <c r="O854"/>
  <c r="O855"/>
  <c r="O856"/>
  <c r="O857"/>
  <c r="O858"/>
  <c r="O859"/>
  <c r="O860"/>
  <c r="O861"/>
  <c r="O862"/>
  <c r="O863"/>
  <c r="O864"/>
  <c r="O865"/>
  <c r="O866"/>
  <c r="O867"/>
  <c r="O868"/>
  <c r="O869"/>
  <c r="O870"/>
  <c r="O871"/>
  <c r="O872"/>
  <c r="O873"/>
  <c r="O874"/>
  <c r="O875"/>
  <c r="O876"/>
  <c r="O877"/>
  <c r="O878"/>
  <c r="O879"/>
  <c r="O880"/>
  <c r="O881"/>
  <c r="O882"/>
  <c r="O883"/>
  <c r="O884"/>
  <c r="O885"/>
  <c r="O886"/>
  <c r="O887"/>
  <c r="O888"/>
  <c r="O889"/>
  <c r="O890"/>
  <c r="O891"/>
  <c r="O892"/>
  <c r="O893"/>
  <c r="O894"/>
  <c r="O895"/>
  <c r="O896"/>
  <c r="O897"/>
  <c r="O898"/>
  <c r="O899"/>
  <c r="O900"/>
  <c r="O901"/>
  <c r="O902"/>
  <c r="O903"/>
  <c r="O904"/>
  <c r="O905"/>
  <c r="O906"/>
  <c r="O907"/>
  <c r="O908"/>
  <c r="O909"/>
  <c r="O910"/>
  <c r="O911"/>
  <c r="O912"/>
  <c r="O913"/>
  <c r="O914"/>
  <c r="O915"/>
  <c r="O916"/>
  <c r="O917"/>
  <c r="O919"/>
  <c r="O920"/>
  <c r="O921"/>
  <c r="O922"/>
  <c r="O925"/>
  <c r="O926"/>
  <c r="O927"/>
  <c r="O930"/>
  <c r="O931"/>
  <c r="O932"/>
  <c r="O933"/>
  <c r="O934"/>
  <c r="O935"/>
  <c r="O936"/>
  <c r="O937"/>
  <c r="O938"/>
  <c r="O939"/>
  <c r="O940"/>
  <c r="O941"/>
  <c r="O942"/>
  <c r="O943"/>
  <c r="O944"/>
  <c r="O945"/>
  <c r="O946"/>
  <c r="O947"/>
  <c r="O948"/>
  <c r="O949"/>
  <c r="O1760"/>
  <c r="O950"/>
  <c r="O951"/>
  <c r="O952"/>
  <c r="O953"/>
  <c r="O954"/>
  <c r="O955"/>
  <c r="O956"/>
  <c r="O957"/>
  <c r="O958"/>
  <c r="O959"/>
  <c r="O960"/>
  <c r="O961"/>
  <c r="O962"/>
  <c r="O963"/>
  <c r="O964"/>
  <c r="O965"/>
  <c r="O966"/>
  <c r="O967"/>
  <c r="O968"/>
  <c r="O969"/>
  <c r="O970"/>
  <c r="O971"/>
  <c r="O972"/>
  <c r="O973"/>
  <c r="O974"/>
  <c r="O975"/>
  <c r="O976"/>
  <c r="O977"/>
  <c r="O978"/>
  <c r="O979"/>
  <c r="O980"/>
  <c r="O981"/>
  <c r="O982"/>
  <c r="O983"/>
  <c r="O984"/>
  <c r="O985"/>
  <c r="O986"/>
  <c r="O987"/>
  <c r="O988"/>
  <c r="O989"/>
  <c r="O990"/>
  <c r="O991"/>
  <c r="O992"/>
  <c r="O993"/>
  <c r="O994"/>
  <c r="O995"/>
  <c r="O996"/>
  <c r="O997"/>
  <c r="O998"/>
  <c r="O999"/>
  <c r="O1000"/>
  <c r="O1001"/>
  <c r="O1002"/>
  <c r="O1003"/>
  <c r="O1004"/>
  <c r="O1005"/>
  <c r="O1006"/>
  <c r="O1007"/>
  <c r="O1008"/>
  <c r="O1009"/>
  <c r="O1010"/>
  <c r="O1011"/>
  <c r="O1012"/>
  <c r="O1013"/>
  <c r="O1014"/>
  <c r="O1015"/>
  <c r="O1016"/>
  <c r="O1017"/>
  <c r="O1018"/>
  <c r="O1019"/>
  <c r="O1020"/>
  <c r="O1021"/>
  <c r="O1022"/>
  <c r="O1023"/>
  <c r="O1024"/>
  <c r="O1025"/>
  <c r="O1026"/>
  <c r="O1027"/>
  <c r="O1028"/>
  <c r="O1029"/>
  <c r="O1030"/>
  <c r="O1031"/>
  <c r="O1032"/>
  <c r="O1033"/>
  <c r="O1034"/>
  <c r="O1035"/>
  <c r="O1036"/>
  <c r="O1037"/>
  <c r="O1038"/>
  <c r="O1039"/>
  <c r="O1040"/>
  <c r="O1041"/>
  <c r="O1042"/>
  <c r="O1043"/>
  <c r="O1044"/>
  <c r="O1045"/>
  <c r="O1046"/>
  <c r="O1047"/>
  <c r="O1048"/>
  <c r="O1049"/>
  <c r="O1050"/>
  <c r="O1051"/>
  <c r="O1052"/>
  <c r="O1053"/>
  <c r="O1054"/>
  <c r="O1055"/>
  <c r="O1056"/>
  <c r="O1057"/>
  <c r="O1058"/>
  <c r="O1059"/>
  <c r="O1060"/>
  <c r="O1061"/>
  <c r="O1062"/>
  <c r="O1063"/>
  <c r="O1064"/>
  <c r="O1065"/>
  <c r="O1066"/>
  <c r="O1067"/>
  <c r="O1068"/>
  <c r="O1069"/>
  <c r="O1070"/>
  <c r="O1071"/>
  <c r="O1072"/>
  <c r="O1073"/>
  <c r="O1074"/>
  <c r="O1075"/>
  <c r="O1076"/>
  <c r="O1077"/>
  <c r="O1078"/>
  <c r="O1079"/>
  <c r="O1080"/>
  <c r="O1081"/>
  <c r="O1082"/>
  <c r="O1083"/>
  <c r="O1084"/>
  <c r="O1085"/>
  <c r="O1086"/>
  <c r="O1087"/>
  <c r="O1088"/>
  <c r="O1089"/>
  <c r="O1090"/>
  <c r="O1091"/>
  <c r="O1092"/>
  <c r="O1093"/>
  <c r="O1094"/>
  <c r="O1095"/>
  <c r="O1096"/>
  <c r="O1097"/>
  <c r="O1098"/>
  <c r="O1099"/>
  <c r="O1100"/>
  <c r="O1101"/>
  <c r="O1102"/>
  <c r="O1103"/>
  <c r="O1104"/>
  <c r="O1105"/>
  <c r="O1106"/>
  <c r="O1107"/>
  <c r="O1108"/>
  <c r="O1109"/>
  <c r="O1110"/>
  <c r="O1111"/>
  <c r="O1112"/>
  <c r="O1113"/>
  <c r="O1114"/>
  <c r="O1115"/>
  <c r="O1116"/>
  <c r="O1117"/>
  <c r="O1118"/>
  <c r="O1119"/>
  <c r="O1120"/>
  <c r="O1121"/>
  <c r="O1122"/>
  <c r="O1123"/>
  <c r="O1124"/>
  <c r="O1125"/>
  <c r="O1126"/>
  <c r="O1127"/>
  <c r="O1128"/>
  <c r="O1129"/>
  <c r="O1130"/>
  <c r="O1131"/>
  <c r="O1132"/>
  <c r="O1133"/>
  <c r="O1134"/>
  <c r="O1135"/>
  <c r="O1136"/>
  <c r="O1137"/>
  <c r="O1138"/>
  <c r="O1139"/>
  <c r="O1140"/>
  <c r="O1141"/>
  <c r="O1142"/>
  <c r="O1143"/>
  <c r="O1144"/>
  <c r="O1145"/>
  <c r="O1146"/>
  <c r="O1147"/>
  <c r="O1148"/>
  <c r="O1149"/>
  <c r="O1150"/>
  <c r="O1151"/>
  <c r="O1152"/>
  <c r="O1153"/>
  <c r="O1154"/>
  <c r="O1155"/>
  <c r="O1156"/>
  <c r="O1157"/>
  <c r="O1158"/>
  <c r="O1159"/>
  <c r="O1160"/>
  <c r="O1161"/>
  <c r="O1164"/>
  <c r="O1165"/>
  <c r="O1166"/>
  <c r="O1168"/>
  <c r="O1172"/>
  <c r="O1175"/>
  <c r="O1173"/>
  <c r="O1174"/>
  <c r="O1177"/>
  <c r="O1178"/>
  <c r="O1180"/>
  <c r="O1185"/>
  <c r="O1184"/>
  <c r="O1183"/>
  <c r="O1188"/>
  <c r="O1186"/>
  <c r="O1187"/>
  <c r="O1189"/>
  <c r="O1191"/>
  <c r="O1192"/>
  <c r="O1194"/>
  <c r="O1196"/>
  <c r="O1197"/>
  <c r="O1198"/>
  <c r="O1204"/>
  <c r="O1207"/>
  <c r="O1208"/>
  <c r="O1209"/>
  <c r="O1213"/>
  <c r="O1216"/>
  <c r="O1219"/>
  <c r="O1220"/>
  <c r="O1221"/>
  <c r="O1222"/>
  <c r="O1223"/>
  <c r="O1224"/>
  <c r="O1225"/>
  <c r="O1226"/>
  <c r="O1237"/>
  <c r="O1227"/>
  <c r="O1228"/>
  <c r="O1229"/>
  <c r="O1230"/>
  <c r="O1231"/>
  <c r="O1234"/>
  <c r="O1235"/>
  <c r="O1236"/>
  <c r="O1255"/>
  <c r="O1238"/>
  <c r="O1239"/>
  <c r="O1240"/>
  <c r="O1241"/>
  <c r="O1242"/>
  <c r="O1243"/>
  <c r="O1244"/>
  <c r="O1245"/>
  <c r="O1246"/>
  <c r="O1258"/>
  <c r="O1247"/>
  <c r="O1248"/>
  <c r="O1259"/>
  <c r="O1250"/>
  <c r="O1268"/>
  <c r="O1251"/>
  <c r="O1278"/>
  <c r="O1253"/>
  <c r="O1256"/>
  <c r="O1257"/>
  <c r="O1289"/>
  <c r="O1260"/>
  <c r="O1261"/>
  <c r="O1262"/>
  <c r="O1291"/>
  <c r="O1299"/>
  <c r="O1263"/>
  <c r="O1264"/>
  <c r="O1265"/>
  <c r="O1266"/>
  <c r="O1300"/>
  <c r="O1298"/>
  <c r="O1269"/>
  <c r="O1270"/>
  <c r="O1304"/>
  <c r="O1271"/>
  <c r="O1272"/>
  <c r="O1274"/>
  <c r="O1275"/>
  <c r="O1276"/>
  <c r="O1277"/>
  <c r="O1305"/>
  <c r="O1279"/>
  <c r="O1280"/>
  <c r="O1281"/>
  <c r="O1232"/>
  <c r="O1282"/>
  <c r="O1283"/>
  <c r="O1267"/>
  <c r="O1285"/>
  <c r="O1286"/>
  <c r="O1287"/>
  <c r="O1284"/>
  <c r="O1288"/>
  <c r="O1292"/>
  <c r="O1290"/>
  <c r="O1293"/>
  <c r="O1294"/>
  <c r="O1295"/>
  <c r="O1296"/>
  <c r="O1297"/>
  <c r="O1301"/>
  <c r="O1302"/>
  <c r="O1306"/>
  <c r="O1233"/>
  <c r="O1249"/>
  <c r="O1303"/>
  <c r="O1252"/>
  <c r="O1254"/>
  <c r="O1307"/>
  <c r="O1273"/>
  <c r="O1308"/>
  <c r="O1309"/>
  <c r="O1310"/>
  <c r="O1311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7"/>
  <c r="N518"/>
  <c r="N519"/>
  <c r="N520"/>
  <c r="N521"/>
  <c r="N522"/>
  <c r="N523"/>
  <c r="N524"/>
  <c r="N525"/>
  <c r="N526"/>
  <c r="N527"/>
  <c r="N528"/>
  <c r="N529"/>
  <c r="N530"/>
  <c r="N531"/>
  <c r="N532"/>
  <c r="N533"/>
  <c r="N534"/>
  <c r="N535"/>
  <c r="N536"/>
  <c r="N537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91"/>
  <c r="N592"/>
  <c r="N593"/>
  <c r="N594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612"/>
  <c r="N613"/>
  <c r="N614"/>
  <c r="N615"/>
  <c r="N616"/>
  <c r="N617"/>
  <c r="N618"/>
  <c r="N619"/>
  <c r="N620"/>
  <c r="N621"/>
  <c r="N622"/>
  <c r="N623"/>
  <c r="N624"/>
  <c r="N625"/>
  <c r="N626"/>
  <c r="N627"/>
  <c r="N628"/>
  <c r="N629"/>
  <c r="N630"/>
  <c r="N631"/>
  <c r="N632"/>
  <c r="N633"/>
  <c r="N634"/>
  <c r="N635"/>
  <c r="N636"/>
  <c r="N637"/>
  <c r="N638"/>
  <c r="N639"/>
  <c r="N640"/>
  <c r="N641"/>
  <c r="N642"/>
  <c r="N643"/>
  <c r="N644"/>
  <c r="N645"/>
  <c r="N646"/>
  <c r="N647"/>
  <c r="N648"/>
  <c r="N649"/>
  <c r="N650"/>
  <c r="N651"/>
  <c r="N652"/>
  <c r="N653"/>
  <c r="N654"/>
  <c r="N655"/>
  <c r="N656"/>
  <c r="N657"/>
  <c r="N658"/>
  <c r="N659"/>
  <c r="N660"/>
  <c r="N661"/>
  <c r="N662"/>
  <c r="N663"/>
  <c r="N664"/>
  <c r="N665"/>
  <c r="N666"/>
  <c r="N667"/>
  <c r="N668"/>
  <c r="N669"/>
  <c r="N670"/>
  <c r="N671"/>
  <c r="N672"/>
  <c r="N673"/>
  <c r="N674"/>
  <c r="N675"/>
  <c r="N676"/>
  <c r="N677"/>
  <c r="N678"/>
  <c r="N679"/>
  <c r="N680"/>
  <c r="N681"/>
  <c r="N682"/>
  <c r="N683"/>
  <c r="N684"/>
  <c r="N685"/>
  <c r="N686"/>
  <c r="N687"/>
  <c r="N688"/>
  <c r="N689"/>
  <c r="N690"/>
  <c r="N691"/>
  <c r="N692"/>
  <c r="N693"/>
  <c r="N694"/>
  <c r="N695"/>
  <c r="N696"/>
  <c r="N697"/>
  <c r="N698"/>
  <c r="N699"/>
  <c r="N700"/>
  <c r="N701"/>
  <c r="N702"/>
  <c r="N703"/>
  <c r="N704"/>
  <c r="N705"/>
  <c r="N706"/>
  <c r="N707"/>
  <c r="N708"/>
  <c r="N709"/>
  <c r="N710"/>
  <c r="N711"/>
  <c r="N712"/>
  <c r="N713"/>
  <c r="N714"/>
  <c r="N715"/>
  <c r="N716"/>
  <c r="N717"/>
  <c r="N718"/>
  <c r="N719"/>
  <c r="N720"/>
  <c r="N721"/>
  <c r="N722"/>
  <c r="N723"/>
  <c r="N724"/>
  <c r="N725"/>
  <c r="N726"/>
  <c r="N727"/>
  <c r="N728"/>
  <c r="N729"/>
  <c r="N730"/>
  <c r="N731"/>
  <c r="N732"/>
  <c r="N733"/>
  <c r="N734"/>
  <c r="N735"/>
  <c r="N736"/>
  <c r="N737"/>
  <c r="N738"/>
  <c r="N739"/>
  <c r="N740"/>
  <c r="N741"/>
  <c r="N742"/>
  <c r="N743"/>
  <c r="N744"/>
  <c r="N745"/>
  <c r="N746"/>
  <c r="N747"/>
  <c r="N748"/>
  <c r="N749"/>
  <c r="N750"/>
  <c r="N751"/>
  <c r="N752"/>
  <c r="N753"/>
  <c r="N754"/>
  <c r="N755"/>
  <c r="N756"/>
  <c r="N757"/>
  <c r="N758"/>
  <c r="N759"/>
  <c r="N760"/>
  <c r="N761"/>
  <c r="N762"/>
  <c r="N763"/>
  <c r="N764"/>
  <c r="N765"/>
  <c r="N766"/>
  <c r="N767"/>
  <c r="N768"/>
  <c r="N769"/>
  <c r="N770"/>
  <c r="N771"/>
  <c r="N772"/>
  <c r="N773"/>
  <c r="N774"/>
  <c r="N775"/>
  <c r="N776"/>
  <c r="N777"/>
  <c r="N778"/>
  <c r="N779"/>
  <c r="N780"/>
  <c r="N781"/>
  <c r="N782"/>
  <c r="N783"/>
  <c r="N784"/>
  <c r="N785"/>
  <c r="N786"/>
  <c r="N787"/>
  <c r="N788"/>
  <c r="N789"/>
  <c r="N790"/>
  <c r="N791"/>
  <c r="N792"/>
  <c r="N793"/>
  <c r="N794"/>
  <c r="N795"/>
  <c r="N796"/>
  <c r="N797"/>
  <c r="N798"/>
  <c r="N800"/>
  <c r="N801"/>
  <c r="N802"/>
  <c r="N803"/>
  <c r="N804"/>
  <c r="N805"/>
  <c r="N806"/>
  <c r="N807"/>
  <c r="N808"/>
  <c r="N809"/>
  <c r="N810"/>
  <c r="N811"/>
  <c r="N812"/>
  <c r="N813"/>
  <c r="N814"/>
  <c r="N815"/>
  <c r="N816"/>
  <c r="N817"/>
  <c r="N818"/>
  <c r="N819"/>
  <c r="N820"/>
  <c r="N821"/>
  <c r="N822"/>
  <c r="N823"/>
  <c r="N824"/>
  <c r="N825"/>
  <c r="N827"/>
  <c r="N828"/>
  <c r="N829"/>
  <c r="N830"/>
  <c r="N831"/>
  <c r="N832"/>
  <c r="N833"/>
  <c r="N834"/>
  <c r="N835"/>
  <c r="N836"/>
  <c r="N837"/>
  <c r="N838"/>
  <c r="N839"/>
  <c r="N840"/>
  <c r="N841"/>
  <c r="N842"/>
  <c r="N843"/>
  <c r="N844"/>
  <c r="N845"/>
  <c r="N846"/>
  <c r="N847"/>
  <c r="N848"/>
  <c r="N849"/>
  <c r="N850"/>
  <c r="N851"/>
  <c r="N852"/>
  <c r="N853"/>
  <c r="N854"/>
  <c r="N855"/>
  <c r="N856"/>
  <c r="N857"/>
  <c r="N858"/>
  <c r="N859"/>
  <c r="N860"/>
  <c r="N861"/>
  <c r="N862"/>
  <c r="N863"/>
  <c r="N864"/>
  <c r="N865"/>
  <c r="N866"/>
  <c r="N867"/>
  <c r="N868"/>
  <c r="N869"/>
  <c r="N870"/>
  <c r="N871"/>
  <c r="N872"/>
  <c r="N873"/>
  <c r="N874"/>
  <c r="N875"/>
  <c r="N876"/>
  <c r="N877"/>
  <c r="N878"/>
  <c r="N879"/>
  <c r="N880"/>
  <c r="N881"/>
  <c r="N882"/>
  <c r="N883"/>
  <c r="N884"/>
  <c r="N885"/>
  <c r="N886"/>
  <c r="N887"/>
  <c r="N888"/>
  <c r="N889"/>
  <c r="N890"/>
  <c r="N891"/>
  <c r="N892"/>
  <c r="N893"/>
  <c r="N894"/>
  <c r="N895"/>
  <c r="N896"/>
  <c r="N897"/>
  <c r="N898"/>
  <c r="N899"/>
  <c r="N900"/>
  <c r="N901"/>
  <c r="N902"/>
  <c r="N903"/>
  <c r="N904"/>
  <c r="N905"/>
  <c r="N906"/>
  <c r="N907"/>
  <c r="N908"/>
  <c r="N909"/>
  <c r="N910"/>
  <c r="N911"/>
  <c r="N912"/>
  <c r="N913"/>
  <c r="N914"/>
  <c r="N915"/>
  <c r="N916"/>
  <c r="N917"/>
  <c r="N919"/>
  <c r="N920"/>
  <c r="N921"/>
  <c r="N922"/>
  <c r="N925"/>
  <c r="N926"/>
  <c r="N927"/>
  <c r="N930"/>
  <c r="N931"/>
  <c r="N932"/>
  <c r="N933"/>
  <c r="N934"/>
  <c r="N935"/>
  <c r="N936"/>
  <c r="N937"/>
  <c r="N938"/>
  <c r="N939"/>
  <c r="N940"/>
  <c r="N941"/>
  <c r="N942"/>
  <c r="N943"/>
  <c r="N944"/>
  <c r="N945"/>
  <c r="N946"/>
  <c r="N947"/>
  <c r="N948"/>
  <c r="N949"/>
  <c r="N1760"/>
  <c r="N950"/>
  <c r="N951"/>
  <c r="N952"/>
  <c r="N953"/>
  <c r="N954"/>
  <c r="N955"/>
  <c r="N956"/>
  <c r="N957"/>
  <c r="N958"/>
  <c r="N959"/>
  <c r="N960"/>
  <c r="N961"/>
  <c r="N962"/>
  <c r="N963"/>
  <c r="N964"/>
  <c r="N965"/>
  <c r="N966"/>
  <c r="N967"/>
  <c r="N968"/>
  <c r="N969"/>
  <c r="N970"/>
  <c r="N971"/>
  <c r="N972"/>
  <c r="N973"/>
  <c r="N974"/>
  <c r="N975"/>
  <c r="N976"/>
  <c r="N977"/>
  <c r="N978"/>
  <c r="N979"/>
  <c r="N980"/>
  <c r="N981"/>
  <c r="N982"/>
  <c r="N983"/>
  <c r="N984"/>
  <c r="N985"/>
  <c r="N986"/>
  <c r="N987"/>
  <c r="N988"/>
  <c r="N989"/>
  <c r="N990"/>
  <c r="N991"/>
  <c r="N992"/>
  <c r="N993"/>
  <c r="N994"/>
  <c r="N995"/>
  <c r="N996"/>
  <c r="N997"/>
  <c r="N998"/>
  <c r="N999"/>
  <c r="N1000"/>
  <c r="N1001"/>
  <c r="N1002"/>
  <c r="N1003"/>
  <c r="N1004"/>
  <c r="N1005"/>
  <c r="N1006"/>
  <c r="N1007"/>
  <c r="N1008"/>
  <c r="N1009"/>
  <c r="N1010"/>
  <c r="N1011"/>
  <c r="N1012"/>
  <c r="N1013"/>
  <c r="N1014"/>
  <c r="N1015"/>
  <c r="N1016"/>
  <c r="N1017"/>
  <c r="N1018"/>
  <c r="N1019"/>
  <c r="N1020"/>
  <c r="N1021"/>
  <c r="N1022"/>
  <c r="N1023"/>
  <c r="N1024"/>
  <c r="N1025"/>
  <c r="N1026"/>
  <c r="N1027"/>
  <c r="N1028"/>
  <c r="N1029"/>
  <c r="N1030"/>
  <c r="N1031"/>
  <c r="N1032"/>
  <c r="N1033"/>
  <c r="N1034"/>
  <c r="N1035"/>
  <c r="N1036"/>
  <c r="N1037"/>
  <c r="N1038"/>
  <c r="N1039"/>
  <c r="N1040"/>
  <c r="N1041"/>
  <c r="N1042"/>
  <c r="N1043"/>
  <c r="N1044"/>
  <c r="N1045"/>
  <c r="N1046"/>
  <c r="N1047"/>
  <c r="N1048"/>
  <c r="N1049"/>
  <c r="N1050"/>
  <c r="N1051"/>
  <c r="N1052"/>
  <c r="N1053"/>
  <c r="N1054"/>
  <c r="N1055"/>
  <c r="N1056"/>
  <c r="N1057"/>
  <c r="N1058"/>
  <c r="N1059"/>
  <c r="N1060"/>
  <c r="N1061"/>
  <c r="N1062"/>
  <c r="N1063"/>
  <c r="N1064"/>
  <c r="N1065"/>
  <c r="N1066"/>
  <c r="N1067"/>
  <c r="N1068"/>
  <c r="N1069"/>
  <c r="N1070"/>
  <c r="N1071"/>
  <c r="N1072"/>
  <c r="N1073"/>
  <c r="N1074"/>
  <c r="N1075"/>
  <c r="N1076"/>
  <c r="N1077"/>
  <c r="N1078"/>
  <c r="N1079"/>
  <c r="N1080"/>
  <c r="N1081"/>
  <c r="N1082"/>
  <c r="N1083"/>
  <c r="N1084"/>
  <c r="N1085"/>
  <c r="N1086"/>
  <c r="N1087"/>
  <c r="N1088"/>
  <c r="N1089"/>
  <c r="N1090"/>
  <c r="N1091"/>
  <c r="N1092"/>
  <c r="N1093"/>
  <c r="N1094"/>
  <c r="N1095"/>
  <c r="N1096"/>
  <c r="N1097"/>
  <c r="N1098"/>
  <c r="N1099"/>
  <c r="N1100"/>
  <c r="N1101"/>
  <c r="N1102"/>
  <c r="N1103"/>
  <c r="N1104"/>
  <c r="N1105"/>
  <c r="N1106"/>
  <c r="N1107"/>
  <c r="N1108"/>
  <c r="N1109"/>
  <c r="N1110"/>
  <c r="N1111"/>
  <c r="N1112"/>
  <c r="N1113"/>
  <c r="N1114"/>
  <c r="N1115"/>
  <c r="N1116"/>
  <c r="N1117"/>
  <c r="N1118"/>
  <c r="N1119"/>
  <c r="N1120"/>
  <c r="N1121"/>
  <c r="N1122"/>
  <c r="N1123"/>
  <c r="N1124"/>
  <c r="N1125"/>
  <c r="N1126"/>
  <c r="N1127"/>
  <c r="N1128"/>
  <c r="N1129"/>
  <c r="N1130"/>
  <c r="N1131"/>
  <c r="N1132"/>
  <c r="N1133"/>
  <c r="N1134"/>
  <c r="N1135"/>
  <c r="N1136"/>
  <c r="N1137"/>
  <c r="N1138"/>
  <c r="N1139"/>
  <c r="N1140"/>
  <c r="N1141"/>
  <c r="N1142"/>
  <c r="N1143"/>
  <c r="N1144"/>
  <c r="N1145"/>
  <c r="N1146"/>
  <c r="N1147"/>
  <c r="N1148"/>
  <c r="N1149"/>
  <c r="N1150"/>
  <c r="N1151"/>
  <c r="N1152"/>
  <c r="N1153"/>
  <c r="N1154"/>
  <c r="N1155"/>
  <c r="N1156"/>
  <c r="N1157"/>
  <c r="N1158"/>
  <c r="N1159"/>
  <c r="N1160"/>
  <c r="N1161"/>
  <c r="N1164"/>
  <c r="N1165"/>
  <c r="N1166"/>
  <c r="N1168"/>
  <c r="N1172"/>
  <c r="N1175"/>
  <c r="N1173"/>
  <c r="N1174"/>
  <c r="N1177"/>
  <c r="N1178"/>
  <c r="N1180"/>
  <c r="N1185"/>
  <c r="N1184"/>
  <c r="N1183"/>
  <c r="N1188"/>
  <c r="N1186"/>
  <c r="N1187"/>
  <c r="N1189"/>
  <c r="N1191"/>
  <c r="N1192"/>
  <c r="N1194"/>
  <c r="N1196"/>
  <c r="N1197"/>
  <c r="N1198"/>
  <c r="N1204"/>
  <c r="N1207"/>
  <c r="N1208"/>
  <c r="N1209"/>
  <c r="N1213"/>
  <c r="N1216"/>
  <c r="N1219"/>
  <c r="N1220"/>
  <c r="N1221"/>
  <c r="N1222"/>
  <c r="N1223"/>
  <c r="N1224"/>
  <c r="N1225"/>
  <c r="N1226"/>
  <c r="N1237"/>
  <c r="N1227"/>
  <c r="N1228"/>
  <c r="N1229"/>
  <c r="N1230"/>
  <c r="N1231"/>
  <c r="N1234"/>
  <c r="N1235"/>
  <c r="N1236"/>
  <c r="N1255"/>
  <c r="N1238"/>
  <c r="N1239"/>
  <c r="N1240"/>
  <c r="N1241"/>
  <c r="N1242"/>
  <c r="N1243"/>
  <c r="N1244"/>
  <c r="N1245"/>
  <c r="N1246"/>
  <c r="N1258"/>
  <c r="N1247"/>
  <c r="N1248"/>
  <c r="N1259"/>
  <c r="N1250"/>
  <c r="N1268"/>
  <c r="N1251"/>
  <c r="N1278"/>
  <c r="N1253"/>
  <c r="N1256"/>
  <c r="N1257"/>
  <c r="N1289"/>
  <c r="N1260"/>
  <c r="N1261"/>
  <c r="N1262"/>
  <c r="N1291"/>
  <c r="N1299"/>
  <c r="N1263"/>
  <c r="N1264"/>
  <c r="N1265"/>
  <c r="N1266"/>
  <c r="N1300"/>
  <c r="N1298"/>
  <c r="N1269"/>
  <c r="N1270"/>
  <c r="N1304"/>
  <c r="N1271"/>
  <c r="N1272"/>
  <c r="N1274"/>
  <c r="N1275"/>
  <c r="N1276"/>
  <c r="N1277"/>
  <c r="N1305"/>
  <c r="N1279"/>
  <c r="N1280"/>
  <c r="N1281"/>
  <c r="N1232"/>
  <c r="N1282"/>
  <c r="N1283"/>
  <c r="N1267"/>
  <c r="N1285"/>
  <c r="N1286"/>
  <c r="N1287"/>
  <c r="N1284"/>
  <c r="N1288"/>
  <c r="N1292"/>
  <c r="N1290"/>
  <c r="N1293"/>
  <c r="N1294"/>
  <c r="N1295"/>
  <c r="N1296"/>
  <c r="N1297"/>
  <c r="N1301"/>
  <c r="N1302"/>
  <c r="N1306"/>
  <c r="N1233"/>
  <c r="N1249"/>
  <c r="N1303"/>
  <c r="N1252"/>
  <c r="N1254"/>
  <c r="N1307"/>
  <c r="N1273"/>
  <c r="N1308"/>
  <c r="N1309"/>
  <c r="N1310"/>
  <c r="N1311"/>
  <c r="M1164"/>
  <c r="C1287"/>
  <c r="C1289"/>
  <c r="C1290"/>
  <c r="C1292"/>
  <c r="C1291"/>
  <c r="C1293"/>
  <c r="C1294"/>
  <c r="C1295"/>
  <c r="C1296"/>
  <c r="C1260"/>
  <c r="C1245"/>
  <c r="C1246"/>
  <c r="C1226"/>
  <c r="C1234"/>
  <c r="C1235"/>
  <c r="C1236"/>
  <c r="C1237"/>
  <c r="C1238"/>
  <c r="C1239"/>
  <c r="C1240"/>
  <c r="C1241"/>
  <c r="C1242"/>
  <c r="C1243"/>
  <c r="C1244"/>
  <c r="C1311"/>
  <c r="C1310"/>
  <c r="C1307" l="1"/>
  <c r="C1306"/>
  <c r="C1304"/>
  <c r="C1303"/>
  <c r="C1298"/>
  <c r="C1309"/>
  <c r="C1308"/>
  <c r="C1305"/>
  <c r="C1300"/>
  <c r="C1299"/>
  <c r="C1302"/>
  <c r="C1301"/>
  <c r="C1297"/>
  <c r="C1286" l="1"/>
  <c r="C1283"/>
  <c r="C1282"/>
  <c r="C1284"/>
  <c r="C1281"/>
  <c r="C1280"/>
  <c r="C1279"/>
  <c r="C1277"/>
  <c r="C1276"/>
  <c r="C1275"/>
  <c r="C1274"/>
  <c r="C1285"/>
  <c r="C1288"/>
  <c r="C1278"/>
  <c r="C1272" l="1"/>
  <c r="C1271"/>
  <c r="C1270" l="1"/>
  <c r="C1269"/>
  <c r="C1263" l="1"/>
  <c r="C1268"/>
  <c r="C1267"/>
  <c r="C1266"/>
  <c r="C1265"/>
  <c r="C1264"/>
  <c r="C1259"/>
  <c r="C1258"/>
  <c r="C1262"/>
  <c r="C1261"/>
  <c r="C1255" l="1"/>
  <c r="C1257"/>
  <c r="C1256"/>
  <c r="C1253"/>
  <c r="C1254"/>
  <c r="C1251"/>
  <c r="C1252"/>
  <c r="C1250"/>
  <c r="C1249"/>
  <c r="C1248"/>
  <c r="C1247"/>
  <c r="C1231" l="1"/>
  <c r="C1230"/>
  <c r="C1229"/>
  <c r="C1228"/>
  <c r="C1227"/>
  <c r="C1233"/>
  <c r="C1225"/>
  <c r="C1232"/>
  <c r="C1224" l="1"/>
  <c r="C1223"/>
  <c r="C1222"/>
  <c r="C1221"/>
  <c r="C1220"/>
  <c r="C1219"/>
  <c r="C1216"/>
  <c r="C1213"/>
  <c r="C1209"/>
  <c r="C1208"/>
  <c r="C1207"/>
  <c r="C1204"/>
  <c r="C1198"/>
  <c r="C1197"/>
  <c r="C1196"/>
  <c r="C1194"/>
  <c r="C1192"/>
  <c r="C1191"/>
  <c r="C1189"/>
  <c r="C1180"/>
  <c r="C1178"/>
  <c r="C1177"/>
  <c r="C1174"/>
  <c r="C1173"/>
  <c r="C1175"/>
  <c r="C1172"/>
  <c r="C1168"/>
  <c r="C1187"/>
  <c r="C1186"/>
  <c r="C1188"/>
  <c r="C1183"/>
  <c r="C1184"/>
  <c r="C1185"/>
  <c r="C1161"/>
  <c r="C1166"/>
  <c r="C1165"/>
  <c r="C1164"/>
  <c r="C1160"/>
  <c r="C1159"/>
  <c r="C1158"/>
  <c r="C1157"/>
  <c r="C1156"/>
  <c r="C1155"/>
  <c r="C1154"/>
  <c r="C1153"/>
  <c r="C1152"/>
  <c r="C1151"/>
  <c r="C1150"/>
  <c r="C1149"/>
  <c r="C1148"/>
  <c r="C1147"/>
  <c r="C1146"/>
  <c r="C1145"/>
  <c r="C1144"/>
  <c r="C1143"/>
  <c r="C1126"/>
  <c r="C1127"/>
  <c r="C1128"/>
  <c r="C1129"/>
  <c r="C1130"/>
  <c r="C1131"/>
  <c r="C1132"/>
  <c r="C1134"/>
  <c r="C1133"/>
  <c r="C1135"/>
  <c r="C1136"/>
  <c r="C1137"/>
  <c r="C1138"/>
  <c r="C1139"/>
  <c r="C1140"/>
  <c r="C1141"/>
  <c r="C1142"/>
  <c r="C1125"/>
  <c r="C1095"/>
  <c r="C1124"/>
  <c r="C1123"/>
  <c r="C1122"/>
  <c r="C1121"/>
  <c r="C1119"/>
  <c r="C1116"/>
  <c r="C1113"/>
  <c r="C1112"/>
  <c r="C1109"/>
  <c r="C1108"/>
  <c r="C1107"/>
  <c r="C1106"/>
  <c r="C1099"/>
  <c r="C1098"/>
  <c r="C1097"/>
  <c r="C1094"/>
  <c r="C1092"/>
  <c r="C1089"/>
  <c r="C1084"/>
  <c r="C1083"/>
  <c r="C1080"/>
  <c r="C1120" l="1"/>
  <c r="C1118"/>
  <c r="C1117"/>
  <c r="C1115"/>
  <c r="C1114"/>
  <c r="C1111"/>
  <c r="C1110"/>
  <c r="C1105"/>
  <c r="C1104"/>
  <c r="C1103"/>
  <c r="C1102"/>
  <c r="C1101"/>
  <c r="C1100"/>
  <c r="C1096"/>
  <c r="C1093"/>
  <c r="C1091"/>
  <c r="C1090"/>
  <c r="C1088"/>
  <c r="C1087"/>
  <c r="C1086"/>
  <c r="C1085"/>
  <c r="C1082"/>
  <c r="C1081"/>
  <c r="C1079"/>
  <c r="C1078"/>
  <c r="C1077"/>
  <c r="C1076"/>
  <c r="C1075"/>
  <c r="C1074"/>
  <c r="C1073"/>
  <c r="C1072"/>
  <c r="C1071"/>
  <c r="C1070"/>
  <c r="C1069"/>
  <c r="C1068"/>
  <c r="C1067"/>
  <c r="C1066"/>
  <c r="C1065"/>
  <c r="C1064"/>
  <c r="C1063"/>
  <c r="C1062"/>
  <c r="C1061"/>
  <c r="C1060"/>
  <c r="C1059"/>
  <c r="C1058"/>
  <c r="C1057"/>
  <c r="C1056"/>
  <c r="C1055"/>
  <c r="C1054"/>
  <c r="C1053"/>
  <c r="C1052"/>
  <c r="C1051"/>
  <c r="C1050"/>
  <c r="C1049"/>
  <c r="C1048"/>
  <c r="C1047"/>
  <c r="C1045"/>
  <c r="C1044"/>
  <c r="C1043"/>
  <c r="C1041"/>
  <c r="C1038"/>
  <c r="C1034"/>
  <c r="C1032"/>
  <c r="C1030"/>
  <c r="C1027"/>
  <c r="C1024"/>
  <c r="C1021"/>
  <c r="C1020"/>
  <c r="C1018"/>
  <c r="C1014"/>
  <c r="C1013"/>
  <c r="C1012"/>
  <c r="C1011"/>
  <c r="C1010"/>
  <c r="C1008"/>
  <c r="C1007"/>
  <c r="C1006"/>
  <c r="C1005"/>
  <c r="C1004"/>
  <c r="C1003"/>
  <c r="C1046"/>
  <c r="C1042" l="1"/>
  <c r="C1040"/>
  <c r="C1039"/>
  <c r="C1037"/>
  <c r="C1036"/>
  <c r="C1035"/>
  <c r="C1033"/>
  <c r="C1031"/>
  <c r="C1023"/>
  <c r="C1029"/>
  <c r="C1028" l="1"/>
  <c r="C1026"/>
  <c r="C1025" l="1"/>
  <c r="C1022" l="1"/>
  <c r="C1019"/>
  <c r="C1017"/>
  <c r="C1016"/>
  <c r="C1015"/>
  <c r="C1009" l="1"/>
  <c r="C1002"/>
  <c r="C1001"/>
  <c r="C1000"/>
  <c r="C999"/>
  <c r="C998"/>
  <c r="C995"/>
  <c r="C983"/>
  <c r="C980"/>
  <c r="C970"/>
  <c r="C979"/>
  <c r="C978"/>
  <c r="C977"/>
  <c r="C966"/>
  <c r="C997"/>
  <c r="C996"/>
  <c r="C994"/>
  <c r="C993"/>
  <c r="C991"/>
  <c r="C990"/>
  <c r="C989"/>
  <c r="C986"/>
  <c r="C988"/>
  <c r="C985"/>
  <c r="C969"/>
  <c r="C982"/>
  <c r="C976"/>
  <c r="C965"/>
  <c r="C964"/>
  <c r="C958" l="1"/>
  <c r="C954"/>
  <c r="C953" l="1"/>
  <c r="C952"/>
  <c r="C949"/>
  <c r="C946"/>
  <c r="C992"/>
  <c r="C987"/>
  <c r="C984"/>
  <c r="C981"/>
  <c r="C975"/>
  <c r="C968"/>
  <c r="C962"/>
  <c r="C961"/>
  <c r="C960"/>
  <c r="C959"/>
  <c r="C957"/>
  <c r="C956"/>
  <c r="C955"/>
  <c r="C951"/>
  <c r="C950"/>
  <c r="C1760" l="1"/>
  <c r="C948"/>
  <c r="C947"/>
  <c r="C945"/>
  <c r="C944"/>
  <c r="C943"/>
  <c r="C974" l="1"/>
  <c r="C967"/>
  <c r="C973"/>
  <c r="C972"/>
  <c r="C971"/>
  <c r="C963"/>
  <c r="C942"/>
  <c r="C941"/>
  <c r="C940"/>
  <c r="C939"/>
  <c r="C938"/>
  <c r="C937"/>
  <c r="C933" l="1"/>
  <c r="C927"/>
  <c r="C931"/>
  <c r="C932"/>
  <c r="C930"/>
  <c r="C935"/>
  <c r="C922"/>
  <c r="C920"/>
  <c r="C936"/>
  <c r="C934"/>
  <c r="C926"/>
  <c r="C925"/>
  <c r="C921"/>
  <c r="C919"/>
  <c r="C917"/>
  <c r="C887" l="1"/>
  <c r="C886"/>
  <c r="C884"/>
  <c r="C883"/>
  <c r="C882"/>
  <c r="C906" l="1"/>
  <c r="C909"/>
  <c r="C904"/>
  <c r="C901"/>
  <c r="C903"/>
  <c r="C916"/>
  <c r="C913"/>
  <c r="C912"/>
  <c r="C915"/>
  <c r="C914"/>
  <c r="C911"/>
  <c r="C905"/>
  <c r="C910"/>
  <c r="C908"/>
  <c r="C907"/>
  <c r="C749"/>
  <c r="C902"/>
  <c r="C900"/>
  <c r="C899"/>
  <c r="C885"/>
  <c r="C898"/>
  <c r="C897"/>
  <c r="C896" l="1"/>
  <c r="C895"/>
  <c r="C894"/>
  <c r="C893"/>
  <c r="C892"/>
  <c r="C891"/>
  <c r="C890"/>
  <c r="C889"/>
  <c r="C888"/>
  <c r="C881" l="1"/>
  <c r="C880"/>
  <c r="C879"/>
  <c r="C878"/>
  <c r="C877"/>
  <c r="C875" l="1"/>
  <c r="C871"/>
  <c r="C873"/>
  <c r="C869"/>
  <c r="C867"/>
  <c r="C874"/>
  <c r="C872"/>
  <c r="C876"/>
  <c r="C868"/>
  <c r="C866"/>
  <c r="C864"/>
  <c r="C865"/>
  <c r="C870"/>
  <c r="C863"/>
  <c r="C862"/>
  <c r="C861"/>
  <c r="C860"/>
  <c r="C859" l="1"/>
  <c r="C858"/>
  <c r="C856"/>
  <c r="C855"/>
  <c r="C854"/>
  <c r="C853"/>
  <c r="C851"/>
  <c r="C850"/>
  <c r="C846"/>
  <c r="C852"/>
  <c r="C857"/>
  <c r="C849"/>
  <c r="C848"/>
  <c r="C847"/>
  <c r="C845"/>
  <c r="C844"/>
  <c r="C843" l="1"/>
  <c r="C842"/>
  <c r="C840"/>
  <c r="C839"/>
  <c r="C841"/>
  <c r="C838" l="1"/>
  <c r="C837"/>
  <c r="C833"/>
  <c r="C836"/>
  <c r="C832"/>
  <c r="C830"/>
  <c r="C835"/>
  <c r="C834"/>
  <c r="C831"/>
  <c r="C829"/>
  <c r="C827" l="1"/>
  <c r="C825"/>
  <c r="C824"/>
  <c r="C823"/>
  <c r="C828"/>
  <c r="C822"/>
  <c r="C821"/>
  <c r="C820" l="1"/>
  <c r="C818"/>
  <c r="C819"/>
  <c r="C800" l="1"/>
  <c r="C817"/>
  <c r="C807"/>
  <c r="C806"/>
  <c r="C805"/>
  <c r="C804"/>
  <c r="C808"/>
  <c r="C813"/>
  <c r="C816"/>
  <c r="C812"/>
  <c r="C815"/>
  <c r="C814"/>
  <c r="C796"/>
  <c r="C809"/>
  <c r="C801" l="1"/>
  <c r="C803"/>
  <c r="C798"/>
  <c r="C794"/>
  <c r="C797"/>
  <c r="C792"/>
  <c r="C789"/>
  <c r="C785"/>
  <c r="C791"/>
  <c r="C811"/>
  <c r="C802"/>
  <c r="C810"/>
  <c r="C795"/>
  <c r="C793"/>
  <c r="C790"/>
  <c r="C788"/>
  <c r="C787"/>
  <c r="C786"/>
  <c r="C784" l="1"/>
  <c r="C782"/>
  <c r="C781"/>
  <c r="C779"/>
  <c r="C777"/>
  <c r="C776" l="1"/>
  <c r="C773"/>
  <c r="C771"/>
  <c r="C770"/>
  <c r="C769"/>
  <c r="C768"/>
  <c r="C765"/>
  <c r="C764"/>
  <c r="C783"/>
  <c r="C780"/>
  <c r="C778"/>
  <c r="C717"/>
  <c r="C775"/>
  <c r="C774"/>
  <c r="C772"/>
  <c r="C767"/>
  <c r="C766"/>
  <c r="C761" l="1"/>
  <c r="C760"/>
  <c r="C757"/>
  <c r="C756" l="1"/>
  <c r="C763"/>
  <c r="C762"/>
  <c r="C759"/>
  <c r="C758"/>
  <c r="C755"/>
  <c r="C754" l="1"/>
  <c r="C752"/>
  <c r="C748"/>
  <c r="C747"/>
  <c r="C740"/>
  <c r="C744"/>
  <c r="C743"/>
  <c r="C739"/>
  <c r="C738"/>
  <c r="C737"/>
  <c r="C736"/>
  <c r="C734"/>
  <c r="C731"/>
  <c r="C730"/>
  <c r="C729"/>
  <c r="C728"/>
  <c r="C727"/>
  <c r="C726"/>
  <c r="C722"/>
  <c r="C720"/>
  <c r="C716"/>
  <c r="C715"/>
  <c r="C713"/>
  <c r="C712"/>
  <c r="C753"/>
  <c r="C751"/>
  <c r="C750"/>
  <c r="C746"/>
  <c r="C745"/>
  <c r="C742"/>
  <c r="C281"/>
  <c r="C282"/>
  <c r="C294"/>
  <c r="C306"/>
  <c r="C344"/>
  <c r="C345"/>
  <c r="C349"/>
  <c r="C360"/>
  <c r="C741"/>
  <c r="C538"/>
  <c r="C122"/>
  <c r="C134"/>
  <c r="C131"/>
  <c r="C127"/>
  <c r="C151"/>
  <c r="C161"/>
  <c r="C149"/>
  <c r="C165"/>
  <c r="C105"/>
  <c r="C114"/>
  <c r="C136"/>
  <c r="C735"/>
  <c r="C733" l="1"/>
  <c r="C732"/>
  <c r="C725"/>
  <c r="C724"/>
  <c r="C723"/>
  <c r="C721"/>
  <c r="C719"/>
  <c r="C718" l="1"/>
  <c r="C714"/>
  <c r="C711"/>
  <c r="C710" l="1"/>
  <c r="C709"/>
  <c r="C704" l="1"/>
  <c r="C702"/>
  <c r="C701"/>
  <c r="C700"/>
  <c r="C699"/>
  <c r="C697"/>
  <c r="C696"/>
  <c r="C695"/>
  <c r="C694"/>
  <c r="C693"/>
  <c r="C692"/>
  <c r="C691"/>
  <c r="C680"/>
  <c r="C708"/>
  <c r="C707"/>
  <c r="C706"/>
  <c r="C705"/>
  <c r="C703"/>
  <c r="C698"/>
  <c r="C690"/>
  <c r="C689"/>
  <c r="C688" l="1"/>
  <c r="C687"/>
  <c r="C686"/>
  <c r="C685"/>
  <c r="C684"/>
  <c r="C683"/>
  <c r="C679"/>
  <c r="C678"/>
  <c r="C676"/>
  <c r="C675"/>
  <c r="C674"/>
  <c r="C682"/>
  <c r="C673"/>
  <c r="C672"/>
  <c r="C671"/>
  <c r="C668"/>
  <c r="C666"/>
  <c r="C665"/>
  <c r="C664"/>
  <c r="C663"/>
  <c r="C662"/>
  <c r="C658"/>
  <c r="C657"/>
  <c r="C681"/>
  <c r="C677"/>
  <c r="C670"/>
  <c r="C669"/>
  <c r="C667"/>
  <c r="C661"/>
  <c r="C660"/>
  <c r="C659"/>
  <c r="C656"/>
  <c r="C653"/>
  <c r="C652" l="1"/>
  <c r="C655" l="1"/>
  <c r="C654"/>
  <c r="C651"/>
  <c r="C650"/>
  <c r="C649"/>
  <c r="C646"/>
  <c r="C645"/>
  <c r="C644"/>
  <c r="C630"/>
  <c r="C648"/>
  <c r="C647"/>
  <c r="C643" l="1"/>
  <c r="C642"/>
  <c r="C641"/>
  <c r="C640"/>
  <c r="C639"/>
  <c r="C638"/>
  <c r="C637"/>
  <c r="C636" l="1"/>
  <c r="C635"/>
  <c r="C634"/>
  <c r="C629"/>
  <c r="C633"/>
  <c r="C632"/>
  <c r="C631"/>
  <c r="C628"/>
  <c r="C627"/>
  <c r="C626"/>
  <c r="C624"/>
  <c r="C623"/>
  <c r="C620"/>
  <c r="C625"/>
  <c r="C622"/>
  <c r="C621"/>
  <c r="C619"/>
  <c r="C618" l="1"/>
  <c r="C617"/>
  <c r="C616"/>
  <c r="C615"/>
  <c r="C614"/>
  <c r="C613"/>
  <c r="C612"/>
  <c r="C611"/>
  <c r="C610"/>
  <c r="C608" l="1"/>
  <c r="C607"/>
  <c r="C606"/>
  <c r="C605"/>
  <c r="C604"/>
  <c r="C601"/>
  <c r="C599"/>
  <c r="C600"/>
  <c r="C594"/>
  <c r="C609"/>
  <c r="C603"/>
  <c r="C602"/>
  <c r="C598" l="1"/>
  <c r="C593"/>
  <c r="C591"/>
  <c r="C590"/>
  <c r="C589"/>
  <c r="C587"/>
  <c r="C597"/>
  <c r="C596"/>
  <c r="C595"/>
  <c r="C592"/>
  <c r="C559" l="1"/>
  <c r="C562"/>
  <c r="C581"/>
  <c r="C577"/>
  <c r="C574"/>
  <c r="C573"/>
  <c r="C566"/>
  <c r="C561"/>
  <c r="C565"/>
  <c r="C554"/>
  <c r="C564"/>
  <c r="C558"/>
  <c r="C557"/>
  <c r="C553"/>
  <c r="C552"/>
  <c r="C588"/>
  <c r="C586"/>
  <c r="C572"/>
  <c r="C570"/>
  <c r="C569"/>
  <c r="C585"/>
  <c r="C584"/>
  <c r="C576"/>
  <c r="C563"/>
  <c r="C560"/>
  <c r="C551"/>
  <c r="C583"/>
  <c r="C582"/>
  <c r="C580"/>
  <c r="C579"/>
  <c r="C578"/>
  <c r="C575"/>
  <c r="C571"/>
  <c r="C568"/>
  <c r="C555"/>
  <c r="C556"/>
  <c r="C567"/>
  <c r="C550" l="1"/>
  <c r="C549"/>
  <c r="C548"/>
  <c r="C547"/>
  <c r="C546"/>
  <c r="C545"/>
  <c r="C544"/>
  <c r="C543"/>
  <c r="C542"/>
  <c r="C541"/>
  <c r="C540"/>
  <c r="C539"/>
  <c r="C537"/>
  <c r="C536"/>
  <c r="C535"/>
  <c r="C534"/>
  <c r="C533"/>
  <c r="C532"/>
  <c r="C531"/>
  <c r="C530"/>
  <c r="C529"/>
  <c r="C528"/>
  <c r="C527"/>
  <c r="C526"/>
  <c r="C525"/>
  <c r="C524"/>
  <c r="C523"/>
  <c r="C522"/>
  <c r="C521"/>
  <c r="C520"/>
  <c r="C519"/>
  <c r="C518"/>
  <c r="C517"/>
  <c r="C516"/>
  <c r="C515"/>
  <c r="C514"/>
  <c r="C513"/>
  <c r="C512"/>
  <c r="C511"/>
  <c r="C510"/>
  <c r="C509"/>
  <c r="C508"/>
  <c r="C507"/>
  <c r="C505"/>
  <c r="C504"/>
  <c r="C503"/>
  <c r="C502"/>
  <c r="C501"/>
  <c r="C500"/>
  <c r="C499"/>
  <c r="C498"/>
  <c r="C497"/>
  <c r="C496"/>
  <c r="C495"/>
  <c r="C494"/>
  <c r="C493"/>
  <c r="C492"/>
  <c r="C491"/>
  <c r="C490"/>
  <c r="C489"/>
  <c r="C488"/>
  <c r="C487"/>
  <c r="C486"/>
  <c r="C485"/>
  <c r="C484"/>
  <c r="C483"/>
  <c r="C482"/>
  <c r="C481"/>
  <c r="C480"/>
  <c r="C479"/>
  <c r="C478"/>
  <c r="C477"/>
  <c r="C476"/>
  <c r="C475"/>
  <c r="C474"/>
  <c r="C473"/>
  <c r="C472"/>
  <c r="C471"/>
  <c r="C470"/>
  <c r="C469"/>
  <c r="C468"/>
  <c r="C467"/>
  <c r="C466"/>
  <c r="C465"/>
  <c r="C463"/>
  <c r="C462"/>
  <c r="C461"/>
  <c r="C460"/>
  <c r="C459"/>
  <c r="C458"/>
  <c r="C457"/>
  <c r="C456"/>
  <c r="C455"/>
  <c r="C454"/>
  <c r="C453"/>
  <c r="C452"/>
  <c r="C451"/>
  <c r="C450"/>
  <c r="C449"/>
  <c r="C448"/>
  <c r="C447"/>
  <c r="C446"/>
  <c r="C445"/>
  <c r="C444"/>
  <c r="C443"/>
  <c r="C442"/>
  <c r="C441"/>
  <c r="C440"/>
  <c r="C439"/>
  <c r="C438"/>
  <c r="C437"/>
  <c r="C436"/>
  <c r="C435"/>
  <c r="C434"/>
  <c r="C433"/>
  <c r="C432"/>
  <c r="C431"/>
  <c r="C430"/>
  <c r="C429"/>
  <c r="C428"/>
  <c r="C427"/>
  <c r="C426"/>
  <c r="C425"/>
  <c r="C424"/>
  <c r="C423"/>
  <c r="C422"/>
  <c r="C421"/>
  <c r="C420"/>
  <c r="C419"/>
  <c r="C418"/>
  <c r="C417"/>
  <c r="C416"/>
  <c r="C415"/>
  <c r="C414"/>
  <c r="C413"/>
  <c r="C412"/>
  <c r="C411"/>
  <c r="C410"/>
  <c r="C409"/>
  <c r="C408"/>
  <c r="C407"/>
  <c r="C406"/>
  <c r="C405"/>
  <c r="C404"/>
  <c r="C403"/>
  <c r="C402"/>
  <c r="C401"/>
  <c r="C400"/>
  <c r="C399"/>
  <c r="C398"/>
  <c r="C397"/>
  <c r="C396"/>
  <c r="C395"/>
  <c r="C394"/>
  <c r="C393"/>
  <c r="C392"/>
  <c r="C391"/>
  <c r="C390"/>
  <c r="C389"/>
  <c r="C388"/>
  <c r="C387"/>
  <c r="C386"/>
  <c r="C385"/>
  <c r="C384"/>
  <c r="C383"/>
  <c r="C382"/>
  <c r="C381"/>
  <c r="C380"/>
  <c r="C379"/>
  <c r="C378"/>
  <c r="C377"/>
  <c r="C376"/>
  <c r="C375"/>
  <c r="C374"/>
  <c r="C373"/>
  <c r="C372"/>
  <c r="C371"/>
  <c r="C370"/>
  <c r="C369"/>
  <c r="C368"/>
  <c r="C367"/>
  <c r="C366"/>
  <c r="C365"/>
  <c r="C364"/>
  <c r="C363"/>
  <c r="C362"/>
  <c r="C361"/>
  <c r="C359"/>
  <c r="C358"/>
  <c r="C357"/>
  <c r="C356"/>
  <c r="C355"/>
  <c r="C354"/>
  <c r="C353"/>
  <c r="C352"/>
  <c r="C351"/>
  <c r="C350"/>
  <c r="C348"/>
  <c r="C347"/>
  <c r="C346"/>
  <c r="C343"/>
  <c r="C342"/>
  <c r="C341"/>
  <c r="C340"/>
  <c r="C339"/>
  <c r="C338"/>
  <c r="C337"/>
  <c r="C336"/>
  <c r="C335"/>
  <c r="C334"/>
  <c r="C333"/>
  <c r="C332"/>
  <c r="C331"/>
  <c r="C330"/>
  <c r="C329"/>
  <c r="C328"/>
  <c r="C327"/>
  <c r="C326"/>
  <c r="C325"/>
  <c r="C324"/>
  <c r="C323"/>
  <c r="C322"/>
  <c r="C321"/>
  <c r="C320"/>
  <c r="C319"/>
  <c r="C318"/>
  <c r="C317"/>
  <c r="C316"/>
  <c r="C315"/>
  <c r="C314"/>
  <c r="C313"/>
  <c r="C312"/>
  <c r="C311"/>
  <c r="C310"/>
  <c r="C309"/>
  <c r="C308"/>
  <c r="C307"/>
  <c r="C305"/>
  <c r="C304"/>
  <c r="C303"/>
  <c r="C302"/>
  <c r="C301"/>
  <c r="C300"/>
  <c r="C299"/>
  <c r="C298"/>
  <c r="C297"/>
  <c r="C296"/>
  <c r="C295"/>
  <c r="C293"/>
  <c r="C292"/>
  <c r="C291"/>
  <c r="C290"/>
  <c r="C289"/>
  <c r="C288"/>
  <c r="C287"/>
  <c r="C286"/>
  <c r="C285"/>
  <c r="C284"/>
  <c r="C283"/>
  <c r="C280"/>
  <c r="C279"/>
  <c r="C278"/>
  <c r="C277"/>
  <c r="C276"/>
  <c r="C275"/>
  <c r="C274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3"/>
  <c r="C252"/>
  <c r="C251"/>
  <c r="C250"/>
  <c r="C249"/>
  <c r="C248"/>
  <c r="C247"/>
  <c r="C246"/>
  <c r="C245"/>
  <c r="C244"/>
  <c r="C243"/>
  <c r="C242"/>
  <c r="C241"/>
  <c r="C240"/>
  <c r="C239"/>
  <c r="C238"/>
  <c r="C237"/>
  <c r="C236"/>
  <c r="C235"/>
  <c r="C234"/>
  <c r="C233"/>
  <c r="C232"/>
  <c r="C231"/>
  <c r="C230"/>
  <c r="C229"/>
  <c r="C228"/>
  <c r="C227"/>
  <c r="C226"/>
  <c r="C225"/>
  <c r="C224"/>
  <c r="C223"/>
  <c r="C222"/>
  <c r="C221"/>
  <c r="C220"/>
  <c r="C219"/>
  <c r="C218"/>
  <c r="C217"/>
  <c r="C216"/>
  <c r="C215"/>
  <c r="C214"/>
  <c r="C213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C188"/>
  <c r="C187"/>
  <c r="C186"/>
  <c r="C185"/>
  <c r="C184"/>
  <c r="C183"/>
  <c r="C182"/>
  <c r="C181"/>
  <c r="C180"/>
  <c r="C179"/>
  <c r="C178"/>
  <c r="C177"/>
  <c r="C176"/>
  <c r="C175"/>
  <c r="C174"/>
  <c r="C173"/>
  <c r="C172"/>
  <c r="C171"/>
  <c r="C170"/>
  <c r="C169"/>
  <c r="C168"/>
  <c r="C167"/>
  <c r="C166"/>
  <c r="C164"/>
  <c r="C163"/>
  <c r="C162"/>
  <c r="C160"/>
  <c r="C159"/>
  <c r="C158"/>
  <c r="C157"/>
  <c r="C156"/>
  <c r="C155"/>
  <c r="C154"/>
  <c r="C153"/>
  <c r="C152"/>
  <c r="C150"/>
  <c r="C148"/>
  <c r="C147"/>
  <c r="C146"/>
  <c r="C145"/>
  <c r="C144"/>
  <c r="C143"/>
  <c r="C142"/>
  <c r="C141"/>
  <c r="C140"/>
  <c r="C139"/>
  <c r="C138"/>
  <c r="C137"/>
  <c r="C135"/>
  <c r="C133"/>
  <c r="C132"/>
  <c r="C130"/>
  <c r="C129"/>
  <c r="C128"/>
  <c r="C126"/>
  <c r="C125"/>
  <c r="C124"/>
  <c r="C123"/>
  <c r="C121"/>
  <c r="C120"/>
  <c r="C119"/>
  <c r="C118"/>
  <c r="C117"/>
  <c r="C116"/>
  <c r="C115"/>
  <c r="C113"/>
  <c r="C112"/>
  <c r="C111"/>
  <c r="C110"/>
  <c r="C109"/>
  <c r="C108"/>
  <c r="C107"/>
  <c r="C106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506"/>
  <c r="D139" i="3"/>
  <c r="B139"/>
  <c r="D138"/>
  <c r="B138"/>
  <c r="D137"/>
  <c r="B137"/>
  <c r="D136"/>
  <c r="B136"/>
  <c r="D135"/>
  <c r="B135"/>
  <c r="D134"/>
  <c r="B134"/>
  <c r="D133"/>
  <c r="B133"/>
  <c r="D132"/>
  <c r="B132"/>
  <c r="D131"/>
  <c r="B131"/>
  <c r="D130"/>
  <c r="B130"/>
  <c r="D129"/>
  <c r="B129"/>
  <c r="D128"/>
  <c r="B128"/>
  <c r="D127"/>
  <c r="B127"/>
  <c r="D126"/>
  <c r="B126"/>
  <c r="D125"/>
  <c r="B125"/>
  <c r="D124"/>
  <c r="B124"/>
  <c r="D123"/>
  <c r="B123"/>
  <c r="D122"/>
  <c r="B122"/>
  <c r="D121"/>
  <c r="B121"/>
  <c r="D120"/>
  <c r="B120"/>
  <c r="D119"/>
  <c r="B119"/>
  <c r="D118"/>
  <c r="B118"/>
  <c r="D117"/>
  <c r="B117"/>
  <c r="D116"/>
  <c r="B116"/>
  <c r="D115"/>
  <c r="B115"/>
  <c r="D114"/>
  <c r="B114"/>
  <c r="D113"/>
  <c r="B113"/>
  <c r="D112"/>
  <c r="B112"/>
  <c r="D111"/>
  <c r="B111"/>
  <c r="D110"/>
  <c r="B110"/>
  <c r="D109"/>
  <c r="B109"/>
  <c r="D108"/>
  <c r="B108"/>
  <c r="D107"/>
  <c r="B107"/>
  <c r="D106"/>
  <c r="B106"/>
  <c r="D105"/>
  <c r="B105"/>
  <c r="D104"/>
  <c r="B104"/>
  <c r="D103"/>
  <c r="B103"/>
  <c r="D102"/>
  <c r="B102"/>
  <c r="D101"/>
  <c r="B101"/>
  <c r="D100"/>
  <c r="B100"/>
  <c r="D99"/>
  <c r="B99"/>
  <c r="D98"/>
  <c r="B98"/>
  <c r="D97"/>
  <c r="B97"/>
  <c r="D96"/>
  <c r="B96"/>
  <c r="D95"/>
  <c r="B95"/>
  <c r="D94"/>
  <c r="B94"/>
  <c r="D93"/>
  <c r="B93"/>
  <c r="D92"/>
  <c r="B92"/>
  <c r="D91"/>
  <c r="B91"/>
  <c r="D90"/>
  <c r="B90"/>
  <c r="D89"/>
  <c r="B89"/>
  <c r="D88"/>
  <c r="B88"/>
  <c r="D87"/>
  <c r="B87"/>
  <c r="D86"/>
  <c r="B86"/>
  <c r="D85"/>
  <c r="B85"/>
  <c r="D84"/>
  <c r="B84"/>
  <c r="D83"/>
  <c r="B83"/>
  <c r="D82"/>
  <c r="B82"/>
  <c r="D81"/>
  <c r="B81"/>
  <c r="D80"/>
  <c r="B80"/>
  <c r="D79"/>
  <c r="B79"/>
  <c r="D78"/>
  <c r="B78"/>
  <c r="D77"/>
  <c r="B77"/>
  <c r="D76"/>
  <c r="B76"/>
  <c r="D75"/>
  <c r="B75"/>
  <c r="D74"/>
  <c r="B74"/>
  <c r="D73"/>
  <c r="B73"/>
  <c r="D72"/>
  <c r="B72"/>
  <c r="D71"/>
  <c r="B71"/>
  <c r="D70"/>
  <c r="B70"/>
  <c r="D69"/>
  <c r="B69"/>
  <c r="D68"/>
  <c r="B68"/>
  <c r="D67"/>
  <c r="B67"/>
  <c r="D66"/>
  <c r="B66"/>
  <c r="D65"/>
  <c r="B65"/>
  <c r="D64"/>
  <c r="B64"/>
  <c r="D63"/>
  <c r="B63"/>
  <c r="D62"/>
  <c r="B62"/>
  <c r="D61"/>
  <c r="B61"/>
  <c r="D60"/>
  <c r="B60"/>
  <c r="D59"/>
  <c r="B59"/>
  <c r="D58"/>
  <c r="B58"/>
  <c r="D57"/>
  <c r="B57"/>
  <c r="D56"/>
  <c r="B56"/>
  <c r="D55"/>
  <c r="B55"/>
  <c r="D54"/>
  <c r="B54"/>
  <c r="D53"/>
  <c r="B53"/>
  <c r="D52"/>
  <c r="B52"/>
  <c r="D51"/>
  <c r="B51"/>
  <c r="D50"/>
  <c r="B50"/>
  <c r="D49"/>
  <c r="B49"/>
  <c r="D48"/>
  <c r="B48"/>
  <c r="D47"/>
  <c r="B47"/>
  <c r="D46"/>
  <c r="B46"/>
  <c r="D45"/>
  <c r="B45"/>
  <c r="D44"/>
  <c r="B44"/>
  <c r="D43"/>
  <c r="B43"/>
  <c r="D42"/>
  <c r="B42"/>
  <c r="D41"/>
  <c r="B41"/>
  <c r="D40"/>
  <c r="B40"/>
  <c r="D39"/>
  <c r="B39"/>
  <c r="D38"/>
  <c r="B38"/>
  <c r="D37"/>
  <c r="B37"/>
  <c r="D36"/>
  <c r="B36"/>
  <c r="D35"/>
  <c r="B35"/>
  <c r="D34"/>
  <c r="B34"/>
  <c r="D33"/>
  <c r="B33"/>
  <c r="D32"/>
  <c r="B32"/>
  <c r="D31"/>
  <c r="D30"/>
  <c r="B30"/>
  <c r="D29"/>
  <c r="B29"/>
  <c r="D28"/>
  <c r="B28"/>
  <c r="D27"/>
  <c r="B27"/>
  <c r="D26"/>
  <c r="B26"/>
  <c r="D25"/>
  <c r="B25"/>
  <c r="D24"/>
  <c r="B24"/>
  <c r="D23"/>
  <c r="B23"/>
  <c r="D22"/>
  <c r="B22"/>
  <c r="D21"/>
  <c r="B21"/>
  <c r="D20"/>
  <c r="B20"/>
  <c r="D19"/>
  <c r="B19"/>
  <c r="D17"/>
  <c r="B17"/>
  <c r="D15"/>
  <c r="B15"/>
  <c r="D14"/>
  <c r="B14"/>
  <c r="D13"/>
  <c r="B13"/>
  <c r="D12"/>
  <c r="B12"/>
  <c r="D11"/>
  <c r="B11"/>
  <c r="D10"/>
  <c r="B10"/>
  <c r="D9"/>
  <c r="B9"/>
  <c r="D7"/>
  <c r="B7"/>
  <c r="D6"/>
  <c r="B6"/>
  <c r="D5"/>
  <c r="B5"/>
  <c r="D4"/>
  <c r="B4"/>
  <c r="D3"/>
  <c r="B3"/>
  <c r="D2"/>
  <c r="B2"/>
</calcChain>
</file>

<file path=xl/sharedStrings.xml><?xml version="1.0" encoding="utf-8"?>
<sst xmlns="http://schemas.openxmlformats.org/spreadsheetml/2006/main" count="13485" uniqueCount="4832">
  <si>
    <t>Date</t>
  </si>
  <si>
    <t>Section</t>
  </si>
  <si>
    <t>Type d'intervention</t>
  </si>
  <si>
    <t>Machine</t>
  </si>
  <si>
    <t>Code</t>
  </si>
  <si>
    <t>Partie Machine</t>
  </si>
  <si>
    <t>Intervention</t>
  </si>
  <si>
    <t>Résultat</t>
  </si>
  <si>
    <t>Réglage</t>
  </si>
  <si>
    <t>Schlatter</t>
  </si>
  <si>
    <t>Cisaille</t>
  </si>
  <si>
    <t>Réglage de la pression de l'air pour l'ajustement des cames de la cisaille</t>
  </si>
  <si>
    <t>Came ajustée
Machine opérationelle</t>
  </si>
  <si>
    <t>Réparation</t>
  </si>
  <si>
    <t>Teurema 2</t>
  </si>
  <si>
    <t>Cassette PR 3,20</t>
  </si>
  <si>
    <t>Nettoyage, démontage de la cassette  3,20 - changement des roulement endommagés</t>
  </si>
  <si>
    <t>Cassette opérationnelle</t>
  </si>
  <si>
    <t>Béton</t>
  </si>
  <si>
    <t>Contrôle</t>
  </si>
  <si>
    <t>Groupe hydraulique</t>
  </si>
  <si>
    <t xml:space="preserve">Rajout d'huile hydraulique </t>
  </si>
  <si>
    <t>Niveau d'huile corrigé</t>
  </si>
  <si>
    <t>Eclairage</t>
  </si>
  <si>
    <t>Détection du court circuit au niveau du circuit d'alimentation des ampoules se situant au dessus du malaxeur, changement des fils endommagé.</t>
  </si>
  <si>
    <t>Eclairage en bon état</t>
  </si>
  <si>
    <t>Confection</t>
  </si>
  <si>
    <t>Electrodes</t>
  </si>
  <si>
    <t>Découpe +perçage des électrode en cuivre</t>
  </si>
  <si>
    <t>Préparation de 14 électrodes en cuivre prêtes à l'emploi</t>
  </si>
  <si>
    <t>Vidange</t>
  </si>
  <si>
    <t>Mélangeur</t>
  </si>
  <si>
    <t xml:space="preserve">Vidange du réducteur du mélangeur </t>
  </si>
  <si>
    <t>Réducteur vidangé</t>
  </si>
  <si>
    <t>Grue à tour</t>
  </si>
  <si>
    <t>Treuil principal</t>
  </si>
  <si>
    <t>Diagnostic : Mesure d'isolement +mesure de continuité du motofrein montée descente</t>
  </si>
  <si>
    <t>Enroulement de la bobine du frein coupé
- Démontage prévu: 01/02/2019 + Transmission vers CEDP pour réparation</t>
  </si>
  <si>
    <t>Acier PN</t>
  </si>
  <si>
    <t>Elimination d'une fuite d'huile au niveau de la cisaille : changement d'un flexible hydraulique</t>
  </si>
  <si>
    <t>Fuite éliminée</t>
  </si>
  <si>
    <t>Découpe + surfaçage des électrodes en cuivre</t>
  </si>
  <si>
    <t>Préparation de 20 éléctrodes en cuivres</t>
  </si>
  <si>
    <t>Moule</t>
  </si>
  <si>
    <t>Changement du vérin du moule ( le premier avait une fuite au niveau du raccord)</t>
  </si>
  <si>
    <t>Fuite éliminée 
Vérin monté</t>
  </si>
  <si>
    <t>Descenseur</t>
  </si>
  <si>
    <t>Tension des chaines du descenseur</t>
  </si>
  <si>
    <t>Chaines tendue</t>
  </si>
  <si>
    <t>Cercleuse</t>
  </si>
  <si>
    <t xml:space="preserve">Soufflage des cercleuses et nettoyage de la tete chauffante </t>
  </si>
  <si>
    <t xml:space="preserve">Cercleuse opérationnelle </t>
  </si>
  <si>
    <t>Alimentation générale</t>
  </si>
  <si>
    <t>Réarmement du disjoncteur général ( le disjoncteur est tombé à cause d'une collision entre deux ponts roulants)</t>
  </si>
  <si>
    <t>Disjoncteur réarmé - pont roulant opérationnel</t>
  </si>
  <si>
    <t>Circuit de refroidissement</t>
  </si>
  <si>
    <t>Changement d'un flexible de refroidissement</t>
  </si>
  <si>
    <t>Circuit de refroidissement en bon état</t>
  </si>
  <si>
    <t>Vidange de la fosse séptique</t>
  </si>
  <si>
    <t>Fosse séptique vidangée
La taille de la fosse est très petite environ 10 metre cube</t>
  </si>
  <si>
    <t>Silo à ciment</t>
  </si>
  <si>
    <t>Montage des pièces du réducteur des vis à ciment</t>
  </si>
  <si>
    <t>Réducteur opérationel prêt à l'emploie</t>
  </si>
  <si>
    <t>Démontage</t>
  </si>
  <si>
    <t>Démontage du frein endommagé de la grue à tour</t>
  </si>
  <si>
    <t>Attente CEDP pour réparation</t>
  </si>
  <si>
    <t>Teurema 1</t>
  </si>
  <si>
    <t>Cassette PR 8</t>
  </si>
  <si>
    <t>Changement de 6 roulement 32008 partie crantée + Zoomage</t>
  </si>
  <si>
    <t>Cassette opérationelle</t>
  </si>
  <si>
    <t>Bobinoir</t>
  </si>
  <si>
    <t>Changement des boulons de fixation du bobinoir ( boulons endomagés)</t>
  </si>
  <si>
    <t>Elimination d'une fuite au niveau du réducteur  du mélangeur</t>
  </si>
  <si>
    <t>Fuite éliminée 
-Bruit anormal au niveau du réducteur
Prévoir un arrêt pour vérification du réducteur</t>
  </si>
  <si>
    <t>Vitari</t>
  </si>
  <si>
    <t>Devidoir</t>
  </si>
  <si>
    <t>Réglage du potentiométre du devidoir + changement des silents blocs du danseur</t>
  </si>
  <si>
    <t>Machine opérationelle</t>
  </si>
  <si>
    <t>Guide fil</t>
  </si>
  <si>
    <t>Dressage des barres du guides fils</t>
  </si>
  <si>
    <t>Moteur de levage</t>
  </si>
  <si>
    <t>Montage du frein (Monté-Descente)</t>
  </si>
  <si>
    <t>Pont roulant opérationel</t>
  </si>
  <si>
    <t>Découpe électrodes en cuivre</t>
  </si>
  <si>
    <t>10 électrodes prêtes pour le surfaçage</t>
  </si>
  <si>
    <t>RAS</t>
  </si>
  <si>
    <t>Changement des nécessaires du vérin du moule</t>
  </si>
  <si>
    <t>Vérin prêt à l'emploi</t>
  </si>
  <si>
    <t>Réparation du circuit électrique de commande</t>
  </si>
  <si>
    <t>Débouchage du circuit de refroidissement du cabestan</t>
  </si>
  <si>
    <t>Intervention d'un plombier nécessaire (prévu le 07/02/2019)</t>
  </si>
  <si>
    <t>Débouchage du circtuit de refroidissement de la cassette PR8</t>
  </si>
  <si>
    <t>Rénnovation</t>
  </si>
  <si>
    <t xml:space="preserve">Début des travaux de changement des plaques translucides </t>
  </si>
  <si>
    <t>Travaux en cours</t>
  </si>
  <si>
    <t>Vibreur</t>
  </si>
  <si>
    <t>Extraction d'une vis + taraudage du support du vibreur</t>
  </si>
  <si>
    <t>Table élévatrice</t>
  </si>
  <si>
    <t>Changement d'un pignon tendeur de la chaine de la table élévatrice</t>
  </si>
  <si>
    <t>Cassette PR 10</t>
  </si>
  <si>
    <t>Changement de 6 roulement  partie crantée de la cassette PR10</t>
  </si>
  <si>
    <t xml:space="preserve">Réparation </t>
  </si>
  <si>
    <t>Changement des roulements du réducteur du mélangeur + Changement des roulement du support de pales + Vidange du réducteur</t>
  </si>
  <si>
    <t>Travaux en cours - Disponibilité de la machine prévu le 07/02/2019 à 10H</t>
  </si>
  <si>
    <t>Bloc de soudure</t>
  </si>
  <si>
    <t>Perçage + taraudage du support de fixation des électrodes du sabot de soudage</t>
  </si>
  <si>
    <t>Sabot opérationnel</t>
  </si>
  <si>
    <t>Changement</t>
  </si>
  <si>
    <t>Changement d'un flexible de refroidissement endommagé</t>
  </si>
  <si>
    <t>Circuit RAS</t>
  </si>
  <si>
    <t>Pilon</t>
  </si>
  <si>
    <t>Changement de l'axe de fixation du vérin du pilon</t>
  </si>
  <si>
    <t>Machine opérationnelle</t>
  </si>
  <si>
    <t xml:space="preserve">Montage de la vis sans fin + l'écrou en bronze de la table élévatrice </t>
  </si>
  <si>
    <t>Perçage + taraudage du support de fixation des distributeurs pneumatiques de la cisaille</t>
  </si>
  <si>
    <t>Machine OP</t>
  </si>
  <si>
    <t>Fin des travaux au niveau du mélangeur</t>
  </si>
  <si>
    <t xml:space="preserve">Changement </t>
  </si>
  <si>
    <t>Malaxeur</t>
  </si>
  <si>
    <t>Changement des pales de pates du malaxeur</t>
  </si>
  <si>
    <t>Sortie presse</t>
  </si>
  <si>
    <t>Soudage des courroies thermosoudables sortie presse +  Montage</t>
  </si>
  <si>
    <t>Cabestan n°4</t>
  </si>
  <si>
    <t>Début des travaux sur le moteur du cabestan n°4</t>
  </si>
  <si>
    <t>Jeu au niveau de la poulie du moteur - usure de l'arbre moteur probable - Démontage en cours</t>
  </si>
  <si>
    <t>Dépannage</t>
  </si>
  <si>
    <t>intervention du plombier pour le débouchage du circuit de refroidissement du cabestan</t>
  </si>
  <si>
    <t xml:space="preserve">circuit provisoirement débouché - Changement de la canalisation prévu ( selon la disponibilité du plombier) </t>
  </si>
  <si>
    <t>Pince</t>
  </si>
  <si>
    <t>Changement du moteur monté descente de la pince</t>
  </si>
  <si>
    <t>Moteur monté provisoirement en attendant l'achat d'un moteur plus compatible (achat prévu le 09/02/2019)</t>
  </si>
  <si>
    <t>Purge</t>
  </si>
  <si>
    <t>Adjuvant</t>
  </si>
  <si>
    <t>Purge du circuit d'alimentation de l'adjuvant</t>
  </si>
  <si>
    <t>Circuit purgé machine opérationnelle</t>
  </si>
  <si>
    <t>Sigmatic</t>
  </si>
  <si>
    <t>Circuit d'air comprimé</t>
  </si>
  <si>
    <t>Réparation de l'electrovanne de distibution de l'air comprimé</t>
  </si>
  <si>
    <t>Changement des joints interne du vérin pneumatique de mouvement de la cisaille</t>
  </si>
  <si>
    <t>Changement D'une prise rapide pneumatique du dévidoir</t>
  </si>
  <si>
    <t xml:space="preserve">Montage du moteur monté descente de la pince marque neri motori </t>
  </si>
  <si>
    <t>Machine opérationnelle nécessité de commander un moteur de marque ABB conformément à la conception initiale du constructeur</t>
  </si>
  <si>
    <t>Changement du flexible hydraulique du pilon suite à une fuite au niveau du sertissage de celui-ci</t>
  </si>
  <si>
    <t xml:space="preserve">Fuite éliminée </t>
  </si>
  <si>
    <t>Diagnostic</t>
  </si>
  <si>
    <t>Lance trame</t>
  </si>
  <si>
    <t>Recherche de  l'anomalie qui cause la décéleration du moteur d'amenée des fils de trame</t>
  </si>
  <si>
    <t>Fils d'alimentation comprimés par le chassis de la machine, attente de résultat après liberation de ceux-ci</t>
  </si>
  <si>
    <t>Démontage du frein monté descente cramé</t>
  </si>
  <si>
    <t>Réclamation prévu le lundi 11/02/2019 au près de CEDP pour explication le frein en question a été monté le 04/02/2019</t>
  </si>
  <si>
    <t>Poulie et disque d'embrayage mis à dispostion du tourneur pour réparation</t>
  </si>
  <si>
    <t>En attente de livraison relance 11/02/2019</t>
  </si>
  <si>
    <t>Préparation</t>
  </si>
  <si>
    <t xml:space="preserve">Soudage des courroies thermosoudables sortie presse </t>
  </si>
  <si>
    <t>2 Courroies disponibles en stock</t>
  </si>
  <si>
    <t>Extraction des vis des cales de guidage du moule + montage de vis neuves</t>
  </si>
  <si>
    <t>Réarmement du disjoncteur général</t>
  </si>
  <si>
    <t>Wafios Ritecno</t>
  </si>
  <si>
    <t>Moteur tir fil</t>
  </si>
  <si>
    <t>Isolation de fils électriques</t>
  </si>
  <si>
    <t>Teurema 3</t>
  </si>
  <si>
    <t>Poste de soudage</t>
  </si>
  <si>
    <t>Changement d'un commutateur</t>
  </si>
  <si>
    <t>Poste de soudage opérationnel</t>
  </si>
  <si>
    <t>Elimination d'un manque de phase</t>
  </si>
  <si>
    <t>Transformateur n°6</t>
  </si>
  <si>
    <t>Changement du transformateur de soudage n°6</t>
  </si>
  <si>
    <t>Confection de 4 electrodes PN1</t>
  </si>
  <si>
    <t>4 électrodes disponibles en stock</t>
  </si>
  <si>
    <t>Changement d'un cable de soudage du porte électrode</t>
  </si>
  <si>
    <t>Perçage taraudage porte électrode</t>
  </si>
  <si>
    <t>Pompe à graisse</t>
  </si>
  <si>
    <t>Entretien de la pompe à graisse</t>
  </si>
  <si>
    <t>Cassete PR3,40</t>
  </si>
  <si>
    <t xml:space="preserve">Démontage de la cassette 3,40 </t>
  </si>
  <si>
    <t>Réparation prévu le 12/02/2019</t>
  </si>
  <si>
    <t>Montage de la poulie + disque de frein + courroie + tension des courroie du moteur du cabestan n°4</t>
  </si>
  <si>
    <t>Table guide fil</t>
  </si>
  <si>
    <t>Remise à niveau de la table</t>
  </si>
  <si>
    <t>Extraction d'une vis + taraudage M12 au niveau du bloc</t>
  </si>
  <si>
    <t xml:space="preserve">Confection de 22 électrode en cuivre </t>
  </si>
  <si>
    <t>22 électrodes disponibles</t>
  </si>
  <si>
    <t>Rectification</t>
  </si>
  <si>
    <t>Réctification de 4 sabot porte électrode</t>
  </si>
  <si>
    <t>Sabots réctifiés</t>
  </si>
  <si>
    <t>Table vibrante</t>
  </si>
  <si>
    <t>Isolation du cable d'alimentation du moteur de la table vibrante ( élimination d'un court circuit)</t>
  </si>
  <si>
    <t>Changement de la tôle de la table vibrante</t>
  </si>
  <si>
    <t>Enrouleur</t>
  </si>
  <si>
    <t>Changement de la porte de l'enrouleur</t>
  </si>
  <si>
    <t>Armoire électrique</t>
  </si>
  <si>
    <t>Changement d'un relais à broche de mise en marche des variateurs</t>
  </si>
  <si>
    <t>Cassette PR3,40</t>
  </si>
  <si>
    <t xml:space="preserve">Changement de 4 roulement 32008 </t>
  </si>
  <si>
    <t>Changement des silents blocs de la barre</t>
  </si>
  <si>
    <t>Réctification de 2 sabots porte électrode</t>
  </si>
  <si>
    <t>Montage</t>
  </si>
  <si>
    <t>Cassette PR3,20</t>
  </si>
  <si>
    <t>Changement d'un flexible de graissage</t>
  </si>
  <si>
    <t>Dégrippage de la fixation du porte électrode</t>
  </si>
  <si>
    <t>Cassette PR5</t>
  </si>
  <si>
    <t>Changement du support porte électrode -vérin</t>
  </si>
  <si>
    <t>Changement du cable de soudure</t>
  </si>
  <si>
    <t>Extraction d'une vis + taraudage</t>
  </si>
  <si>
    <t>Système de guidage</t>
  </si>
  <si>
    <t>Démontage d'un pignon et d'un galet de guidage</t>
  </si>
  <si>
    <t>En attente de confection chez tourneur</t>
  </si>
  <si>
    <t>Réclamation au près de CEDP pour explication. le frein en question a été monté et remonté plusieurs fois</t>
  </si>
  <si>
    <t>Montage d'un frein neuf + mise en place de nouveaux trous taraudés de fixation</t>
  </si>
  <si>
    <t>RAS en attente de résultats</t>
  </si>
  <si>
    <t xml:space="preserve">Cercleuse 08 </t>
  </si>
  <si>
    <t>Réglage de l'embrayage</t>
  </si>
  <si>
    <t>Changement du flexible hydraulique du vérin du moule (endommagé de la partie sertie)</t>
  </si>
  <si>
    <t>Tiroir d'agitation</t>
  </si>
  <si>
    <t>Changement de 3 galet + 6 roulement pour modification de diametre 3,40</t>
  </si>
  <si>
    <t>GA 55 (evg)</t>
  </si>
  <si>
    <t>GA 45 (evg 2)</t>
  </si>
  <si>
    <t>GA 22 (Teurema)</t>
  </si>
  <si>
    <t>GA 30 (EVG TS)</t>
  </si>
  <si>
    <t xml:space="preserve">GA 22 (poyatos) </t>
  </si>
  <si>
    <t>GA 22 (enrobage )</t>
  </si>
  <si>
    <t>FD 24 (schalleter)</t>
  </si>
  <si>
    <t>FD 345 (evg)</t>
  </si>
  <si>
    <t>FD  (evg TS))</t>
  </si>
  <si>
    <t>S. poyatos FD 62</t>
  </si>
  <si>
    <t>Silo1</t>
  </si>
  <si>
    <t>Silo2</t>
  </si>
  <si>
    <t>Poyatos 1</t>
  </si>
  <si>
    <t>CERCLEUSE AUTOMATIQUE</t>
  </si>
  <si>
    <t>Poyatos 2</t>
  </si>
  <si>
    <t>Silo 4</t>
  </si>
  <si>
    <t>Silo 5</t>
  </si>
  <si>
    <t>Silo 6</t>
  </si>
  <si>
    <t>Silo 7</t>
  </si>
  <si>
    <t>Acier</t>
  </si>
  <si>
    <t>Pont roulant GH Beasain 12T</t>
  </si>
  <si>
    <t>Pont roulant Demag 5T</t>
  </si>
  <si>
    <t>Pont roulant Demag 5T (milieu)</t>
  </si>
  <si>
    <t>Poste à souder SMEI (Schlatter)</t>
  </si>
  <si>
    <t>Refroidisseur  Cliref I150/2 SCHLATER</t>
  </si>
  <si>
    <t>EVG GE12</t>
  </si>
  <si>
    <t>Refroidisseur  EVG TS</t>
  </si>
  <si>
    <t>Poste à souder (EVG GE12)</t>
  </si>
  <si>
    <t xml:space="preserve">Pont roulant Demag 1 3,5T </t>
  </si>
  <si>
    <t>Pont roulant Demag 2 3,2T (Charge)</t>
  </si>
  <si>
    <t>EVG PN 1</t>
  </si>
  <si>
    <t>Cisaille PN (GTA)</t>
  </si>
  <si>
    <t>Poste à souder SMEI (Sigmatic)</t>
  </si>
  <si>
    <t>Poste à souder SMEI (EVG)</t>
  </si>
  <si>
    <t>Refroidisseur Cliref I150/1</t>
  </si>
  <si>
    <t>Refroidisseur  Aiitoni 3637</t>
  </si>
  <si>
    <t>Refroidisseur  BALTIMOR FXT 29R SIGMATIC</t>
  </si>
  <si>
    <t>EVG PN 2</t>
  </si>
  <si>
    <t>Pont roulant Demag 3,2T (teurema2)</t>
  </si>
  <si>
    <t>Pont roulant Abus 5T (teurema1)</t>
  </si>
  <si>
    <t>Pont roulant Demag 5T(nouveau hangar)</t>
  </si>
  <si>
    <t>Techno Impiante</t>
  </si>
  <si>
    <t>POSTE ASOUDER TR 1</t>
  </si>
  <si>
    <t>POSTE ASOUDER TR 2 ET 3</t>
  </si>
  <si>
    <t>Poste à zoomerTechnoline</t>
  </si>
  <si>
    <t>Refroidisseur  Cliref I147/4</t>
  </si>
  <si>
    <t>Refroidisseur  Cliref I147/5 TR</t>
  </si>
  <si>
    <t>TI 9505/8</t>
  </si>
  <si>
    <t>TI 9505/9</t>
  </si>
  <si>
    <t>Wafios Reutlingen</t>
  </si>
  <si>
    <t>TI</t>
  </si>
  <si>
    <t>MEP91</t>
  </si>
  <si>
    <t>Cisaille de renfort</t>
  </si>
  <si>
    <t>Silo 3</t>
  </si>
  <si>
    <t>CAROSSEL</t>
  </si>
  <si>
    <t>MALAXEUR ELKON CAROSSEL</t>
  </si>
  <si>
    <t>Fosse séptique</t>
  </si>
  <si>
    <t>Usine</t>
  </si>
  <si>
    <t>Gestion de stock</t>
  </si>
  <si>
    <t>Cassette PR8</t>
  </si>
  <si>
    <t>Cassette PR3,5</t>
  </si>
  <si>
    <t>Nettoyage + changement de 4 roulements</t>
  </si>
  <si>
    <t>Changement de deux axes plongeurs</t>
  </si>
  <si>
    <t>Réparation du mouffle +changement du cable antigiratoire</t>
  </si>
  <si>
    <t>Partie de soudage</t>
  </si>
  <si>
    <t>Changement du vérin de soudage</t>
  </si>
  <si>
    <t>Changement de 4 roulement 32008 + flexible d'eau</t>
  </si>
  <si>
    <t>Panne moteur dispositif amené FT</t>
  </si>
  <si>
    <t>Changement de 4 roulement 32008</t>
  </si>
  <si>
    <t>Démontage du moteur réducteur endommagé</t>
  </si>
  <si>
    <t xml:space="preserve">Attente d'achat d'un nouveau moteur réducteur </t>
  </si>
  <si>
    <t>Démontage du moteur de guidage pour rebobinage</t>
  </si>
  <si>
    <t>Démontage du distributeur pneumatique du guide fil endommagé</t>
  </si>
  <si>
    <t>Attente d'achat d'un nouveau distributeur</t>
  </si>
  <si>
    <t>Cercleuse 06</t>
  </si>
  <si>
    <t>Changement de la résistance chauffante</t>
  </si>
  <si>
    <t>Transbordeur</t>
  </si>
  <si>
    <t>Soudage du galet de guidage sur l'arbe principal</t>
  </si>
  <si>
    <t>Étiquettes de lignes</t>
  </si>
  <si>
    <t>(vide)</t>
  </si>
  <si>
    <t>Total général</t>
  </si>
  <si>
    <t>Enrobage</t>
  </si>
  <si>
    <t>Soudage de la grille d'agitation</t>
  </si>
  <si>
    <t>Prévoir le changement de celle-ci</t>
  </si>
  <si>
    <t>Prevoir la confection d'un nouvel arbre</t>
  </si>
  <si>
    <t>Grille d'agitation</t>
  </si>
  <si>
    <t>Changement de la grille et du jeu d'agitation prévu le 16/03/2019</t>
  </si>
  <si>
    <t>Changement de 4 roulements 32008</t>
  </si>
  <si>
    <t>Soudage de la traverse droite de la table vibrante</t>
  </si>
  <si>
    <t>Changement de l'electrovanne d'alimentation en eau</t>
  </si>
  <si>
    <t>Preévoir l'achat d'une nouvelle électrovanne</t>
  </si>
  <si>
    <t>Skip</t>
  </si>
  <si>
    <t>Changement d'un roulement de galet</t>
  </si>
  <si>
    <t>Elimination d'une fuite au niveau du raccord du vérin du moule</t>
  </si>
  <si>
    <t>Panne moteur dispositif amené FT ( problème</t>
  </si>
  <si>
    <t>Remise du cable antigiratoire sur le truil principal</t>
  </si>
  <si>
    <t>Changement des tiges de fixation du moteur de levage</t>
  </si>
  <si>
    <t>Changement de 3 tige d'assemblage du bobinoir</t>
  </si>
  <si>
    <t>Prévoir la confection de tige d'assemblage</t>
  </si>
  <si>
    <t>Montage d'un refroidisseur à radiateur au niveau du groupe hydraulique</t>
  </si>
  <si>
    <t>Amélioration</t>
  </si>
  <si>
    <t>La température enregistrée est de 37° au niveau de la pompe et 35° sur tous les autres organes</t>
  </si>
  <si>
    <t>Mise en place d'un écran LCD à la place de l'ecran tactile de commande de la machine</t>
  </si>
  <si>
    <t>Prévoir l'achat d'un nouvel écran</t>
  </si>
  <si>
    <t>Pupitre de commande</t>
  </si>
  <si>
    <t>Chnagement de 4 courroie de distribution</t>
  </si>
  <si>
    <t>TA (min)</t>
  </si>
  <si>
    <t>Montage d'un distributeur avec adaptation des branchements</t>
  </si>
  <si>
    <t>Attente réception du distributeur d'origine de chez eurolls</t>
  </si>
  <si>
    <t>Changemene de 4 roulements 32008</t>
  </si>
  <si>
    <t>Convoyeur a béton</t>
  </si>
  <si>
    <t>Changement du tendeur du réducteur</t>
  </si>
  <si>
    <t>hafi</t>
  </si>
  <si>
    <t>Attente livraison du pont de diode du moteur de levage</t>
  </si>
  <si>
    <t xml:space="preserve">Fixation du vérin pneumatique </t>
  </si>
  <si>
    <t>Extraction d'une vis +degrippage du support de fixation</t>
  </si>
  <si>
    <t>Presse</t>
  </si>
  <si>
    <t>Changement du moteur de vibration</t>
  </si>
  <si>
    <t>Calage de la table vibrante</t>
  </si>
  <si>
    <t>Changement des roulement de l'injecteur de planche</t>
  </si>
  <si>
    <t>Injecteur de planche</t>
  </si>
  <si>
    <t>changement de l'axe de fixation du vérin du moule</t>
  </si>
  <si>
    <t>Changement du joint da la vanne d'alimmentation du circuit d'adjuvant</t>
  </si>
  <si>
    <t>Serrage des fixations du frein moteur</t>
  </si>
  <si>
    <t>Attente achat moteur réducteur Poyatos (import)</t>
  </si>
  <si>
    <t>Deblocage du silo 7</t>
  </si>
  <si>
    <t>Code machine</t>
  </si>
  <si>
    <t>Rénovation</t>
  </si>
  <si>
    <t>Date fin intervention</t>
  </si>
  <si>
    <t>Date début</t>
  </si>
  <si>
    <t>Détail Intervention</t>
  </si>
  <si>
    <t>Réclamation / problème</t>
  </si>
  <si>
    <t>Observations / Avancement</t>
  </si>
  <si>
    <t>Déraillage du transbordeur</t>
  </si>
  <si>
    <t>Remise en place du transbordeur et fixation des cibles de capteur</t>
  </si>
  <si>
    <t>Galets usés</t>
  </si>
  <si>
    <t>Changement d'un galet au niveau de la plateforme de deux galet du multifourche et de l'arbre avant du multifourche</t>
  </si>
  <si>
    <t>Roulements usés</t>
  </si>
  <si>
    <t>Changement de quatres roulements 6208 des galets de guidage</t>
  </si>
  <si>
    <t>Tôle inférieure décollées</t>
  </si>
  <si>
    <t>Resserage des vis de fixation de la tôle de revetement du malaxeur</t>
  </si>
  <si>
    <t>Fissure au niveau de la table vibrante</t>
  </si>
  <si>
    <t>Soudage de la table vibrante</t>
  </si>
  <si>
    <t>Problème électrique au niveau du moteur de levage</t>
  </si>
  <si>
    <t>Resserage du frein moteur</t>
  </si>
  <si>
    <t>Compresseur GA 22</t>
  </si>
  <si>
    <t xml:space="preserve">Changement du compresseur </t>
  </si>
  <si>
    <t>Pression d'air comprimé faible</t>
  </si>
  <si>
    <t>Arbe du réducteur cassé</t>
  </si>
  <si>
    <t>Changement du réducteur de translation de la plateforme</t>
  </si>
  <si>
    <t>Convoyeur à palette</t>
  </si>
  <si>
    <t>Chaine des rouleaux cassée</t>
  </si>
  <si>
    <t>Changement d'une chaine de transmission B12</t>
  </si>
  <si>
    <t>Problème de callage de la table vibrante</t>
  </si>
  <si>
    <t>Callage et mise en marche de de la table vibrante</t>
  </si>
  <si>
    <t>Problème du réducteur du descensseur</t>
  </si>
  <si>
    <t>Changement de la clavette interieur du réducteur du descensseur</t>
  </si>
  <si>
    <t>Changement de la soupape d'admission + changement des filtres</t>
  </si>
  <si>
    <t>Finde course usée</t>
  </si>
  <si>
    <t>Changement du detecteur</t>
  </si>
  <si>
    <t>Ascensseur</t>
  </si>
  <si>
    <t>Pb électrique</t>
  </si>
  <si>
    <t>Changement d'un detecteur de proximité</t>
  </si>
  <si>
    <t>Déchargeur</t>
  </si>
  <si>
    <t>Pale de pate usées</t>
  </si>
  <si>
    <t>Changement de quatres pales de pate</t>
  </si>
  <si>
    <t>Jeu au niveau des bielles d'agitation</t>
  </si>
  <si>
    <t xml:space="preserve">Changement dun roulement endommagé </t>
  </si>
  <si>
    <t>Tôle décolée</t>
  </si>
  <si>
    <t>Changement de la tole de la table vibrante</t>
  </si>
  <si>
    <t>Fuite au niveau du réduteur de la pince</t>
  </si>
  <si>
    <t>Changement de deux roulements avec arrêt d'huile</t>
  </si>
  <si>
    <t>Neant</t>
  </si>
  <si>
    <t>Essai</t>
  </si>
  <si>
    <t>Essai d'un compresseur GA22 occasion</t>
  </si>
  <si>
    <t>Fuite au niveau de la pompe de refroidissement</t>
  </si>
  <si>
    <t>Montage d'un système de refroidissement à air et elimination du refroidissement à eau</t>
  </si>
  <si>
    <t>pb lancement feuillard</t>
  </si>
  <si>
    <t>Affutage du couteau + changement de la glissière</t>
  </si>
  <si>
    <t>Cercleuse 08</t>
  </si>
  <si>
    <t>Embrayage endommagé</t>
  </si>
  <si>
    <t>Changement de l'embrayage + nettoyage de la lame de soudure</t>
  </si>
  <si>
    <t>Tiroir chargeur</t>
  </si>
  <si>
    <t>fissure du tiroir chargeur</t>
  </si>
  <si>
    <t>Soudage du tiroir chargeur</t>
  </si>
  <si>
    <t>Pb éléctrique du transbordeur</t>
  </si>
  <si>
    <t>Changement d'un contacteur et élimination d'un court circuit</t>
  </si>
  <si>
    <t>Fissure de la table vibrante</t>
  </si>
  <si>
    <t xml:space="preserve">Pb éléctrique </t>
  </si>
  <si>
    <t>Changement du disjoncteur du moteur du déchargeur</t>
  </si>
  <si>
    <t>Changement d'un capteur de proximité endommagé</t>
  </si>
  <si>
    <t>Rotule du pilon endommagée</t>
  </si>
  <si>
    <t>Changement du moteur de la pince</t>
  </si>
  <si>
    <t>Capteur de proximité endommagé</t>
  </si>
  <si>
    <t>Compresseur GA22</t>
  </si>
  <si>
    <t xml:space="preserve">Fuite au niveau de l'élement + courroie endommagée </t>
  </si>
  <si>
    <t xml:space="preserve">Changement des courroies + remplissage d'huile </t>
  </si>
  <si>
    <t>Attente livraison arret d'huile</t>
  </si>
  <si>
    <t>Balance de mesure</t>
  </si>
  <si>
    <t xml:space="preserve">Fuite de ciment </t>
  </si>
  <si>
    <t>Changement de la trappe</t>
  </si>
  <si>
    <t>Convoyeur à planche</t>
  </si>
  <si>
    <t>Courroie soudable endommagée</t>
  </si>
  <si>
    <t>Soudage de la courroie thermosoudable</t>
  </si>
  <si>
    <t>Réparation du cable éléctrique endommagé</t>
  </si>
  <si>
    <t>PB moteur vibreur porte malaxeur</t>
  </si>
  <si>
    <t>PResse</t>
  </si>
  <si>
    <t>Changement de la courroie thermosoudable</t>
  </si>
  <si>
    <t>Vitesse du pousse planche élevée</t>
  </si>
  <si>
    <t>Réglage du débit d'huile</t>
  </si>
  <si>
    <t>Pb de calage de la table vibrante</t>
  </si>
  <si>
    <t>Cerclage non effectué</t>
  </si>
  <si>
    <t>Moule HI20</t>
  </si>
  <si>
    <t>Achat nouveau moule</t>
  </si>
  <si>
    <t>Soudage des cales du moule</t>
  </si>
  <si>
    <t>Courroie 1760 endommagée</t>
  </si>
  <si>
    <t>Changement d'une courroie 1760 + calage de la table vibrante</t>
  </si>
  <si>
    <t>Clavetage du reducteur d'agitation endommagé</t>
  </si>
  <si>
    <t>Changement du réducteur d'agitation</t>
  </si>
  <si>
    <t>Pb de freinage du moteur du descensseur</t>
  </si>
  <si>
    <t>Changement du disque de frein endommagé</t>
  </si>
  <si>
    <t>Soudage non effectué</t>
  </si>
  <si>
    <t>Touche entrée de la machine endommagé</t>
  </si>
  <si>
    <t>Changement de la console de commande</t>
  </si>
  <si>
    <t>Circuit bouché</t>
  </si>
  <si>
    <t xml:space="preserve">Nettoyage du clapet antiretour </t>
  </si>
  <si>
    <t>Problème de levage</t>
  </si>
  <si>
    <t>Changement des vis de fixation du frein moteur</t>
  </si>
  <si>
    <t>Danseur N2</t>
  </si>
  <si>
    <t>Bras du danseur cassé</t>
  </si>
  <si>
    <t>Modification du système de fixation du danseur et renforcement de la soudure</t>
  </si>
  <si>
    <t>Chariot</t>
  </si>
  <si>
    <t>Cercles du chariot usées</t>
  </si>
  <si>
    <t>Changement du chariot par un neuf préalablement confectionné par les chaudraunniers</t>
  </si>
  <si>
    <t>Jeu sur galets</t>
  </si>
  <si>
    <t>changement de 2 roulement 32008 + zoomage</t>
  </si>
  <si>
    <t>Mauvaise fixation de la presse de soudage</t>
  </si>
  <si>
    <t>Degrippage de la fixation de la presse de soudage</t>
  </si>
  <si>
    <t>Pb de fixation sur socle</t>
  </si>
  <si>
    <t>réparation du système de fixation</t>
  </si>
  <si>
    <t>Panne électrique (thyristor endommagé)</t>
  </si>
  <si>
    <t>Changement du thyristor endommagé</t>
  </si>
  <si>
    <t>Prêt karkachi</t>
  </si>
  <si>
    <t>Fuite d'eau</t>
  </si>
  <si>
    <t>Circuit de graissage bouché</t>
  </si>
  <si>
    <t>Changement d'un flexible de graisse</t>
  </si>
  <si>
    <t>BLoc de soudure</t>
  </si>
  <si>
    <t>Panne porte électrode</t>
  </si>
  <si>
    <t>Système d'avancement</t>
  </si>
  <si>
    <t>Blocage du tir fil</t>
  </si>
  <si>
    <t>Changement des roulements des galets du tir fil</t>
  </si>
  <si>
    <t>Problème de refroidissement</t>
  </si>
  <si>
    <t>Débouchage du tuyau de refroidissement des cables de courant</t>
  </si>
  <si>
    <t>Cabestant bloqué</t>
  </si>
  <si>
    <t>Nettoyage de la carte profibus du variateur du cabestan</t>
  </si>
  <si>
    <t>Refroidisseur</t>
  </si>
  <si>
    <t>Eau chaude</t>
  </si>
  <si>
    <t>Changement du contacteur du compresseur</t>
  </si>
  <si>
    <t>Changement d'un flexible d'eau</t>
  </si>
  <si>
    <t>Transporteur de poutrelle</t>
  </si>
  <si>
    <t>Transporteur bloqué</t>
  </si>
  <si>
    <t>Changement d'un distributeur festo endommagé</t>
  </si>
  <si>
    <t>Panne presse de soudage</t>
  </si>
  <si>
    <t>Dispositif d'amenée fil de trame</t>
  </si>
  <si>
    <t>Servomoteur endommagé</t>
  </si>
  <si>
    <t>Attente livraison servomoteur</t>
  </si>
  <si>
    <t>Changement d'une pièce d'ancrage récupérée de la ferraille</t>
  </si>
  <si>
    <t>Cable endommagé</t>
  </si>
  <si>
    <t>Changement du cable antigiratoire diametre 9</t>
  </si>
  <si>
    <t>Panne cercleuse</t>
  </si>
  <si>
    <t>Débloquage du tir ceinture</t>
  </si>
  <si>
    <t>Frottement du guide avec le fil + fuite d'eau</t>
  </si>
  <si>
    <t>Rebaguage du guide fil + Changement d'un raccord d'eau</t>
  </si>
  <si>
    <t>Panne de devidoir</t>
  </si>
  <si>
    <t>Changement de prise rapide d'air comprimé</t>
  </si>
  <si>
    <t>Soudage non effectué (thyristor endommagé)</t>
  </si>
  <si>
    <t>Dépannage, un thyristor remplie la fonction de deux thyristor</t>
  </si>
  <si>
    <t>Attente livraison thyristor</t>
  </si>
  <si>
    <t>Guide cable endommagé</t>
  </si>
  <si>
    <t>Elimination des morceaux restants du guide cable et remise en place du cable antigiratoire</t>
  </si>
  <si>
    <t xml:space="preserve">Cabestan </t>
  </si>
  <si>
    <t>Surface cabestan usée</t>
  </si>
  <si>
    <t>Rechargement de la surface du cabestan par soudage</t>
  </si>
  <si>
    <t>Panne de cisaille</t>
  </si>
  <si>
    <t>Dressage du chemin du fil et changement des chapes de la cisaille</t>
  </si>
  <si>
    <t>Vis de fixation de la presse cassé</t>
  </si>
  <si>
    <t>Pb démarrage machine</t>
  </si>
  <si>
    <t xml:space="preserve">Dépannage du variateur </t>
  </si>
  <si>
    <t>Dresseuse</t>
  </si>
  <si>
    <t>Dressage defectueux</t>
  </si>
  <si>
    <t>Démontage du système de dressage - arbre de transmission usé</t>
  </si>
  <si>
    <t>Attente confection d'un nouvel arbre commandé chez tourneur</t>
  </si>
  <si>
    <t>Panne electrique</t>
  </si>
  <si>
    <t>Changement du transformateur de courant</t>
  </si>
  <si>
    <t>PB porte electrode</t>
  </si>
  <si>
    <t xml:space="preserve">Extraction d'une vis endommagé perçage taraudage </t>
  </si>
  <si>
    <t xml:space="preserve">Achat urgent de filets rapportés diamètre 12 </t>
  </si>
  <si>
    <t>Ateliers</t>
  </si>
  <si>
    <t>Fuite au niveau de l'élément</t>
  </si>
  <si>
    <t>Moteur undervoltage</t>
  </si>
  <si>
    <t>Démontage + transfert A3TEC pour réparation</t>
  </si>
  <si>
    <t>Attente Réparation du variateur / Réparé attente essai 18/06/2019</t>
  </si>
  <si>
    <t>Panne de presse de soudage</t>
  </si>
  <si>
    <t>Changement du kit joints usé</t>
  </si>
  <si>
    <t>Système de tirage</t>
  </si>
  <si>
    <t>Fuite d'huile</t>
  </si>
  <si>
    <t>Changement des roulements et arrêts d'huile</t>
  </si>
  <si>
    <t>Réglage de la température de soudage</t>
  </si>
  <si>
    <t>frein Moteur de levage endommagé</t>
  </si>
  <si>
    <t>Frein moteur endommagé</t>
  </si>
  <si>
    <t>Changement du moteur de levage ( par moteur neiri motori</t>
  </si>
  <si>
    <t>Pb vibreur porte malaxeur</t>
  </si>
  <si>
    <t>Elimination d'un court circuit prevoir remplacement du moteur vibreur</t>
  </si>
  <si>
    <t xml:space="preserve">Compresseur GA 22 </t>
  </si>
  <si>
    <t>Retour Air diffusion</t>
  </si>
  <si>
    <t>Changement du compteur + Tige soupape d'admission</t>
  </si>
  <si>
    <t>Variateur Cabestan 3</t>
  </si>
  <si>
    <t>Cabestan n°3</t>
  </si>
  <si>
    <t>Reception du variateur</t>
  </si>
  <si>
    <t>Montage du variateur + essai</t>
  </si>
  <si>
    <t>Usure sur les rails du transbordeur</t>
  </si>
  <si>
    <t>Changement d'un galet au niveau de la plateforme</t>
  </si>
  <si>
    <t>Echauffement anormal du moteur du groupe hydraulique</t>
  </si>
  <si>
    <t>Changement du moteur du groupe et changement du flecteur d'accouplement</t>
  </si>
  <si>
    <t>Fuite d'huile au niveau du pilon</t>
  </si>
  <si>
    <t>Changement du vérin du pilon</t>
  </si>
  <si>
    <t>Prévoir le changement de l'arret d'huile endommagée</t>
  </si>
  <si>
    <t>Fissure au niveau du cadre supérieur du pilon</t>
  </si>
  <si>
    <t>Démontage - soudage de la partie fissurée - Montage du tiroir</t>
  </si>
  <si>
    <t>Rupture des courroies</t>
  </si>
  <si>
    <t>Changement des courroies endommagées</t>
  </si>
  <si>
    <t>Blocage du silo 7</t>
  </si>
  <si>
    <t>Extraction d'un corps etranger au niveau de la bouche du silo</t>
  </si>
  <si>
    <t>Ressort du transbordeur endommagé</t>
  </si>
  <si>
    <t>Changement du ressort endommagé</t>
  </si>
  <si>
    <t>Le cerclage ne s'effectue pas</t>
  </si>
  <si>
    <t>Elimination d'un manque de phase au niveau du moteur d'agitation</t>
  </si>
  <si>
    <t>Reglage de la température de soudage</t>
  </si>
  <si>
    <t>Arret répétitif du moteur vibreur de la porte</t>
  </si>
  <si>
    <t>Changement du moteur vibreur</t>
  </si>
  <si>
    <t>Changemene de 2 roulements 32008</t>
  </si>
  <si>
    <t>Panne de pousse fils d'injection</t>
  </si>
  <si>
    <t>Changement des goupilles de la machoire d'assemblage</t>
  </si>
  <si>
    <t>Panne pompe à graisse</t>
  </si>
  <si>
    <t>Nettoyage interne de la pompe à graisse</t>
  </si>
  <si>
    <t>Pousse fil</t>
  </si>
  <si>
    <t>Panne pousse fil</t>
  </si>
  <si>
    <t>Réglage de la came à l'état initial</t>
  </si>
  <si>
    <t>Courroies de transmission endommagées</t>
  </si>
  <si>
    <t>Cassette PR 3,80</t>
  </si>
  <si>
    <t>Surface du fil non conforme</t>
  </si>
  <si>
    <t>Zommage des galets</t>
  </si>
  <si>
    <t>Changement des vis de fixation</t>
  </si>
  <si>
    <t>Elimination du jeu entre l'hexagone et les bieles</t>
  </si>
  <si>
    <t>Changement de la table vibrante</t>
  </si>
  <si>
    <t>Lame de soudure endommagée</t>
  </si>
  <si>
    <t>Changement de la lame de soudure</t>
  </si>
  <si>
    <t>Pb de synchronisation entre pilon et vibreur</t>
  </si>
  <si>
    <t>Changement d'un relais à broche endommagé</t>
  </si>
  <si>
    <t>Panne de table élevatrice</t>
  </si>
  <si>
    <t>Réglage de la position de la table</t>
  </si>
  <si>
    <t>Roulements de galets usés</t>
  </si>
  <si>
    <t>Changement des roulement de galets usés</t>
  </si>
  <si>
    <t>Flexion de l'arbe central de guidage du skip</t>
  </si>
  <si>
    <t>Dressage de l'arbre du skip</t>
  </si>
  <si>
    <t>problème sur moteur réducteur de pince</t>
  </si>
  <si>
    <t>Changement du moteur et du réducteur dont le clavetage est usé</t>
  </si>
  <si>
    <t>Panne de cercleuse</t>
  </si>
  <si>
    <t>Changement d'embrayage endommagé</t>
  </si>
  <si>
    <t>Problème au niveau des galets de guidage du transbordeur</t>
  </si>
  <si>
    <t>Changement des roulements endommagés</t>
  </si>
  <si>
    <t>Panne électrique</t>
  </si>
  <si>
    <t>Grille endommagée</t>
  </si>
  <si>
    <t>Changement de la grille d'agitation</t>
  </si>
  <si>
    <t>Changement de la courroie endommagée (2800)</t>
  </si>
  <si>
    <t>Pattes du moteur de vibration endommagée</t>
  </si>
  <si>
    <t>Chassis fissuré</t>
  </si>
  <si>
    <t>Panne aimant lance trame</t>
  </si>
  <si>
    <t>Elimination d'un mauvais contact</t>
  </si>
  <si>
    <t>Circuit air comprimé</t>
  </si>
  <si>
    <t>Flexible d'air usé</t>
  </si>
  <si>
    <t>Changement du flexible</t>
  </si>
  <si>
    <t>Cassette PR 12</t>
  </si>
  <si>
    <t>Pb galet crantés</t>
  </si>
  <si>
    <t>Changement d'un jeu complet de galets crantés</t>
  </si>
  <si>
    <t>Cassete PR 10</t>
  </si>
  <si>
    <t>Changement du flexible endommagé</t>
  </si>
  <si>
    <t>Danseurs</t>
  </si>
  <si>
    <t xml:space="preserve">Panne danseur 1 - 2 - 3 </t>
  </si>
  <si>
    <t>Changement des galets guide fils endommagés</t>
  </si>
  <si>
    <t xml:space="preserve">Cassette PR 10 </t>
  </si>
  <si>
    <t>Changement d'u galet usé</t>
  </si>
  <si>
    <t xml:space="preserve">Cassette PR 4 </t>
  </si>
  <si>
    <t>Galet usé</t>
  </si>
  <si>
    <t>Changement d'un galet usé</t>
  </si>
  <si>
    <t>Lame de cisaille usée</t>
  </si>
  <si>
    <t>Confection d'une lame + vérin de cisaille</t>
  </si>
  <si>
    <t>Cabestan</t>
  </si>
  <si>
    <t>Niveau d'huile bas</t>
  </si>
  <si>
    <t>Remplissage d'huile</t>
  </si>
  <si>
    <t>Cassette PR 9</t>
  </si>
  <si>
    <t>Pb alimentation</t>
  </si>
  <si>
    <t>Installation d'un nouveau chariot collecteur</t>
  </si>
  <si>
    <t>Panne guide fil</t>
  </si>
  <si>
    <t>Réglage du guide fil</t>
  </si>
  <si>
    <t>Terminal tactil siemens</t>
  </si>
  <si>
    <t>Terminal endommagé</t>
  </si>
  <si>
    <t>Attente Réparation du terminal / achat si irréparable</t>
  </si>
  <si>
    <t>Goupille endommagées</t>
  </si>
  <si>
    <t>Changement des goupilles usées</t>
  </si>
  <si>
    <t>14/ 7/ 19 : courroie 2800 de poyatos 800 endommagée remplacement par courroie de poyatos 700 pour cause d'absence de magasin</t>
  </si>
  <si>
    <t>courroie endommagée</t>
  </si>
  <si>
    <t>montage d'une courroie 2800 en provenance de poyatos 700</t>
  </si>
  <si>
    <t>Montage d'un courroie 2800 neuve</t>
  </si>
  <si>
    <t>Pont bascule</t>
  </si>
  <si>
    <t>Début des travaux de rennovation</t>
  </si>
  <si>
    <t>Absence courroie pour cause d'absence magasin</t>
  </si>
  <si>
    <t>Pb cercleuse</t>
  </si>
  <si>
    <t>Réglage de l'epaisseur du feuillard</t>
  </si>
  <si>
    <t>Reglage de l'épaisseur du feuillard</t>
  </si>
  <si>
    <t>CODE MACHINE</t>
  </si>
  <si>
    <t>SECTION</t>
  </si>
  <si>
    <t>MACHINE</t>
  </si>
  <si>
    <t>Fosse septique</t>
  </si>
  <si>
    <t>Grue à tour 1</t>
  </si>
  <si>
    <t>Grue à tour 2</t>
  </si>
  <si>
    <t>An</t>
  </si>
  <si>
    <t>Mois</t>
  </si>
  <si>
    <t>Relacheur</t>
  </si>
  <si>
    <t>Changement des roulement des galets</t>
  </si>
  <si>
    <t>Cassette 08</t>
  </si>
  <si>
    <t>Changement d'un roulement de galet et changement d'un galet usé</t>
  </si>
  <si>
    <t>Sauterelle</t>
  </si>
  <si>
    <t>Jeu sur poulie</t>
  </si>
  <si>
    <t>Changement d'un roulement usé</t>
  </si>
  <si>
    <t>PB Machoire</t>
  </si>
  <si>
    <t>Changement d'une goupille usée</t>
  </si>
  <si>
    <t>Cassete PR12</t>
  </si>
  <si>
    <t>Soudage et renforcement du chassis</t>
  </si>
  <si>
    <t>Courroie 2800 endommagée</t>
  </si>
  <si>
    <t>Changement d'une courroie 2800</t>
  </si>
  <si>
    <t>Mauvaise découpe de feuillard</t>
  </si>
  <si>
    <t>Changement d'une lame de découpe usée</t>
  </si>
  <si>
    <t>PB porte principale malaxeur</t>
  </si>
  <si>
    <t>Changement de la chappe du vérin de la porte du malaxeur</t>
  </si>
  <si>
    <t>Changement d'un flexible hydraulique</t>
  </si>
  <si>
    <t>Attente livraison d'un flexible neuf</t>
  </si>
  <si>
    <t>Palier usé</t>
  </si>
  <si>
    <t>Changement du palier de l'arbre principale</t>
  </si>
  <si>
    <t>Redresseur</t>
  </si>
  <si>
    <t>Filetage usé</t>
  </si>
  <si>
    <t>Démontage du redresseur + transfert Tourneur pour réparation</t>
  </si>
  <si>
    <t>Tambour principale</t>
  </si>
  <si>
    <t>Changement d'un cable antigiratoire d7</t>
  </si>
  <si>
    <t>non-conformité</t>
  </si>
  <si>
    <t>Changement d'un jeu complet de galets lisses</t>
  </si>
  <si>
    <t>Changement de deux roulement coniques 32008</t>
  </si>
  <si>
    <t>Réarmement du disjoncteur principale</t>
  </si>
  <si>
    <t xml:space="preserve">chaine endommagé </t>
  </si>
  <si>
    <t xml:space="preserve">Convoyeur des palettes </t>
  </si>
  <si>
    <t xml:space="preserve">Table vibrante </t>
  </si>
  <si>
    <t xml:space="preserve">Pb électrique de variateur </t>
  </si>
  <si>
    <t xml:space="preserve">Convoyeur sortie présse </t>
  </si>
  <si>
    <t xml:space="preserve">Rupture de courroie thermosoudable </t>
  </si>
  <si>
    <t>Raccord endommagé</t>
  </si>
  <si>
    <t xml:space="preserve">Flexible d'eau usé </t>
  </si>
  <si>
    <t xml:space="preserve">Skip </t>
  </si>
  <si>
    <t xml:space="preserve">Pince </t>
  </si>
  <si>
    <t>Disque de frein endommmagé</t>
  </si>
  <si>
    <t>Changement du moteur</t>
  </si>
  <si>
    <t xml:space="preserve">Changement de 4 courroie </t>
  </si>
  <si>
    <t xml:space="preserve">usure de surface </t>
  </si>
  <si>
    <t>4j</t>
  </si>
  <si>
    <t xml:space="preserve">Cable antigiratiore endommagé </t>
  </si>
  <si>
    <t>Courroie endommagée</t>
  </si>
  <si>
    <t xml:space="preserve">Déréglage de table </t>
  </si>
  <si>
    <t xml:space="preserve">Rouleaux usé </t>
  </si>
  <si>
    <t>Bloc redresseur</t>
  </si>
  <si>
    <t>Changement de la chaine de transmission</t>
  </si>
  <si>
    <t>attente livraison d'un rouleau convoyeur</t>
  </si>
  <si>
    <t xml:space="preserve">Décalage de la chaine </t>
  </si>
  <si>
    <t>Changement d'un pont de soudage</t>
  </si>
  <si>
    <t>Blocage  du à un boulon tordu</t>
  </si>
  <si>
    <t>Changement des boulons usés</t>
  </si>
  <si>
    <t xml:space="preserve">Pont de soudage usé </t>
  </si>
  <si>
    <t>Cabestant</t>
  </si>
  <si>
    <t xml:space="preserve">Réglages des paramétres du variateur </t>
  </si>
  <si>
    <t xml:space="preserve">Soudage de la courroie </t>
  </si>
  <si>
    <t>Elimination d'un manque de  phase</t>
  </si>
  <si>
    <t>Vérin du bobinoir</t>
  </si>
  <si>
    <t xml:space="preserve">Changement du raccord endommagé </t>
  </si>
  <si>
    <t>Changement du cable antigiratoire du skip</t>
  </si>
  <si>
    <t xml:space="preserve">Changement du flexibe endommagé </t>
  </si>
  <si>
    <t>Remise à niveau de la table élevatrice</t>
  </si>
  <si>
    <t>Chaine de transmission endommagée</t>
  </si>
  <si>
    <t>Cassette PR 3,4</t>
  </si>
  <si>
    <t>Changement du flexible d'eau</t>
  </si>
  <si>
    <t>Partie commande</t>
  </si>
  <si>
    <t>Rupture du cable de commande</t>
  </si>
  <si>
    <t>Changement du cable de commande</t>
  </si>
  <si>
    <t>Cable livré le 27/08/2019</t>
  </si>
  <si>
    <t>Pb circuit de refroidissement</t>
  </si>
  <si>
    <t xml:space="preserve">Chargement par soudage de la partie usé </t>
  </si>
  <si>
    <t>Changement du cable de soudage</t>
  </si>
  <si>
    <t>Pompe bouchée</t>
  </si>
  <si>
    <t>Nettoyage du circuit d'aire comprimé</t>
  </si>
  <si>
    <t>Usure du support du guide fil</t>
  </si>
  <si>
    <t>Soudage de la partie usée</t>
  </si>
  <si>
    <t>Moteur du cabestan</t>
  </si>
  <si>
    <t>Moteur grillé</t>
  </si>
  <si>
    <t>Rebobinage chez CEDP</t>
  </si>
  <si>
    <t>Empileur</t>
  </si>
  <si>
    <t>Variateur déréglé</t>
  </si>
  <si>
    <t>Réglage du variateur et remise à l'état initial</t>
  </si>
  <si>
    <t>Système d'injection des FT</t>
  </si>
  <si>
    <t>Préventif</t>
  </si>
  <si>
    <t>Changement complet du système d'ejection des FT</t>
  </si>
  <si>
    <t>Frein déreglé</t>
  </si>
  <si>
    <t>Réglage du frein</t>
  </si>
  <si>
    <t>Tole usée</t>
  </si>
  <si>
    <t>Chargement de surface de la partie usée</t>
  </si>
  <si>
    <t>Démontage du moteur endommagé</t>
  </si>
  <si>
    <t>Varateur principal</t>
  </si>
  <si>
    <t>Surintensité</t>
  </si>
  <si>
    <t>Réparation chez DRIVE AUTOMATION</t>
  </si>
  <si>
    <t>Usure du filetage du porte électrode</t>
  </si>
  <si>
    <t>Insertion d'un filet rapporté</t>
  </si>
  <si>
    <t>Capteur endommagé</t>
  </si>
  <si>
    <t>Changement du capteur endommagé</t>
  </si>
  <si>
    <t>Changement du galet usé</t>
  </si>
  <si>
    <t>Bolcage des vérin du devidoir</t>
  </si>
  <si>
    <t>Purge du circuit d'air comprimé</t>
  </si>
  <si>
    <t>Fuite interne</t>
  </si>
  <si>
    <t>Changement des joints usés</t>
  </si>
  <si>
    <t>Garniture d'embrayage endommagé</t>
  </si>
  <si>
    <t>Changement de garniture</t>
  </si>
  <si>
    <t>Verin de soudage</t>
  </si>
  <si>
    <t>Electrovanne usée</t>
  </si>
  <si>
    <t>Changement de l'electrovanne</t>
  </si>
  <si>
    <t>Support d'electrode cassé</t>
  </si>
  <si>
    <t>Changement du support d'electrode</t>
  </si>
  <si>
    <t>Chape du vérin endommagée</t>
  </si>
  <si>
    <t>Changement de la chape du vérin</t>
  </si>
  <si>
    <t>Compresseur GA 75</t>
  </si>
  <si>
    <t>Compresseur en panne</t>
  </si>
  <si>
    <t>Changement de deux contacteur usés</t>
  </si>
  <si>
    <t>Disjoncteur Haute tension HS</t>
  </si>
  <si>
    <t xml:space="preserve">Changement du disjoncteur </t>
  </si>
  <si>
    <t>Fuite au niveau du régulateur</t>
  </si>
  <si>
    <t>Roulement endommagé</t>
  </si>
  <si>
    <t>Changement des roulements</t>
  </si>
  <si>
    <t>Porte de sécurité</t>
  </si>
  <si>
    <t>Mauvais contact</t>
  </si>
  <si>
    <t>Axe vérin endommagé</t>
  </si>
  <si>
    <t>Attente de confection d'un nouvel axe</t>
  </si>
  <si>
    <t>Tir fil</t>
  </si>
  <si>
    <t>Changement des galets usés</t>
  </si>
  <si>
    <t xml:space="preserve">Fuite d'huile </t>
  </si>
  <si>
    <t>Interupteur endommagé</t>
  </si>
  <si>
    <t xml:space="preserve">Changement de l'interupteur </t>
  </si>
  <si>
    <t>Chariot usé</t>
  </si>
  <si>
    <t>Fuite d'air</t>
  </si>
  <si>
    <t>Brasage par cuivre au niveau du trou present sur le tube d'air comprimé</t>
  </si>
  <si>
    <t>Boite à commande</t>
  </si>
  <si>
    <t>Bouton endommagé</t>
  </si>
  <si>
    <t>Changement du boutton usé</t>
  </si>
  <si>
    <t>Attente de livraison d'une nouvelle boite à commande</t>
  </si>
  <si>
    <t>Cable d'alimentation endommagé</t>
  </si>
  <si>
    <t>Réparation de la partie endommagée du cable</t>
  </si>
  <si>
    <t>Amenée FT</t>
  </si>
  <si>
    <t>Electrode usée</t>
  </si>
  <si>
    <t>Changement de l'electrode usée</t>
  </si>
  <si>
    <t>Température d'armoire élevée</t>
  </si>
  <si>
    <t>Elimination d'un mauvais contact au niveau du ventilateur</t>
  </si>
  <si>
    <t>Bocage du feuillard</t>
  </si>
  <si>
    <t xml:space="preserve">Eenlevement d'un morçeau de feuillard </t>
  </si>
  <si>
    <t>Tension des chaines du descenseur + changement d'un fin de course endommagé</t>
  </si>
  <si>
    <t>Tremie n°1</t>
  </si>
  <si>
    <t>Fissure au niveau du support du vibreur</t>
  </si>
  <si>
    <t>Soudage de la partie fissurée</t>
  </si>
  <si>
    <t>Alesage de la poulie de transmission usée</t>
  </si>
  <si>
    <t>Rebaguage de poulie + changement de la clavette</t>
  </si>
  <si>
    <t>Aid Al Adha</t>
  </si>
  <si>
    <t>Rupture de la grille d'agitation</t>
  </si>
  <si>
    <t>Soudage de la partie cassé de la grille d'agitation</t>
  </si>
  <si>
    <t>Pb de tension du feuillard</t>
  </si>
  <si>
    <t>Réglage de la tension du feuillard</t>
  </si>
  <si>
    <t>Manque de phase au niveau du moteur</t>
  </si>
  <si>
    <t>Elimination du manque de phase</t>
  </si>
  <si>
    <t>Pousse plache</t>
  </si>
  <si>
    <t xml:space="preserve">PB au niveau du vérin pousse plache </t>
  </si>
  <si>
    <t>Changement d'un relais contacteur</t>
  </si>
  <si>
    <t>Roulement des bras endommagés</t>
  </si>
  <si>
    <t>Changement des roulement endommagé</t>
  </si>
  <si>
    <t>Tiroir</t>
  </si>
  <si>
    <t>Galet endommagé</t>
  </si>
  <si>
    <t>Changement des galets endommagés</t>
  </si>
  <si>
    <t>Déreglge de la lame de soudure</t>
  </si>
  <si>
    <t>Réglage de la lame de soudure</t>
  </si>
  <si>
    <t>Arret innopiné du transbordeur ( électrode endommagé</t>
  </si>
  <si>
    <t>Changement des électrode de contact</t>
  </si>
  <si>
    <t>Attente de livraison de fusible pour éliminer totalement la défaillance</t>
  </si>
  <si>
    <t>Fiche de détecteur endommagé</t>
  </si>
  <si>
    <t>Changement du détecteur</t>
  </si>
  <si>
    <t>Tiroir détérioré</t>
  </si>
  <si>
    <t>Changement de la caisse du tiroir + ressort + galets</t>
  </si>
  <si>
    <t>Panne au niveau du frein du moteur</t>
  </si>
  <si>
    <t>PB d`éclairage ( lampe endommagé )</t>
  </si>
  <si>
    <t>Changement de la lampe</t>
  </si>
  <si>
    <t xml:space="preserve">Table vibrante non conforme </t>
  </si>
  <si>
    <t>Trasbordeur</t>
  </si>
  <si>
    <t xml:space="preserve">Changement des électrode de contact + carte automate </t>
  </si>
  <si>
    <t>changement de la table vibrante et courrie 2800</t>
  </si>
  <si>
    <t xml:space="preserve">Tirroir </t>
  </si>
  <si>
    <t xml:space="preserve">Galet desseré </t>
  </si>
  <si>
    <t xml:space="preserve">Serrage du galet </t>
  </si>
  <si>
    <t>Manque d`eau ( pompe endommagé)</t>
  </si>
  <si>
    <t xml:space="preserve">soudage du partie usée </t>
  </si>
  <si>
    <t xml:space="preserve">Déréglage de niveau du grille </t>
  </si>
  <si>
    <t xml:space="preserve">Réglage du niveau de la grille </t>
  </si>
  <si>
    <t>Arret innopiné du transbordeur (commutateur endommagé)</t>
  </si>
  <si>
    <t xml:space="preserve">Changement de commutateur </t>
  </si>
  <si>
    <t xml:space="preserve">PB du surchaufage du moteur </t>
  </si>
  <si>
    <t xml:space="preserve">Réparation du cable éléctrique endommagé du ventulateur </t>
  </si>
  <si>
    <t xml:space="preserve">PB d' éclairage au niveau des étuves </t>
  </si>
  <si>
    <t xml:space="preserve">Changement des lampes et des starters </t>
  </si>
  <si>
    <t xml:space="preserve">Cadre du Tirroire usée </t>
  </si>
  <si>
    <t>Changement du cadre et réglage du grille</t>
  </si>
  <si>
    <t>changement du courroie 2800</t>
  </si>
  <si>
    <t xml:space="preserve">Cercleuse </t>
  </si>
  <si>
    <t xml:space="preserve">Courrie et poulie sont endommagé </t>
  </si>
  <si>
    <t xml:space="preserve">Changement du courroie et poulie </t>
  </si>
  <si>
    <t xml:space="preserve">Changement du vérin </t>
  </si>
  <si>
    <t xml:space="preserve">Déreglage de la chaine </t>
  </si>
  <si>
    <t>Réglage de la chaine du descensseur</t>
  </si>
  <si>
    <t>Pb presse de soudage</t>
  </si>
  <si>
    <t>Accumulateur Vide</t>
  </si>
  <si>
    <t>Remplissage de deux accumulateurs par azote</t>
  </si>
  <si>
    <t>Pb cassette</t>
  </si>
  <si>
    <t>Pb Cassette</t>
  </si>
  <si>
    <t>Panne au niveau de la cisaille</t>
  </si>
  <si>
    <t>Changement de la vis de fixation de la douille de cisaille</t>
  </si>
  <si>
    <t>Changement d'un joint torique endommagé</t>
  </si>
  <si>
    <t>PB guide fil</t>
  </si>
  <si>
    <t>Changement d'un galet usé+ 2 axes du système d'avancement</t>
  </si>
  <si>
    <t>Changement de 4 roulements usés</t>
  </si>
  <si>
    <t>présence d'un court circuit au niveau de la carte</t>
  </si>
  <si>
    <t>Elimination du court circuit</t>
  </si>
  <si>
    <t>Manque de phase</t>
  </si>
  <si>
    <t>Cassette PR6</t>
  </si>
  <si>
    <t>Changement de 4 roulement coniques</t>
  </si>
  <si>
    <t>Rupture du cable antigiratoire d6</t>
  </si>
  <si>
    <t>Changement du cable antigiratoire</t>
  </si>
  <si>
    <t>Nettoyage de la carte et resserage des contacts</t>
  </si>
  <si>
    <t>Table élevatrice</t>
  </si>
  <si>
    <t>Déreglage du niveau de la table</t>
  </si>
  <si>
    <t>Réglage du niveau de la table et remise à l'état initial</t>
  </si>
  <si>
    <t>Fuite d'huile au niveau du groupe</t>
  </si>
  <si>
    <t xml:space="preserve">Elimination de la fuite </t>
  </si>
  <si>
    <t>Serrage des galets</t>
  </si>
  <si>
    <t>Rupture de la courroie 2800</t>
  </si>
  <si>
    <t>Freinage innopiné du transbordeur</t>
  </si>
  <si>
    <t>Elimination des causes probable de freinage</t>
  </si>
  <si>
    <t>Echauffement de l'embrayage de la cisaille</t>
  </si>
  <si>
    <t>Changment du support de garniture</t>
  </si>
  <si>
    <t>Cassette 3,2</t>
  </si>
  <si>
    <t>Boulon usé</t>
  </si>
  <si>
    <t>Changement du boulon usé</t>
  </si>
  <si>
    <t>Suivi des intervention de Maintenance Industrielle</t>
  </si>
  <si>
    <t>Palletiseur</t>
  </si>
  <si>
    <t>Bolcage  des rouleaux palletiseurs</t>
  </si>
  <si>
    <t>Couteau usé</t>
  </si>
  <si>
    <t>Changement du couteau</t>
  </si>
  <si>
    <t>Moteur de deplacement</t>
  </si>
  <si>
    <t>Deuxieme vitesse endommagée</t>
  </si>
  <si>
    <t>Marche à une seule vitesse</t>
  </si>
  <si>
    <t>Arrêt prévu du pont roulant après achat d'un pont roulant 12T</t>
  </si>
  <si>
    <t>Roulements endommagés</t>
  </si>
  <si>
    <t>Vis de fixation de 'axe plongeur cassé</t>
  </si>
  <si>
    <t>Changement de l'axe plongeur</t>
  </si>
  <si>
    <t>Coulisse</t>
  </si>
  <si>
    <t>Changement d'un flexible endommagé</t>
  </si>
  <si>
    <t>Blocage de l'enrouler</t>
  </si>
  <si>
    <t>Changement du réducteur endommagé</t>
  </si>
  <si>
    <t>Réparation du réducteur endommagé</t>
  </si>
  <si>
    <t>Mauvais contact au niveau du relais de sécurité</t>
  </si>
  <si>
    <t>Elimination du mauvais contact</t>
  </si>
  <si>
    <t>Celcleuse 06</t>
  </si>
  <si>
    <t>Fissure apparente sur feuillard</t>
  </si>
  <si>
    <t>Affutage d'un rouleau usé</t>
  </si>
  <si>
    <t>Débavurage de 20 électrodes</t>
  </si>
  <si>
    <t>Changement de 2 prises rapides</t>
  </si>
  <si>
    <t>Fuite de graisse</t>
  </si>
  <si>
    <t>Changement d'un flexible et d'un raccord endommagé</t>
  </si>
  <si>
    <t>Changement du cable par un cable de diametre 8 (25m)</t>
  </si>
  <si>
    <t>Variateur cabestan 2</t>
  </si>
  <si>
    <t>Analog input err</t>
  </si>
  <si>
    <t>Réajustement du danseur</t>
  </si>
  <si>
    <t>Reservoir chaine de transmission</t>
  </si>
  <si>
    <t>Réajustement du niveau d'huile</t>
  </si>
  <si>
    <t>Surchauffe du moteur</t>
  </si>
  <si>
    <t xml:space="preserve">Cable antigiratoire </t>
  </si>
  <si>
    <t xml:space="preserve">Variateur </t>
  </si>
  <si>
    <t>Tige de bras endommagée</t>
  </si>
  <si>
    <t xml:space="preserve">Changement de tige </t>
  </si>
  <si>
    <t xml:space="preserve">Nécessaire usée </t>
  </si>
  <si>
    <t>Cassette PR9</t>
  </si>
  <si>
    <t>Galet cranté endommagé</t>
  </si>
  <si>
    <t xml:space="preserve">Deux prises rapides sont endomagée et vis cassée </t>
  </si>
  <si>
    <t xml:space="preserve">Changement de 2 prises rapides et vis </t>
  </si>
  <si>
    <t xml:space="preserve">Joint torique de régulateur usée </t>
  </si>
  <si>
    <t xml:space="preserve">Embrayage </t>
  </si>
  <si>
    <t xml:space="preserve">Clavette endomagée </t>
  </si>
  <si>
    <t xml:space="preserve">Chengement des vis de fixation et montage du ventilateur </t>
  </si>
  <si>
    <t xml:space="preserve">Ventilateur </t>
  </si>
  <si>
    <t xml:space="preserve">Changement de 2 cable </t>
  </si>
  <si>
    <t xml:space="preserve">Cable de détecteur endommagée </t>
  </si>
  <si>
    <t xml:space="preserve">Dépannage du cable </t>
  </si>
  <si>
    <t xml:space="preserve">Flexible endommagée </t>
  </si>
  <si>
    <t xml:space="preserve">Changement de flexible </t>
  </si>
  <si>
    <t xml:space="preserve">Changement d'interrupteur </t>
  </si>
  <si>
    <t xml:space="preserve">Court circuit </t>
  </si>
  <si>
    <t xml:space="preserve">Convoyeur </t>
  </si>
  <si>
    <t xml:space="preserve">Chaine détendu </t>
  </si>
  <si>
    <t xml:space="preserve">Tendage du chaine </t>
  </si>
  <si>
    <t xml:space="preserve">Vessie pneumatiques du moule endommagée </t>
  </si>
  <si>
    <t>Changement de 2 vessies pneumatique</t>
  </si>
  <si>
    <t xml:space="preserve">Changement de nécessaire et nettoyage de la pompe </t>
  </si>
  <si>
    <t xml:space="preserve">Changement du galet et nettoyage de la cassette </t>
  </si>
  <si>
    <t>Changemet de la clavette aves vis de serrage</t>
  </si>
  <si>
    <t>Changement des joints du régulateur</t>
  </si>
  <si>
    <t>Dépanné - Console disponible en cas de problème</t>
  </si>
  <si>
    <t xml:space="preserve">Galet de fixation camme endomagée </t>
  </si>
  <si>
    <t xml:space="preserve">Changemet du galet et réglage du camme </t>
  </si>
  <si>
    <t xml:space="preserve">Soudage et moulage du rédelle </t>
  </si>
  <si>
    <t>Changement de nécessaire et nettoyage de la presse</t>
  </si>
  <si>
    <t>Bonde de convoyeur n'est pas alignée</t>
  </si>
  <si>
    <t xml:space="preserve">Tandage et réglafe du bonde </t>
  </si>
  <si>
    <t xml:space="preserve">Des vis cassée et désérer et guide endommagée </t>
  </si>
  <si>
    <t>Sérrage et changement des vis et dréssage des guide</t>
  </si>
  <si>
    <t>Magasin du trame</t>
  </si>
  <si>
    <t>Endommage au niveau du amaine p6</t>
  </si>
  <si>
    <t xml:space="preserve">Taraudage et changement de 2 vis BTR </t>
  </si>
  <si>
    <t xml:space="preserve">Filtre </t>
  </si>
  <si>
    <t xml:space="preserve">Filtre ( CS150- P25-A) a endommagée et cable en court circuit </t>
  </si>
  <si>
    <t xml:space="preserve">Dépannage du circuit  et dépannage du cable </t>
  </si>
  <si>
    <t xml:space="preserve">Attent livraison d'un filtre </t>
  </si>
  <si>
    <t xml:space="preserve">Changement du galet crenté et 2 roulement conique </t>
  </si>
  <si>
    <t xml:space="preserve">Savennier </t>
  </si>
  <si>
    <t xml:space="preserve">Systéme de dressage </t>
  </si>
  <si>
    <t>Des roulements systéme de dressage endommagée</t>
  </si>
  <si>
    <t xml:space="preserve">Chanegement de 2 roulement </t>
  </si>
  <si>
    <t xml:space="preserve">Changement du palier </t>
  </si>
  <si>
    <t>Pignon endommagée</t>
  </si>
  <si>
    <t xml:space="preserve">Changement du pignon et montage et démontage de réducteur </t>
  </si>
  <si>
    <t xml:space="preserve">Cabiston </t>
  </si>
  <si>
    <t>Surface de cabiston usée</t>
  </si>
  <si>
    <t>Rédelles usée</t>
  </si>
  <si>
    <t>Cable d'alimentation coupée</t>
  </si>
  <si>
    <t>Défaut d'alignement du gaine d'alimentation</t>
  </si>
  <si>
    <t>Réglage de fixation et alignement du gaine</t>
  </si>
  <si>
    <t xml:space="preserve">Galet de déplacement </t>
  </si>
  <si>
    <t xml:space="preserve">Galet usé </t>
  </si>
  <si>
    <t xml:space="preserve">Changement du galet </t>
  </si>
  <si>
    <t xml:space="preserve">Soudage du partie usée </t>
  </si>
  <si>
    <t>Fuite de distributeur d'air</t>
  </si>
  <si>
    <t xml:space="preserve">Changement de distributeur et arret d'huile </t>
  </si>
  <si>
    <t xml:space="preserve">Porte électrode </t>
  </si>
  <si>
    <t xml:space="preserve">Des bagues de porte électrode usé </t>
  </si>
  <si>
    <t xml:space="preserve">Changement du bague et vis </t>
  </si>
  <si>
    <t xml:space="preserve">Galet guide fil usé </t>
  </si>
  <si>
    <t xml:space="preserve">changement de galet </t>
  </si>
  <si>
    <t xml:space="preserve">Clavite usé </t>
  </si>
  <si>
    <t xml:space="preserve">Changement du clavite </t>
  </si>
  <si>
    <t>Motoréducteur</t>
  </si>
  <si>
    <t xml:space="preserve">Coupure Électrique </t>
  </si>
  <si>
    <t xml:space="preserve">Changement du roulement et des vis du fixation </t>
  </si>
  <si>
    <t xml:space="preserve">Redémarrer et remise de la machine </t>
  </si>
  <si>
    <t>Variateur</t>
  </si>
  <si>
    <t>Mauvais contact au niveau du relais de statique</t>
  </si>
  <si>
    <t>Eliminatin du mauvais contact</t>
  </si>
  <si>
    <t>Gaine d'alimentation</t>
  </si>
  <si>
    <t xml:space="preserve">Manque de phase </t>
  </si>
  <si>
    <t xml:space="preserve">Changement du contacteur </t>
  </si>
  <si>
    <t>Chaine d'accouplement endommagée</t>
  </si>
  <si>
    <t xml:space="preserve">Changement du chaine et des vis de fixation </t>
  </si>
  <si>
    <t xml:space="preserve">Convyeur </t>
  </si>
  <si>
    <t xml:space="preserve">Coupure au niveau du courroie thermosoudable </t>
  </si>
  <si>
    <t xml:space="preserve">Soudage du courroie </t>
  </si>
  <si>
    <t xml:space="preserve">Circuit d'adjuvant </t>
  </si>
  <si>
    <t xml:space="preserve">Bobinede contacteur du commande endommagée </t>
  </si>
  <si>
    <t>Changement du bobine</t>
  </si>
  <si>
    <t xml:space="preserve">Axe et palier endommagée </t>
  </si>
  <si>
    <t xml:space="preserve">Changement d'axe et palier </t>
  </si>
  <si>
    <t xml:space="preserve">Cable antigiratiore endommagé déformation du skip </t>
  </si>
  <si>
    <t xml:space="preserve">Changement du cable et axe dressage du skip et changement du tole </t>
  </si>
  <si>
    <t xml:space="preserve">Détecteur endommagée </t>
  </si>
  <si>
    <t xml:space="preserve">Déréglage du programme </t>
  </si>
  <si>
    <t>Réinitialisation du programme et mise du cycle a l'état initial</t>
  </si>
  <si>
    <t xml:space="preserve">Changement du chaine </t>
  </si>
  <si>
    <t xml:space="preserve">Tiroir </t>
  </si>
  <si>
    <t xml:space="preserve">Usure du pates de moteur </t>
  </si>
  <si>
    <t xml:space="preserve">Changement du moteur et du chaine d'accouplement </t>
  </si>
  <si>
    <t xml:space="preserve">Ressort endommagé </t>
  </si>
  <si>
    <t xml:space="preserve">blocage au niveau du vis </t>
  </si>
  <si>
    <t xml:space="preserve">Elimination d'un corps étrangé sur le vis </t>
  </si>
  <si>
    <t xml:space="preserve">Convyoeur </t>
  </si>
  <si>
    <t xml:space="preserve">Courroie thermosoudable usée </t>
  </si>
  <si>
    <t xml:space="preserve">Changement et soudage du courroie thermosoudable </t>
  </si>
  <si>
    <t xml:space="preserve">mauvais contact au niveau du relais de sécurité </t>
  </si>
  <si>
    <t xml:space="preserve">Pales du pattes usée </t>
  </si>
  <si>
    <t xml:space="preserve">Changement du pales du pattes </t>
  </si>
  <si>
    <t xml:space="preserve">Cadre du Tirroire usée et bras et des axes sont endommagé </t>
  </si>
  <si>
    <t xml:space="preserve">Soudage du cadre et changement du bras et des axes </t>
  </si>
  <si>
    <t>Décalage de la tête chauffante</t>
  </si>
  <si>
    <t>Réglage de la tête chauffante</t>
  </si>
  <si>
    <t>Switch Manuel/ automatique endommagé</t>
  </si>
  <si>
    <t>Changement du switch endommagé</t>
  </si>
  <si>
    <t>Chaine guide cable endommagée</t>
  </si>
  <si>
    <t>Elimination du morceau endommagé</t>
  </si>
  <si>
    <t>Vis de fixation de l'arbre endommagé</t>
  </si>
  <si>
    <t>Changement des vis</t>
  </si>
  <si>
    <t>Commutateur endommagé</t>
  </si>
  <si>
    <t>Changement du commutateur endommagé</t>
  </si>
  <si>
    <t>Changement de la clavette endommagée</t>
  </si>
  <si>
    <t>Porte electrode endommagé</t>
  </si>
  <si>
    <t>Changement du porte électrode</t>
  </si>
  <si>
    <t>Vis de rappel endommagé</t>
  </si>
  <si>
    <t>Changement du vis endommagé</t>
  </si>
  <si>
    <t>Table du redresseur</t>
  </si>
  <si>
    <t>Vis de réglage endommagé</t>
  </si>
  <si>
    <t>Changement de la vis et réglage de la hauteur de la table</t>
  </si>
  <si>
    <t xml:space="preserve">Arbre de la porte de dechargement tordu </t>
  </si>
  <si>
    <t>Circuit pneumatique</t>
  </si>
  <si>
    <t>Changement d'un régulateur de pression</t>
  </si>
  <si>
    <t>Roulement moteur endommagé</t>
  </si>
  <si>
    <t>Changement des roulements endommagés 6207</t>
  </si>
  <si>
    <t>Circuit d'air bouché</t>
  </si>
  <si>
    <t>Elimination du calcaire et débouchage du circuit</t>
  </si>
  <si>
    <t>Goupilles machoire endommagée</t>
  </si>
  <si>
    <t>Changement des goupie endommagée</t>
  </si>
  <si>
    <t>Cassette PR4</t>
  </si>
  <si>
    <t>Défaut d'alignement des galet</t>
  </si>
  <si>
    <t>Nettoyage et zoomage de la cassette</t>
  </si>
  <si>
    <t>Cassette PR3,8</t>
  </si>
  <si>
    <t>Cassette PR10</t>
  </si>
  <si>
    <t>Surface de galet usé</t>
  </si>
  <si>
    <t>Changement d'un jeu complet de galet PR10 + zoomage</t>
  </si>
  <si>
    <t xml:space="preserve">Cabestan 1 et 2 </t>
  </si>
  <si>
    <t>Surface de cabestan usée</t>
  </si>
  <si>
    <t xml:space="preserve">Chargement de surface de la partie usée et débouchage du circuit de refroidissement </t>
  </si>
  <si>
    <t>Changement des goupilles endommagée</t>
  </si>
  <si>
    <t>Cassere PR4</t>
  </si>
  <si>
    <t>Changement de 2 roulement 32008 + zoomage</t>
  </si>
  <si>
    <t>Changement de 4 roulements 6304-22</t>
  </si>
  <si>
    <t>Roulements Endommagés</t>
  </si>
  <si>
    <t>Changeent de 6 roulements 32008</t>
  </si>
  <si>
    <t>Goupies endommagées</t>
  </si>
  <si>
    <t>Changement des goupies endommagées</t>
  </si>
  <si>
    <t>Goupilles endommagées</t>
  </si>
  <si>
    <t>Changement des goupilles endommagées</t>
  </si>
  <si>
    <t>Débouchage du circuit d'air comprimé</t>
  </si>
  <si>
    <t>fuite d'eau</t>
  </si>
  <si>
    <t>Pb tir fil</t>
  </si>
  <si>
    <t>Ajustement des parametres du redresseur</t>
  </si>
  <si>
    <t>Ajustement du niveau d'huile</t>
  </si>
  <si>
    <t>Usure des tresses de soudage</t>
  </si>
  <si>
    <t>Prêt de chez Karkachi</t>
  </si>
  <si>
    <t>Arbre usé</t>
  </si>
  <si>
    <t>Arbe porte agrégat</t>
  </si>
  <si>
    <t>Balance bal 03</t>
  </si>
  <si>
    <t>Réparation chez pesage promotion</t>
  </si>
  <si>
    <t>Ajout d'un chariot collecteur</t>
  </si>
  <si>
    <t>Fuite sur radiateur</t>
  </si>
  <si>
    <t>Soudage et modification du radiateur</t>
  </si>
  <si>
    <t>Changement clapet antiretour + flexible d'admission + vidange</t>
  </si>
  <si>
    <t>Défaut de rendement</t>
  </si>
  <si>
    <t>Pb aimant</t>
  </si>
  <si>
    <t>Changement de l'aimant endommagé</t>
  </si>
  <si>
    <t>Déragelage de la table</t>
  </si>
  <si>
    <t>Réparation de la chaine de la table</t>
  </si>
  <si>
    <t>Réparation chez Pesage promotion</t>
  </si>
  <si>
    <t>Message d'erreur licence Key</t>
  </si>
  <si>
    <t>Telemaintenance avec EVG</t>
  </si>
  <si>
    <t>PB électrique axe plongeurs</t>
  </si>
  <si>
    <t xml:space="preserve">Changement d'un module d'automate siemens </t>
  </si>
  <si>
    <t>Table elevatrice</t>
  </si>
  <si>
    <t>Rupture de la chaine d'ajustement</t>
  </si>
  <si>
    <t>Changmement de la partie endommagée</t>
  </si>
  <si>
    <t>Changement de deux tresses de soudage + thyristor de soudure</t>
  </si>
  <si>
    <t>Compresseur GA37</t>
  </si>
  <si>
    <t>Fuite d'huile + Atteinte nombre d'heure vidange</t>
  </si>
  <si>
    <t>Attente intervention air diffusion</t>
  </si>
  <si>
    <t>Réparation de l'arbre chez TOURNEUR - Montage de l'arbe avec roulements neufs</t>
  </si>
  <si>
    <t>Attente réception roulements avec cache poussière</t>
  </si>
  <si>
    <t>Mouvement anormal de la pince</t>
  </si>
  <si>
    <t>Soudage de la rotule</t>
  </si>
  <si>
    <t>Attente livraison accumulateur</t>
  </si>
  <si>
    <t>Silo a ciment</t>
  </si>
  <si>
    <t>Vis sans fin bloqué</t>
  </si>
  <si>
    <t>Débloquage de la vis</t>
  </si>
  <si>
    <t>Régulateur de tension</t>
  </si>
  <si>
    <t>Fin de course endommagée</t>
  </si>
  <si>
    <t>Réglage des fin de courses</t>
  </si>
  <si>
    <t>Ressort de rappel endommagé</t>
  </si>
  <si>
    <t>Prévoir achat guide cable. Suivi auprès chaque jour en féraille</t>
  </si>
  <si>
    <t>Attente réception variateur neuf prévu fin décembre. Envoi le 14/12/19</t>
  </si>
  <si>
    <t>Travaux Terminés le 18/09/2019 - Opérationnel. Attente rapport ministère</t>
  </si>
  <si>
    <t>Attente de confection d'un nouvel arbre chez tourneur</t>
  </si>
  <si>
    <t>Convoyeur de planches</t>
  </si>
  <si>
    <t>Changement des raccord droit 10- 3/8</t>
  </si>
  <si>
    <t>Cable usé</t>
  </si>
  <si>
    <t>Courroie usée</t>
  </si>
  <si>
    <t>Changement de la courroie usée 8M 1040</t>
  </si>
  <si>
    <t>Chnagement des roulements des masselotes à prévoir</t>
  </si>
  <si>
    <t>commande impossible</t>
  </si>
  <si>
    <t>Changement d'une carte d'automate</t>
  </si>
  <si>
    <t>Retourneur</t>
  </si>
  <si>
    <t>Coincement</t>
  </si>
  <si>
    <t>Cadre glissant usé</t>
  </si>
  <si>
    <t>Changement de la partie usée du cadre glissant</t>
  </si>
  <si>
    <t>Fuite d'huile au niveau du compresseur</t>
  </si>
  <si>
    <t>Changement Temporaire du compresseur en attendant l'arrivée du flexible</t>
  </si>
  <si>
    <t>Blocage de l'ascensseur</t>
  </si>
  <si>
    <t>Reducteur endommagé - Modification réalisée pour adaptation d'un réducteur different (reducteur pince)</t>
  </si>
  <si>
    <t>guide chaine usé</t>
  </si>
  <si>
    <t>Changement du guide chaîne</t>
  </si>
  <si>
    <t>Cabestan N3</t>
  </si>
  <si>
    <t xml:space="preserve">Rectification de surface à la soudure </t>
  </si>
  <si>
    <t>Réarmement du disjoncteur</t>
  </si>
  <si>
    <t>Axe plongeur tordu</t>
  </si>
  <si>
    <t>Changement de l'axe plongeur endommagé</t>
  </si>
  <si>
    <t>Axe plongeur endommagé</t>
  </si>
  <si>
    <t>Cassette PR3,90</t>
  </si>
  <si>
    <t>Defaut de zoomage</t>
  </si>
  <si>
    <t>Zoomage de la cassette</t>
  </si>
  <si>
    <t xml:space="preserve">Reparation du chariot </t>
  </si>
  <si>
    <t>Erreur FD022</t>
  </si>
  <si>
    <t>Elimination d'un court circuit</t>
  </si>
  <si>
    <t>Tremies</t>
  </si>
  <si>
    <t>Tole de séparation endommagée</t>
  </si>
  <si>
    <t>Réparation prévue le 19/12/2019</t>
  </si>
  <si>
    <t>Position dereglée</t>
  </si>
  <si>
    <t>Reglage de la position de la cisaille</t>
  </si>
  <si>
    <t>Système de translation</t>
  </si>
  <si>
    <t>Fuite d'air + couteau usé</t>
  </si>
  <si>
    <t>Changement des prises rapides et rectification des lames de cisailles</t>
  </si>
  <si>
    <t>Projecteur HS</t>
  </si>
  <si>
    <t>Changement d'une ampoule endommagée</t>
  </si>
  <si>
    <t>Trou taraudés usés</t>
  </si>
  <si>
    <t>Taraudage et fixation des verins tir fils</t>
  </si>
  <si>
    <t>Changement de la presse de soudage</t>
  </si>
  <si>
    <t>Cassette PR09</t>
  </si>
  <si>
    <t>Roulements partie crantée endommagés</t>
  </si>
  <si>
    <t>Changement de 6 roulements endommagés</t>
  </si>
  <si>
    <t>Cassette PR12</t>
  </si>
  <si>
    <t>Changement du galet endommagé + 6 roulements</t>
  </si>
  <si>
    <t>Galet lisse usé</t>
  </si>
  <si>
    <t>Blocage du chariot de cisaille</t>
  </si>
  <si>
    <t>Changement des galet endommagés</t>
  </si>
  <si>
    <t>Bloc d'entrainement</t>
  </si>
  <si>
    <t>Changement de 4 courroies endommagée</t>
  </si>
  <si>
    <t>Changement du cable endommagé</t>
  </si>
  <si>
    <t>Chutte de presion</t>
  </si>
  <si>
    <t>Changement d'un limiteur de pression</t>
  </si>
  <si>
    <t>Arbre conffectionné et monté</t>
  </si>
  <si>
    <t>Fuite d'huile au niveau du reducteur</t>
  </si>
  <si>
    <t>Changement d'arret d'huile + roulement</t>
  </si>
  <si>
    <t>OK</t>
  </si>
  <si>
    <t>Revision du compresseur par air diffusion</t>
  </si>
  <si>
    <t>Pompe endommagée</t>
  </si>
  <si>
    <t>Réparation de la pompe  chez hydrautech</t>
  </si>
  <si>
    <t>Revision generale du groupe hydraulique</t>
  </si>
  <si>
    <t>Chute de pression</t>
  </si>
  <si>
    <t>Réglage de la pression  de l'air comprimé</t>
  </si>
  <si>
    <t>Fuite au niveau du flexible du vérin</t>
  </si>
  <si>
    <t>Pb de tirage feuillard</t>
  </si>
  <si>
    <t>Réglage de la position de la molette de tirage</t>
  </si>
  <si>
    <t>Changement du support du vérin</t>
  </si>
  <si>
    <t xml:space="preserve">Fuite d'air </t>
  </si>
  <si>
    <t>Blocage d'un galet de tirage</t>
  </si>
  <si>
    <t>Liberation du galet et réglage de la position du vérin</t>
  </si>
  <si>
    <t>Came endommagé</t>
  </si>
  <si>
    <t>Changement d'une came</t>
  </si>
  <si>
    <t>Pb zoomage</t>
  </si>
  <si>
    <t>Boite à commande endommagée</t>
  </si>
  <si>
    <t>Changement de la boite à commande</t>
  </si>
  <si>
    <t>Bruit anormal sur moteur</t>
  </si>
  <si>
    <t>Changement des roulements du moteur et palier de fixation</t>
  </si>
  <si>
    <t>Problème de soudage du feuillard</t>
  </si>
  <si>
    <t>Changement de la resistance de la plaque chauffante</t>
  </si>
  <si>
    <t xml:space="preserve">Convoyeur sortie presse </t>
  </si>
  <si>
    <t>Changement de deux courroies thermosoudables</t>
  </si>
  <si>
    <t>Courroies thermosoudables usées</t>
  </si>
  <si>
    <t>Pb encodeur</t>
  </si>
  <si>
    <t>Tension de la chaine et fixation de la roue codeuse</t>
  </si>
  <si>
    <t>Cassette PR 3,90</t>
  </si>
  <si>
    <t>Défaut de zoomage</t>
  </si>
  <si>
    <t>Fuite d'air sur cisaille</t>
  </si>
  <si>
    <t>Changement des joints toriques</t>
  </si>
  <si>
    <t>Rupture du cable d'alimentation</t>
  </si>
  <si>
    <t>Raccordement du cable sur l'armoire d'alimentation</t>
  </si>
  <si>
    <t>Pb de trirage du fil</t>
  </si>
  <si>
    <t>Changement de deux galets cranté endommagé</t>
  </si>
  <si>
    <t>Roulement usé</t>
  </si>
  <si>
    <t>Changement de deux roulements 6304</t>
  </si>
  <si>
    <t>Plieuse</t>
  </si>
  <si>
    <t>Elimination d'un court circuit nettoyage de l'ectrovanne et changement du cable de commande de l'electrovanne</t>
  </si>
  <si>
    <t>Affutage du couteau de cisaillement</t>
  </si>
  <si>
    <t>Eau usée</t>
  </si>
  <si>
    <t>Vidange du bac ( eau distillée et antigel)</t>
  </si>
  <si>
    <t>Electrodes usées</t>
  </si>
  <si>
    <t>Confection de deux electrodes usées</t>
  </si>
  <si>
    <t>Support pilon endommagé</t>
  </si>
  <si>
    <t>Vérin bloqué</t>
  </si>
  <si>
    <t>Fuite d'air + mauvais contact des electrodes</t>
  </si>
  <si>
    <t>Changement d'un raccord usé + Réctification et remontage des electrodes</t>
  </si>
  <si>
    <t>Déformation des bras d'empileur</t>
  </si>
  <si>
    <t>Dressage du bras</t>
  </si>
  <si>
    <t>Galet endommagé ( à cause d'un roulement mal graissé )</t>
  </si>
  <si>
    <t>Changement du galet avec roulements neufs+ zoomage</t>
  </si>
  <si>
    <t>Canivaux</t>
  </si>
  <si>
    <t>Armoire electrique poussiereuse</t>
  </si>
  <si>
    <t>Entretien généneral</t>
  </si>
  <si>
    <t xml:space="preserve"> - Démontage des presse et support de presses
 - Démontage des portes électrodes et support des portes électrodes
 - Démontage des prises rapides et flexibles de refroidissement du bloc
 - Démontage des supports et de l'embrayage de la cisaille
 - Extraction des vis de fixation et démontage des rails inferieurs et supérieur pour confection</t>
  </si>
  <si>
    <t>Nettoyage de l'electrovanne</t>
  </si>
  <si>
    <t>Transporteur de poutrelle bloqué</t>
  </si>
  <si>
    <t>Changement d'un connecteur endommagé</t>
  </si>
  <si>
    <t>Blocage de la vis à ciment</t>
  </si>
  <si>
    <t>Tremie n°2</t>
  </si>
  <si>
    <t>Confection d'un nouvel accouplement pour la vis à ciment</t>
  </si>
  <si>
    <t>Remise en place du moteur vibreur</t>
  </si>
  <si>
    <t>Manque de phase sur contacteur</t>
  </si>
  <si>
    <t>Changement du contacteur endommagé</t>
  </si>
  <si>
    <t>Cassette PR 7</t>
  </si>
  <si>
    <t>Changement de deux roulements et zoomage de la cassette</t>
  </si>
  <si>
    <t>Déplacement de l'armoire électrique et nettoyage des canivaux</t>
  </si>
  <si>
    <t>Armoire poussireuse</t>
  </si>
  <si>
    <t>Chargement de surface du cabestan</t>
  </si>
  <si>
    <t>Fuite d'huile sur Boite d'engrenage du bobinoir</t>
  </si>
  <si>
    <t>Changament d'un arrêt d'huile usé</t>
  </si>
  <si>
    <t>Distrubuteur d'air</t>
  </si>
  <si>
    <t>Rectification de surface + réparation du filetage du dispositif</t>
  </si>
  <si>
    <t>Ecarteur</t>
  </si>
  <si>
    <t>Vis de fixation endommagé</t>
  </si>
  <si>
    <t>Extraction de la vis et dépannage du dispositif</t>
  </si>
  <si>
    <t>Pb de pincement</t>
  </si>
  <si>
    <t>Changement de la plaque de la machoire + deux goupilles D7 + ressort de rappel du couteau</t>
  </si>
  <si>
    <t>Changement de deux roulements 32008</t>
  </si>
  <si>
    <t>Changement d'une fiche endommagée</t>
  </si>
  <si>
    <t>Fuite au niveau du vérin du moule</t>
  </si>
  <si>
    <t>Changement du vérin endommagé</t>
  </si>
  <si>
    <t>Pb de fixation du vérin pneumatique</t>
  </si>
  <si>
    <t>Soudage de deux plaques avec support et réajustement de la fixation du vérin</t>
  </si>
  <si>
    <t>Fiche endommagé</t>
  </si>
  <si>
    <t xml:space="preserve">Changement de fiche </t>
  </si>
  <si>
    <t>Radiateur</t>
  </si>
  <si>
    <t>Réparation du radiateur</t>
  </si>
  <si>
    <t>Changement du  vérin du pilon - Vis à ciment - Débouchage du circuit d'eau du malaxeur</t>
  </si>
  <si>
    <t>Court circuit sur bobine de démarrage</t>
  </si>
  <si>
    <t>Shunt du circuit et mise en marche</t>
  </si>
  <si>
    <t>Pb d'alimentation d'eau</t>
  </si>
  <si>
    <t>Réparation de l'eletrovanne et mise en marche</t>
  </si>
  <si>
    <t>Pompe hydraulique endommagée</t>
  </si>
  <si>
    <t>Réparation de la pompe + vidange et nettoyage du circtuit de groupe</t>
  </si>
  <si>
    <t>Arbre de sortie du réducteur cisaillé</t>
  </si>
  <si>
    <t>Tension de la chaine porte cornière</t>
  </si>
  <si>
    <t>Changement de la chaîne</t>
  </si>
  <si>
    <t>Pousse planche</t>
  </si>
  <si>
    <t>Moteur à la masse</t>
  </si>
  <si>
    <t>Changement du moteur 1,5 par moteur de la trémie de sable</t>
  </si>
  <si>
    <t>Moteur à remettre sur la trémie</t>
  </si>
  <si>
    <t>Changement du réducteur et réparation de l'ancien</t>
  </si>
  <si>
    <t>Début des travaux de nettoyage et refection des chemins de cable de la machine et construction d'une chambre de protection pour l'armoire</t>
  </si>
  <si>
    <t>Fuite d'huile sur raccord</t>
  </si>
  <si>
    <t>Soudage du raccord usé</t>
  </si>
  <si>
    <t>Cecleuse 08</t>
  </si>
  <si>
    <t>Disque d'embrayage usé</t>
  </si>
  <si>
    <t>Changement du disque d'embrayage</t>
  </si>
  <si>
    <t>Chariot principal</t>
  </si>
  <si>
    <t>Moteur monté descente endommagé</t>
  </si>
  <si>
    <t>Réparation et montage moteur</t>
  </si>
  <si>
    <t>Filetage tresse de soudage foiré</t>
  </si>
  <si>
    <t>Taraudage du trou et mise en place d'un filet rapporté</t>
  </si>
  <si>
    <t>Ecou de la vis sans fin endommagé</t>
  </si>
  <si>
    <t>Monte d'un ecrou en bronze neuf</t>
  </si>
  <si>
    <t>Fuite grave sur échangeur</t>
  </si>
  <si>
    <t>Etude de la possibilité d'utilisation de refroidisseur de la machine techno</t>
  </si>
  <si>
    <t>Changement de quatre galets guide fil du danseur n 3</t>
  </si>
  <si>
    <t>Débouchage du circuit d'eau</t>
  </si>
  <si>
    <t>Taraudage et fixation du porte électrode</t>
  </si>
  <si>
    <t>Blocage moteur</t>
  </si>
  <si>
    <t>Silo 07</t>
  </si>
  <si>
    <t>Coincement de la vis a ciment</t>
  </si>
  <si>
    <t>Changement du moteur électrique</t>
  </si>
  <si>
    <t>Pb de démarrage de la machine</t>
  </si>
  <si>
    <t>Liberation des lames de contact coincées du contacteur d'alimentation et mise en marche</t>
  </si>
  <si>
    <t>Cable coincé</t>
  </si>
  <si>
    <t>Libération du cable et ajustement du guide cable</t>
  </si>
  <si>
    <t>Fissure de la tole de la table vibrante</t>
  </si>
  <si>
    <t>Contact entre vérins et support du moule</t>
  </si>
  <si>
    <t>Changement des vérins par des vérins CL 261</t>
  </si>
  <si>
    <t>Course du descenseur mal réglée</t>
  </si>
  <si>
    <t>Fixation et ajustement de position du fin de course</t>
  </si>
  <si>
    <t>PB de mise en marche</t>
  </si>
  <si>
    <t>réparation du selecteur MAN/AUT et mise en marche</t>
  </si>
  <si>
    <t>Ecoulement continu de l'eau au niveau du malaxeur</t>
  </si>
  <si>
    <t>Elimination des morceaux de calcaire qui bloquent l'electrovanne</t>
  </si>
  <si>
    <t>En attente de devis d'installation</t>
  </si>
  <si>
    <t>Fuite d'huile au niveau du groupe hydraulique</t>
  </si>
  <si>
    <t>Rembourage de la partie fissuré par du polyfibre</t>
  </si>
  <si>
    <t>Blocage du feuillard</t>
  </si>
  <si>
    <t>Réglage du système de récupération du feuillard</t>
  </si>
  <si>
    <t>Raccord d'alimentation en ciment endommagé</t>
  </si>
  <si>
    <t>Dépannage en attendant réception d'un nouveau raccord symétrique</t>
  </si>
  <si>
    <t>Courroies endommagée</t>
  </si>
  <si>
    <t>Déreglage des freins des devidoirs</t>
  </si>
  <si>
    <t>Réglage des freins des devidoir</t>
  </si>
  <si>
    <t>Compresseur GA 37</t>
  </si>
  <si>
    <t>Pb de chute de pression</t>
  </si>
  <si>
    <t>Réparation du Thermostat et elimination des fuite hydrauliques et pneumatique</t>
  </si>
  <si>
    <t>Tube carré guide fil endommagé</t>
  </si>
  <si>
    <t>Soudure de la barre et ajustage d'alignement</t>
  </si>
  <si>
    <t>Moufle</t>
  </si>
  <si>
    <t>Blocage sur poulie de renvoie</t>
  </si>
  <si>
    <t>Ajustement des cartère de protection</t>
  </si>
  <si>
    <t>Axes plongeur déformés</t>
  </si>
  <si>
    <t>Changement de deux axes plongeurs et tresse neuve</t>
  </si>
  <si>
    <t>Détension de la chaine</t>
  </si>
  <si>
    <t>Tension de la chaîne et mise à niveau de la table</t>
  </si>
  <si>
    <t xml:space="preserve">Pb sur ventilateur </t>
  </si>
  <si>
    <t>Roulement du moteur du ventilateur</t>
  </si>
  <si>
    <t>Danseur</t>
  </si>
  <si>
    <t>Roulement de galets usés</t>
  </si>
  <si>
    <t>Changement des roulements usés</t>
  </si>
  <si>
    <t>Changement d'une prise rapide endommagée et d'une chappe de vérin</t>
  </si>
  <si>
    <t>Moteur latéral</t>
  </si>
  <si>
    <t>2 éme vitésse endommagé</t>
  </si>
  <si>
    <t>En attente de livraison relance 22/01/2020</t>
  </si>
  <si>
    <t>Tube carré guide fil à confectionner</t>
  </si>
  <si>
    <t>Cassette PR 4,8</t>
  </si>
  <si>
    <t>Circuit de refroidissement bouché</t>
  </si>
  <si>
    <t xml:space="preserve">Débouchage du circuit de refroidissement </t>
  </si>
  <si>
    <t>Rupture de la vis de fixation</t>
  </si>
  <si>
    <t>Extraction de vis taraudage et remontage du système de soudage</t>
  </si>
  <si>
    <t>Moteur bobinoir</t>
  </si>
  <si>
    <t>Pb sur encodeur</t>
  </si>
  <si>
    <t>Resserage et fixation de l'encodeur</t>
  </si>
  <si>
    <t>Système d'entrainement</t>
  </si>
  <si>
    <t>Soudage du pignon au bati</t>
  </si>
  <si>
    <t>PB monté descente</t>
  </si>
  <si>
    <t>Nettoyage du contacteur et mise en marche</t>
  </si>
  <si>
    <t>Ventilateur variateur endommagé</t>
  </si>
  <si>
    <t>Changement du ventilateur du variateur</t>
  </si>
  <si>
    <t xml:space="preserve">Changement de la chappe </t>
  </si>
  <si>
    <t>Changement d'un fusible endommagé et mise en marche</t>
  </si>
  <si>
    <t>Pb de tirage fil</t>
  </si>
  <si>
    <t>Changement de 12 roulements 6206 Extraction des vis cassés et Réajustement du niveau d'huile de la machine</t>
  </si>
  <si>
    <t>confection vis spécial en cours</t>
  </si>
  <si>
    <t>Achat bobine neuve en cours</t>
  </si>
  <si>
    <t xml:space="preserve"> réparation chez ATT en cours</t>
  </si>
  <si>
    <t>Plus de disque en stock - Prévoir achat</t>
  </si>
  <si>
    <t>Achat tôle pour confection de nouvelle tôle pour la table en cours</t>
  </si>
  <si>
    <t>Variation de l'avance du vérin pousse planche</t>
  </si>
  <si>
    <t>Changement du régulateur de pression et réglage de l'avance de vérin pousse planche</t>
  </si>
  <si>
    <t>Déformation des fourches du transbordeur</t>
  </si>
  <si>
    <t>Dressage des fourches</t>
  </si>
  <si>
    <t>Déformation des lévres du lance</t>
  </si>
  <si>
    <t>Changement des lévres par d'autres neuves</t>
  </si>
  <si>
    <t>Manque de phase su moteur d'agitation</t>
  </si>
  <si>
    <t>Garniture du frein du moteur du skip</t>
  </si>
  <si>
    <t>Délais vidange atteint</t>
  </si>
  <si>
    <t>Vidange de la table vibrante</t>
  </si>
  <si>
    <t>Convoyeur</t>
  </si>
  <si>
    <t>Changements des rouleaux endommagés</t>
  </si>
  <si>
    <t>Rupture de liaison bati / pignon</t>
  </si>
  <si>
    <t>Filet rapporté usé</t>
  </si>
  <si>
    <t>Changement du filet rapporté</t>
  </si>
  <si>
    <t>Changement de 4 courroies de transmission</t>
  </si>
  <si>
    <t>Changement d'une électrovanne et reglage de pression</t>
  </si>
  <si>
    <t>Défaut de communication Danseur/Variateur</t>
  </si>
  <si>
    <t>Dressage du bras du danseur</t>
  </si>
  <si>
    <t>Resdresseur</t>
  </si>
  <si>
    <t>Jeu en arbre et poulie</t>
  </si>
  <si>
    <t>Réparation chez tourneur</t>
  </si>
  <si>
    <t>changement des goupilles endommagées et régage des mouvements des griffes</t>
  </si>
  <si>
    <t>Raccord rotatif endommagé</t>
  </si>
  <si>
    <t>Dépannage du raccord tournant</t>
  </si>
  <si>
    <t>Changement d'un distributeur endommagé</t>
  </si>
  <si>
    <t>Changement d'un disjoncteur endommagé</t>
  </si>
  <si>
    <t>Moteur HS</t>
  </si>
  <si>
    <t>Poulie de transmission usée</t>
  </si>
  <si>
    <t>Réparation che Tourneur</t>
  </si>
  <si>
    <t>Jeu sur poulie de transmission</t>
  </si>
  <si>
    <t>Rebage de la poulie de transmission</t>
  </si>
  <si>
    <t>Pb su moteur d'agitation</t>
  </si>
  <si>
    <t>Chnagment du moteur d'agitation</t>
  </si>
  <si>
    <t>filetage  de la chappe du verin foiré</t>
  </si>
  <si>
    <t>Soudage de la chappe et la tige</t>
  </si>
  <si>
    <t>Rupture du cable moteur + chaine guide cable</t>
  </si>
  <si>
    <t>Raccordement du cable + chaine guide cable</t>
  </si>
  <si>
    <t>Jeu sur arbre d'agitation</t>
  </si>
  <si>
    <t>Changement d'un palier usé + capteur de proximité</t>
  </si>
  <si>
    <t>Fuite d'huile sur vérin du moule</t>
  </si>
  <si>
    <t>Rupture d'une courroie thermosoudable</t>
  </si>
  <si>
    <t>Freinage d'embrayage defaillant</t>
  </si>
  <si>
    <t>Réglage du jeu d'embrayage</t>
  </si>
  <si>
    <t>Connecteurs tordu</t>
  </si>
  <si>
    <t>Changement des connecteurs de contact et mise en marche du transbordeur</t>
  </si>
  <si>
    <t>Changement du pignon d'accouplement moteur/réducteur</t>
  </si>
  <si>
    <t>G</t>
  </si>
  <si>
    <t>G.S</t>
  </si>
  <si>
    <t>Mauvais contact sur relais</t>
  </si>
  <si>
    <t>Changement du relais endommagé</t>
  </si>
  <si>
    <t>Essai frein moteur</t>
  </si>
  <si>
    <t>Branchement frein moteur D'occasion  et mise en marche</t>
  </si>
  <si>
    <t>Frein Opérationnel - Ancien frein stocké au magasin</t>
  </si>
  <si>
    <t>Usure des toles de malaxeur</t>
  </si>
  <si>
    <t>Changement des toles usées</t>
  </si>
  <si>
    <t>Entretien préventif</t>
  </si>
  <si>
    <t>Changement des contacteur d'alimentation + Cable méplat du transbordeur</t>
  </si>
  <si>
    <t>Pb de passage à la deuxieme vitesse</t>
  </si>
  <si>
    <t>Dépannage d'un bloc auxiliaire de contact</t>
  </si>
  <si>
    <t>Attente réception Bloc de contact</t>
  </si>
  <si>
    <t>Poulie de transmission endommagé</t>
  </si>
  <si>
    <t>Rebaguage intérieur de la poulie</t>
  </si>
  <si>
    <t>Changement d'une prise rapide endommagé</t>
  </si>
  <si>
    <t>Soudeuse</t>
  </si>
  <si>
    <t>Bagues isolantes usée</t>
  </si>
  <si>
    <t>Changement des bagues d'isolation endommagées</t>
  </si>
  <si>
    <t>Déréglage des longueurs de trame</t>
  </si>
  <si>
    <t>Taraudage de la partie foirée du pivot</t>
  </si>
  <si>
    <t>Cassette PR 4,6</t>
  </si>
  <si>
    <t>Fuite d'eau + défaut de zoomage</t>
  </si>
  <si>
    <t>Changement du flexible d'eau + zoomage</t>
  </si>
  <si>
    <t>Moteur principal</t>
  </si>
  <si>
    <t>Changements des roulements endommagés</t>
  </si>
  <si>
    <t>Changement d'un axe plongeur</t>
  </si>
  <si>
    <t>Déréglage de la cisaille</t>
  </si>
  <si>
    <t>Resserage des vis et reglage de position</t>
  </si>
  <si>
    <t>Couteau de cisaille bloqué</t>
  </si>
  <si>
    <t>Extraction de la vis et reglage de position</t>
  </si>
  <si>
    <t>GA 37 (schlatter)</t>
  </si>
  <si>
    <t>Distribution</t>
  </si>
  <si>
    <t>Electrovanne démontée</t>
  </si>
  <si>
    <t>Remontage de l'electrovanne et mise en marche</t>
  </si>
  <si>
    <t xml:space="preserve">Rupture du cable antigiratoire </t>
  </si>
  <si>
    <t>Changement du cable antigiratoire D8</t>
  </si>
  <si>
    <t xml:space="preserve">Jeu sur chappe de vérin </t>
  </si>
  <si>
    <t xml:space="preserve">Changement de la chappe du vérin </t>
  </si>
  <si>
    <t xml:space="preserve">Courroies détendu </t>
  </si>
  <si>
    <t>tension des courroies</t>
  </si>
  <si>
    <t>Zigzag</t>
  </si>
  <si>
    <t>Usure du guide fil</t>
  </si>
  <si>
    <t>Changement du guide fil endommagé</t>
  </si>
  <si>
    <t>Changement de 2 galets de tirage</t>
  </si>
  <si>
    <t>Mauvais contact sur cassette siemens</t>
  </si>
  <si>
    <t>Réparation des cassettes</t>
  </si>
  <si>
    <t>Cassette 4,80</t>
  </si>
  <si>
    <t>Changement de deux roulements + zoomage</t>
  </si>
  <si>
    <t>Moteurs de tirage HS</t>
  </si>
  <si>
    <t>Refroidisseur HS</t>
  </si>
  <si>
    <t>Installation d'un nouveau refroidisseur</t>
  </si>
  <si>
    <t>Réparation du circuit d'air comprimé</t>
  </si>
  <si>
    <t>Vis à ciment</t>
  </si>
  <si>
    <t>Colmatage de la vis</t>
  </si>
  <si>
    <t>Démontage, débouchage et remontage du système</t>
  </si>
  <si>
    <t>Déformation cornière descenceur</t>
  </si>
  <si>
    <t>Dressage et remontage des cornière</t>
  </si>
  <si>
    <t>G.H</t>
  </si>
  <si>
    <t>Chute de pression sur accumulateur</t>
  </si>
  <si>
    <t>Changement d'accumulateur et mise en marche</t>
  </si>
  <si>
    <t>Fuite sur vessie pneumatique</t>
  </si>
  <si>
    <t>Changement d'une vessie pneumatique</t>
  </si>
  <si>
    <t>Servomoteur réparé</t>
  </si>
  <si>
    <t>Changement de deux galets endommagés</t>
  </si>
  <si>
    <t xml:space="preserve">Entretien du dispositif </t>
  </si>
  <si>
    <t>Entretien du dispositif guide fil</t>
  </si>
  <si>
    <t>Jeu sur arbre d'entrainement</t>
  </si>
  <si>
    <t>Rectification chez tourneur</t>
  </si>
  <si>
    <t>Moteur de vibration grillé</t>
  </si>
  <si>
    <t>Rebobinage du moteur endommagé chez CEDP</t>
  </si>
  <si>
    <t>Changement de deux pales de pates</t>
  </si>
  <si>
    <t>Pb de glissement de l'embrayage</t>
  </si>
  <si>
    <t>Jeu sur galet de tranbordeur</t>
  </si>
  <si>
    <t>Démontage chargement de surface et réctification du support de galet du transbordeur</t>
  </si>
  <si>
    <t>Changement de l'accumulateur</t>
  </si>
  <si>
    <t xml:space="preserve">Pales de pattes usée </t>
  </si>
  <si>
    <t>Tole fissurée</t>
  </si>
  <si>
    <t>Jonction de deux courroies thermosoudables sortie presse</t>
  </si>
  <si>
    <t>En cours de réparation chez Atlas copco</t>
  </si>
  <si>
    <t>En cours de réparation chez atlas Copco</t>
  </si>
  <si>
    <t>Entretien correctif</t>
  </si>
  <si>
    <t xml:space="preserve">Changement d'axe de came + Réglage de la machine </t>
  </si>
  <si>
    <t>Déformation du devidoir suite à un accident (Rupture feuillard + chutte bobine en acier)</t>
  </si>
  <si>
    <t>Dressage du bobinoir</t>
  </si>
  <si>
    <t>Jeu sur poulie d'entrainement</t>
  </si>
  <si>
    <t>Elimination du jeu par fixation d'une tôle entre arbre et alésage</t>
  </si>
  <si>
    <t>Fuite sur vérin de cisaille</t>
  </si>
  <si>
    <t>Changement des joints du vérin de cisaille</t>
  </si>
  <si>
    <t>Unité de dressage</t>
  </si>
  <si>
    <t>Pb sur galet de dressage</t>
  </si>
  <si>
    <t xml:space="preserve">Changement du galet endommagé </t>
  </si>
  <si>
    <t>Filetage du porte électrode foiré</t>
  </si>
  <si>
    <t>Changement d'un filet rapporté</t>
  </si>
  <si>
    <t>Boite de galet</t>
  </si>
  <si>
    <t>Heure vidange atteint</t>
  </si>
  <si>
    <t>Vidange de la boite</t>
  </si>
  <si>
    <t>Absence de variateur</t>
  </si>
  <si>
    <t>Montage d'un variateur de puissance</t>
  </si>
  <si>
    <t>Blocage de la chaine de levage</t>
  </si>
  <si>
    <t>Déblocage de la chaine de levage</t>
  </si>
  <si>
    <t>Compresseur GA75</t>
  </si>
  <si>
    <t>Suite - Révision générale</t>
  </si>
  <si>
    <t>Remontage de l'element d'aspiration et misqe en marche</t>
  </si>
  <si>
    <t>Rupture d'un cable de tension</t>
  </si>
  <si>
    <t>rupture d'un flexible</t>
  </si>
  <si>
    <t>Guide fil usé</t>
  </si>
  <si>
    <t>Chargement de la partie usée  Remontage et mise en marche</t>
  </si>
  <si>
    <t>Taraudage foiré</t>
  </si>
  <si>
    <t xml:space="preserve">Rebaguage et taraudage du redresseur </t>
  </si>
  <si>
    <t>Défaut de reglage de la table elevatrice</t>
  </si>
  <si>
    <t>Réglage de hauteur et mise en marche</t>
  </si>
  <si>
    <t>Hacheur de freinage</t>
  </si>
  <si>
    <t>Hacheur de freinage endommagé</t>
  </si>
  <si>
    <t>Devis de Réparation en cours (Drive center Automation)</t>
  </si>
  <si>
    <t>Changement du Hacheur</t>
  </si>
  <si>
    <t>Pb sur galet du skip</t>
  </si>
  <si>
    <t>Montage d'un arbre neuf</t>
  </si>
  <si>
    <t>Moteur de vibration</t>
  </si>
  <si>
    <t>Elimination du manque de phase et mise en marche</t>
  </si>
  <si>
    <t>Rupture d'une corroie thermosoudable</t>
  </si>
  <si>
    <t>Jonction de la courroie thermosoudable du retourneur</t>
  </si>
  <si>
    <t>Prise de mesure</t>
  </si>
  <si>
    <t>Démontage des galets du transbordeur pour prises des cotes</t>
  </si>
  <si>
    <t>Revision du transbordeur</t>
  </si>
  <si>
    <t>Montage des galets et arbres confectionnés et dressage des fourches</t>
  </si>
  <si>
    <t>Retour planche</t>
  </si>
  <si>
    <t>Moteur 1,5kw endommagé</t>
  </si>
  <si>
    <t>Changement du moteur 1,5kw</t>
  </si>
  <si>
    <t>Panne rouleau d'avancement</t>
  </si>
  <si>
    <t>Changement d'un relais endommagé</t>
  </si>
  <si>
    <t>Pb sur chaine de transmission</t>
  </si>
  <si>
    <t>Tension de la chaine</t>
  </si>
  <si>
    <t>Défaut d'alignement du fil de chaine</t>
  </si>
  <si>
    <t>Reglage des guides fils</t>
  </si>
  <si>
    <t>Arret pour entretien</t>
  </si>
  <si>
    <t>Dressage des fourches du transbordeur et réglage des fins de courses</t>
  </si>
  <si>
    <t>Palan</t>
  </si>
  <si>
    <t>Montage du palan</t>
  </si>
  <si>
    <t>Rupture du cable antigiratoire</t>
  </si>
  <si>
    <t>Cassette d3,5</t>
  </si>
  <si>
    <t>Changement d'un roulement et zoomage de la cssette</t>
  </si>
  <si>
    <t>Vérin de cisaille bloqué</t>
  </si>
  <si>
    <t>Changement de la chappe endommagée</t>
  </si>
  <si>
    <t>Cassette d4,80</t>
  </si>
  <si>
    <t>Changments des rouelements endommagés + Zoomage</t>
  </si>
  <si>
    <t>Défaut de fixation du moteur de vibration</t>
  </si>
  <si>
    <t>Démontage - Réparation des supports de fixation et mise en marche</t>
  </si>
  <si>
    <t>Moteur d'agitation HS</t>
  </si>
  <si>
    <t>Changement du moteur d'agitation et rebobinage du moteur endommagé</t>
  </si>
  <si>
    <t>Rupture d'un courroie</t>
  </si>
  <si>
    <t>Changement de la courroie endommagée</t>
  </si>
  <si>
    <t>Entretien</t>
  </si>
  <si>
    <t>Changement des roulements des masselottes et montage des masselottes réparées</t>
  </si>
  <si>
    <t>rupture d'une courroie 2800</t>
  </si>
  <si>
    <t>Changement de la courroie endommagée et remontage des masselottes réparées</t>
  </si>
  <si>
    <t>Debut des travaux de montage du Palan acheté à la feraille</t>
  </si>
  <si>
    <t>La machine tourne à vitesse réduite / En attente de décision de la DG pour assistance sur place d'un technicien EVG</t>
  </si>
  <si>
    <t>Démontage - changement de roulement et resserrage des moyeux</t>
  </si>
  <si>
    <t>Jeu au  niveau du support de fixation</t>
  </si>
  <si>
    <t>Démontage -changement des segments du support et mise en marche</t>
  </si>
  <si>
    <t>Desserage du moyeu de galet</t>
  </si>
  <si>
    <t>débouchage du circuit de refroidissement et zoomage</t>
  </si>
  <si>
    <t>Glissiere endommagée</t>
  </si>
  <si>
    <t>Changement de la rail endommagée</t>
  </si>
  <si>
    <t>cercleuse</t>
  </si>
  <si>
    <t>Entretien géneral</t>
  </si>
  <si>
    <t>Poblème de synchronisation</t>
  </si>
  <si>
    <t>Changement d'un circlip endommagé</t>
  </si>
  <si>
    <t>Dispositif de dressage</t>
  </si>
  <si>
    <t>Galets de dressage usés</t>
  </si>
  <si>
    <t>Surface Téton usée</t>
  </si>
  <si>
    <t>Chargement de surface et mise en marche</t>
  </si>
  <si>
    <t>Nettoyage et graissage général</t>
  </si>
  <si>
    <t>Changement du roulement endommagé</t>
  </si>
  <si>
    <t>Raccord pneumatique endommagé</t>
  </si>
  <si>
    <t>Vidange à l'eau distillé</t>
  </si>
  <si>
    <t>Système d'ejection des FT</t>
  </si>
  <si>
    <t>Bras du système cassé</t>
  </si>
  <si>
    <t>Soudage du bras et mise en marche</t>
  </si>
  <si>
    <t>Nb heure vidange atteint</t>
  </si>
  <si>
    <t>Vidange du réducteur du sytème d'avancement</t>
  </si>
  <si>
    <t xml:space="preserve">Travaux de réparation </t>
  </si>
  <si>
    <t>Début des travaux de réparation du système de tirage</t>
  </si>
  <si>
    <t>Fiche de detecteur endommagé</t>
  </si>
  <si>
    <t>Changement de la fiche endommagée</t>
  </si>
  <si>
    <t>Entretien général</t>
  </si>
  <si>
    <t>Début des travaux d'entretien</t>
  </si>
  <si>
    <t xml:space="preserve">Démontage du moteur </t>
  </si>
  <si>
    <t>Entretien annuel</t>
  </si>
  <si>
    <t xml:space="preserve">Elimination d'une fuite d'huile, Réalimentation en gaz Réfrigérant, dépoussiérage </t>
  </si>
  <si>
    <t>Démontage du compresseur n°2 pour diagnostic</t>
  </si>
  <si>
    <t>Lubrification et déblocage de l'axe vérin</t>
  </si>
  <si>
    <t>Galet et roulement de galet endommagé</t>
  </si>
  <si>
    <t>confection des galets suivant model</t>
  </si>
  <si>
    <t>En attente confection chez Tourneur</t>
  </si>
  <si>
    <t>Moteur  endommagé-en cours de prospection/ Essai de réparation chez spécialiste</t>
  </si>
  <si>
    <t>Attente réception roulements commandés le 13/05/2020</t>
  </si>
  <si>
    <t>Commande</t>
  </si>
  <si>
    <t>Surface usée</t>
  </si>
  <si>
    <t>DA réalisée pour bouttons neufs -Traitement en cours</t>
  </si>
  <si>
    <t>Blocage du mécanisime de soudage</t>
  </si>
  <si>
    <t>Lubrification et déblocage du sytème</t>
  </si>
  <si>
    <t>Cale du moule usée</t>
  </si>
  <si>
    <t>Changement des cales du moule</t>
  </si>
  <si>
    <t>Changement du cadre et réglage de la grille</t>
  </si>
  <si>
    <t>Porte enrouleur béton usée</t>
  </si>
  <si>
    <t>dressage et rectification de la plaque</t>
  </si>
  <si>
    <t>Fuite d'huile au niveau du moteur hydraulique</t>
  </si>
  <si>
    <t>Changement d'arrêt d'huile endommagée</t>
  </si>
  <si>
    <t>Echauffement du système</t>
  </si>
  <si>
    <t>Changement d'une plaque isolante en bakélite+ changement des filets rapportés endommagés + rectification de surface</t>
  </si>
  <si>
    <t>Lubrification</t>
  </si>
  <si>
    <t>Lubrification de tous les graisseurs de la table</t>
  </si>
  <si>
    <t>Pompe de graissage</t>
  </si>
  <si>
    <t>Débouchage du circuit + lubrfication</t>
  </si>
  <si>
    <t>Guide file endommagé</t>
  </si>
  <si>
    <t>Chargement de surface et rectification</t>
  </si>
  <si>
    <t>Savonniere</t>
  </si>
  <si>
    <t>Changement de la tole inférieur</t>
  </si>
  <si>
    <t>Tole inférieure usée</t>
  </si>
  <si>
    <t>Changement d'un roulement endommagé + arrêt d'huile</t>
  </si>
  <si>
    <t>Rectification de surface</t>
  </si>
  <si>
    <t>Cassette 3,5</t>
  </si>
  <si>
    <t xml:space="preserve">Fuite d'eau </t>
  </si>
  <si>
    <t>Cabestan n1</t>
  </si>
  <si>
    <t>Démontage pour soudage</t>
  </si>
  <si>
    <t>Cassette 3,8</t>
  </si>
  <si>
    <t>Roulement usés</t>
  </si>
  <si>
    <t>Changement de roulement + Zoomage</t>
  </si>
  <si>
    <t>Fuite d'air au niveau de la conduite d'alimentation en air comprimé</t>
  </si>
  <si>
    <t>Extraction et insertion d'un filet rapporté</t>
  </si>
  <si>
    <t>Filtage de tige de fixation endommagé</t>
  </si>
  <si>
    <t>Changement de la tige filetée</t>
  </si>
  <si>
    <t>Cassette PR7</t>
  </si>
  <si>
    <t>Changement des roulement endommagé + zoomage</t>
  </si>
  <si>
    <t>Moteur latéral endommagé</t>
  </si>
  <si>
    <t>Changement du flexible de refoulement de la pompe hydraulique</t>
  </si>
  <si>
    <t>Jeu au niveau du cadre glissant</t>
  </si>
  <si>
    <t>Changement de deux vis M16x50 endomagée</t>
  </si>
  <si>
    <t>Silos</t>
  </si>
  <si>
    <t>Cartouches colmatées</t>
  </si>
  <si>
    <t>Entretien général des silos de ciment</t>
  </si>
  <si>
    <t>Changement du capteur de proximité</t>
  </si>
  <si>
    <t>Desserage du support porte détecteurs</t>
  </si>
  <si>
    <t>Resserage du support et nettoyage de la tête de cerclage</t>
  </si>
  <si>
    <t>défaut mécanisme</t>
  </si>
  <si>
    <t>Entretien du mécanisme de synchronisation</t>
  </si>
  <si>
    <t>1H</t>
  </si>
  <si>
    <t>absence de commande</t>
  </si>
  <si>
    <t>Libération du disjoncteur coincé</t>
  </si>
  <si>
    <t>Freinage du devidoir insuffisant</t>
  </si>
  <si>
    <t>Changement du vérin pneumatique et mise en marche</t>
  </si>
  <si>
    <t>Clavetage du vérin endommagé</t>
  </si>
  <si>
    <t>Changement de la calette endommagée</t>
  </si>
  <si>
    <t>Moyeu usé</t>
  </si>
  <si>
    <t>Réparation de la vis sans fin chez tourneur</t>
  </si>
  <si>
    <t>Chute de pression et bruit anormal au niveau de la pompe</t>
  </si>
  <si>
    <t>Démontage et entretien général de la pompe</t>
  </si>
  <si>
    <t>Blocage feuillard</t>
  </si>
  <si>
    <t>Nettoyage du circuit de passage du feuillard</t>
  </si>
  <si>
    <t>Axe principal endommagé</t>
  </si>
  <si>
    <t>Réparation du réducteur chez tourneur</t>
  </si>
  <si>
    <t>Défaut en mode automatique</t>
  </si>
  <si>
    <t>Changement de la partie endommagée du cable</t>
  </si>
  <si>
    <t>Jeu au niveau des masselottes</t>
  </si>
  <si>
    <t>Changement des roulement et arrêt d'huiles  de la table</t>
  </si>
  <si>
    <t>Danseur n3</t>
  </si>
  <si>
    <t>Débouchage du circuit et purge de la pompe</t>
  </si>
  <si>
    <t>Changement de la goupille endommagée</t>
  </si>
  <si>
    <t>Goupille endommagée</t>
  </si>
  <si>
    <t>Guide fil endommagé</t>
  </si>
  <si>
    <t xml:space="preserve">Dressage et soudage </t>
  </si>
  <si>
    <t>motocompresseur endommagé</t>
  </si>
  <si>
    <t>Convoyeur béton</t>
  </si>
  <si>
    <t>le convoyeur patine</t>
  </si>
  <si>
    <t xml:space="preserve">En cours de décision pour Intervention Afric Roulement </t>
  </si>
  <si>
    <t>Moteur lateral HS</t>
  </si>
  <si>
    <t xml:space="preserve">Décalage de la table vibrante </t>
  </si>
  <si>
    <t>Chargement de surface à la soudure</t>
  </si>
  <si>
    <t>Tremie n2</t>
  </si>
  <si>
    <t>PInce</t>
  </si>
  <si>
    <t>Cable electrique endommagé</t>
  </si>
  <si>
    <t>Changement des parties de cable endommagé</t>
  </si>
  <si>
    <t>Disjoncteur HS</t>
  </si>
  <si>
    <t>Changement du disjoncteur endommagé</t>
  </si>
  <si>
    <t xml:space="preserve">Changement de pignon et de la clavette du reducteur </t>
  </si>
  <si>
    <t xml:space="preserve">rupture des boulons </t>
  </si>
  <si>
    <t>Renforcement par soudage de la partie endommagée</t>
  </si>
  <si>
    <t>Cables d'alimentation usés</t>
  </si>
  <si>
    <t xml:space="preserve">Dépannage en attendant reception des chariots porte cable </t>
  </si>
  <si>
    <t>Transformateur n3</t>
  </si>
  <si>
    <t>Echauffement du transformateur</t>
  </si>
  <si>
    <t>Purge du cicuit de refroidissement</t>
  </si>
  <si>
    <t>Rouleau d'avancement</t>
  </si>
  <si>
    <t>Rouleau bloqué</t>
  </si>
  <si>
    <t>Ridelles</t>
  </si>
  <si>
    <t>Panne de ridelle d'empileur</t>
  </si>
  <si>
    <t>Soudage de la partie endommagée</t>
  </si>
  <si>
    <t>Lame de soudure usée</t>
  </si>
  <si>
    <t>Devis en cours de validation</t>
  </si>
  <si>
    <t>Distributeur colmaté</t>
  </si>
  <si>
    <t>Démontage  nettoyage et elimination des morceaux de calcairea</t>
  </si>
  <si>
    <t>Verification des roulement et zoomage des galets</t>
  </si>
  <si>
    <t>Pierre meuleuse usée</t>
  </si>
  <si>
    <t>Changement de la pierre meuleuse</t>
  </si>
  <si>
    <t>Changement de l'arret d'huile endommagée</t>
  </si>
  <si>
    <t>Cassette d4,6</t>
  </si>
  <si>
    <t>poulie bloquée</t>
  </si>
  <si>
    <t>Changement des roulements enommagés</t>
  </si>
  <si>
    <t>Changements des roulements et zoomage des galets</t>
  </si>
  <si>
    <t>Cassette d3,8</t>
  </si>
  <si>
    <t>Chnagement d'un flexible endommagé</t>
  </si>
  <si>
    <t>Changement de la courroie et revision des poulies</t>
  </si>
  <si>
    <t xml:space="preserve">Changement de la courroie </t>
  </si>
  <si>
    <t>Rapport d'incident envoyé a poyatos (en attente de réponse)</t>
  </si>
  <si>
    <t>Rouleaux usé</t>
  </si>
  <si>
    <t>Changement de deux galets de tirage</t>
  </si>
  <si>
    <t>Usure des roulements</t>
  </si>
  <si>
    <t>Contacteur coincé</t>
  </si>
  <si>
    <t>Décoincement du contacteur</t>
  </si>
  <si>
    <t>Changement de deux roulements sur galets guide fil</t>
  </si>
  <si>
    <t>Système de coloration</t>
  </si>
  <si>
    <t>Blocage de la vis du système de coloration</t>
  </si>
  <si>
    <t>Jeu au niveau du bras de danseur</t>
  </si>
  <si>
    <t>Soudage du support et changement des roulements</t>
  </si>
  <si>
    <t>Changements des roulements + zommage</t>
  </si>
  <si>
    <t>Réarmement du disjoncteur principale et élimination d'un mauvais contact</t>
  </si>
  <si>
    <t>Cassette 3,50</t>
  </si>
  <si>
    <t>Diagnostic en cours</t>
  </si>
  <si>
    <t>En cours</t>
  </si>
  <si>
    <t>Entretiten bloc cisaille</t>
  </si>
  <si>
    <t xml:space="preserve">Usure de surface </t>
  </si>
  <si>
    <t xml:space="preserve">Changement des supports du guide + paliers + vérins + tube guide fil  </t>
  </si>
  <si>
    <t>Changement des roulements axes et poulies usés + Courroies
Réparation de la grille d'agitation
Changement des roulements de la pince
Réparation du mécanisme du magasin de palette</t>
  </si>
  <si>
    <t>Défaut de freinage</t>
  </si>
  <si>
    <t>Soudage du raccord endommagé</t>
  </si>
  <si>
    <t>Nettoyage et déblocage du circuit</t>
  </si>
  <si>
    <t>Absence de courroie 2800</t>
  </si>
  <si>
    <t>Montage de la courroie livrée le 13/05/2020</t>
  </si>
  <si>
    <t>Jeu au niveau de la grille d'agitation</t>
  </si>
  <si>
    <t>Réparation du tiroir d'agitation</t>
  </si>
  <si>
    <t>Bloc de dressage</t>
  </si>
  <si>
    <t>Defaut de dressage des fils de chaines</t>
  </si>
  <si>
    <t xml:space="preserve">Démontage et réparation </t>
  </si>
  <si>
    <t>Cassette d3,90</t>
  </si>
  <si>
    <t>Changement de deux roulements endommagés</t>
  </si>
  <si>
    <t>Défaut de surface</t>
  </si>
  <si>
    <t>Surfaçage du cabestan et mise en marche</t>
  </si>
  <si>
    <t>Cassette d3,2</t>
  </si>
  <si>
    <t>panne mécanique</t>
  </si>
  <si>
    <t>Démontage général + changement d'un roulement endommagé et entretien général du mécanisme de vitesse du cabestan</t>
  </si>
  <si>
    <t>Elimination d'un court circuit au niveau du cablage</t>
  </si>
  <si>
    <t>Montage d'un moteur neuf</t>
  </si>
  <si>
    <t>Arbre principale tordu</t>
  </si>
  <si>
    <t>Trou de fixation du cabestan taraudés usés</t>
  </si>
  <si>
    <t>Renouvelement des trous taraudé  montage et mise en marche</t>
  </si>
  <si>
    <t>jeu au niveau de la tete de fixation du sabot</t>
  </si>
  <si>
    <t>Changement de la tete de fixation</t>
  </si>
  <si>
    <t>Défaut d'ajustement des pieds de la table</t>
  </si>
  <si>
    <t>Attente de disponibilité du pont</t>
  </si>
  <si>
    <t>Cassette d4,5</t>
  </si>
  <si>
    <t>Blocage de l'ecrou d'assemblage</t>
  </si>
  <si>
    <t>Démontage et changement de l'ecrou d'assemblage</t>
  </si>
  <si>
    <t>Echauffement du moteur de la savonnierre à cause d'un colmattage de la graisse en poudre</t>
  </si>
  <si>
    <t>Déchargement du reservoir et nettoyage de la savonniere</t>
  </si>
  <si>
    <t>Bobinoire</t>
  </si>
  <si>
    <t>Défaut de tirage du  bobinoire</t>
  </si>
  <si>
    <t>Changement de l'encodeur du bobinoir</t>
  </si>
  <si>
    <t>Defaut de guidage</t>
  </si>
  <si>
    <t>Réglage de l'encodeur et mise en marche</t>
  </si>
  <si>
    <t>Dispositif de tirage</t>
  </si>
  <si>
    <t>Extraction et changement des vis endommagés</t>
  </si>
  <si>
    <t>Courroie 2800 endomm+agée</t>
  </si>
  <si>
    <t>Démontage et changement du deux roulements 32008</t>
  </si>
  <si>
    <t>Table déséquilibrée</t>
  </si>
  <si>
    <t>Cassette d3,20</t>
  </si>
  <si>
    <t>Cassette d3,40</t>
  </si>
  <si>
    <t xml:space="preserve">Ecrou d'assemblage foiré </t>
  </si>
  <si>
    <t>Changement d'ecrou d'assemblage et roulements</t>
  </si>
  <si>
    <t>Changement de pompe hydraulique et mise en marche</t>
  </si>
  <si>
    <t>Probleme de fixation du vérin pneumatique</t>
  </si>
  <si>
    <t>Démontage et changement du support du vérin de soudage</t>
  </si>
  <si>
    <t>Rupture de la courroie d'entrainement</t>
  </si>
  <si>
    <t>Remontage de la courroie et changement d'un roulement 6208</t>
  </si>
  <si>
    <t>Chariot guide fil</t>
  </si>
  <si>
    <t>Changement du chariot guide fil</t>
  </si>
  <si>
    <t>Cassette d4</t>
  </si>
  <si>
    <t>Changement d'un galet endommagé et 4 roulements</t>
  </si>
  <si>
    <t>anomalie sur capteur</t>
  </si>
  <si>
    <t>Arbre d'entrainement cisaillé</t>
  </si>
  <si>
    <t>Changement de l'arbre d'entrainement du bobinoire</t>
  </si>
  <si>
    <t>circuit d'air bouché</t>
  </si>
  <si>
    <t>Cassette d5</t>
  </si>
  <si>
    <t xml:space="preserve">Changement de 3 galets lisse + 6 roulements </t>
  </si>
  <si>
    <t>Cassette d7</t>
  </si>
  <si>
    <t>Changement de 4 roulements</t>
  </si>
  <si>
    <t>Chagement d'un galet et 2 roulements</t>
  </si>
  <si>
    <t>Elimination du blocage et nettoyage du circuit</t>
  </si>
  <si>
    <t xml:space="preserve">milieu poussiéreux </t>
  </si>
  <si>
    <t>Confection de deux cartere et fixation au dessus du moteur d'entrainement</t>
  </si>
  <si>
    <t>Défaut de soudage</t>
  </si>
  <si>
    <t>Changement d'une resistance de soudage + réglage de l'embrayage</t>
  </si>
  <si>
    <t>Resistance HS</t>
  </si>
  <si>
    <t>Changement de la resistance endommagée + reglage de l'embrayage</t>
  </si>
  <si>
    <t>Cornieres deformées</t>
  </si>
  <si>
    <t>Démontage des corniere et dressage des parties déformées</t>
  </si>
  <si>
    <t>Blocage vis à ciment n4</t>
  </si>
  <si>
    <t>Remontage d'un accouplement confectionné chez att - remise en marche de la vis</t>
  </si>
  <si>
    <t>Problème d'allignement convoyeur sortie planche</t>
  </si>
  <si>
    <t>Réglage et mise à niveau du convoyeur + changement du vérin pneumatique de la cerleuse</t>
  </si>
  <si>
    <t>Changement du moteur et mise en marche</t>
  </si>
  <si>
    <t>Réglage du capteur de proximité</t>
  </si>
  <si>
    <t>défaillance de position du capteur de proximité</t>
  </si>
  <si>
    <t xml:space="preserve"> - Rectification de la trappe du malaxeur
- Changement des machoires de la pince
-Graissage des poulies de la table vibrante</t>
  </si>
  <si>
    <t>PB de marche automatique du transbordeur</t>
  </si>
  <si>
    <t>Changement de la borne sortie endommagée de l'automate ( programme)</t>
  </si>
  <si>
    <t>Rupture de la courroie thermosoudable du retourneur</t>
  </si>
  <si>
    <t>Jonction d'une nouvelle courroie thermosoudable</t>
  </si>
  <si>
    <t>Aficheur colorant endommagé</t>
  </si>
  <si>
    <t>Achat en cours</t>
  </si>
  <si>
    <t>Compresseur</t>
  </si>
  <si>
    <t>débit d'eau faible</t>
  </si>
  <si>
    <t>Changement de la prompe et adaptation des canalisations</t>
  </si>
  <si>
    <t>Absence de jet d'adjuvant</t>
  </si>
  <si>
    <t>Changement du clapet antiretour et réglage du temps de démarrage</t>
  </si>
  <si>
    <t>Puit d'alimentation</t>
  </si>
  <si>
    <t>Pompe HS</t>
  </si>
  <si>
    <t>Changement de la pompe à eau immérgée</t>
  </si>
  <si>
    <t>Usure de la chappe du vérin du tiroir ( filetage foiré)</t>
  </si>
  <si>
    <t>Cable moteur endommagé</t>
  </si>
  <si>
    <t>Changement du cable</t>
  </si>
  <si>
    <t>Défaillance du clapet antiretour double effet</t>
  </si>
  <si>
    <t>Changement du clapet</t>
  </si>
  <si>
    <t>Défaillance pompe à eau</t>
  </si>
  <si>
    <t>Changement du contacteur HS</t>
  </si>
  <si>
    <t>Surcharge</t>
  </si>
  <si>
    <t>Changement du disjonteur HS et mise en marche</t>
  </si>
  <si>
    <t xml:space="preserve">Démontage du cabestant pour chargement </t>
  </si>
  <si>
    <t>Démontage du cabestan et chargement de surface</t>
  </si>
  <si>
    <t>Problème sur presse de soudage</t>
  </si>
  <si>
    <t>Réglage du support du porte de soudage</t>
  </si>
  <si>
    <t xml:space="preserve">Attente livraison du cable </t>
  </si>
  <si>
    <t>Tambour principal</t>
  </si>
  <si>
    <t>Problème sur capteur de cisaille</t>
  </si>
  <si>
    <t>Décalage de la table elevatrice</t>
  </si>
  <si>
    <t>blocage au niveau de la pompe</t>
  </si>
  <si>
    <t>Nettoyage du circuit d'air comprimé</t>
  </si>
  <si>
    <t>Jeu sur galet</t>
  </si>
  <si>
    <t>Changement de trois galets lisses + 6roulements + un galet cranté</t>
  </si>
  <si>
    <t>Pompe immergée</t>
  </si>
  <si>
    <t>Axe du réducteur endommagé</t>
  </si>
  <si>
    <t>Changement du réducteur</t>
  </si>
  <si>
    <t>Jeu sur galet de guidage</t>
  </si>
  <si>
    <t>Changement de l'axe du galet + roulements</t>
  </si>
  <si>
    <t>Tige de fixation du réducteur endommagée</t>
  </si>
  <si>
    <t>Changement des tiges de fixation du réducteur</t>
  </si>
  <si>
    <t>Blocage du tiroir au niveau du retour du du vérin</t>
  </si>
  <si>
    <t>Changement de la tôle du tiroir d'agitation</t>
  </si>
  <si>
    <t>Soudage de la partie usée du galet</t>
  </si>
  <si>
    <t>Usure de la bande reflechissante du capteur infrarouge</t>
  </si>
  <si>
    <t>Changement de la bande reflechissante</t>
  </si>
  <si>
    <t>Cercleuse 07</t>
  </si>
  <si>
    <t xml:space="preserve">Commutateur endommagé </t>
  </si>
  <si>
    <t>pousse planche</t>
  </si>
  <si>
    <t>Cable antigiratoire endommagé</t>
  </si>
  <si>
    <t>Changement du cable antigiratoire d6</t>
  </si>
  <si>
    <t>Ciment</t>
  </si>
  <si>
    <t>Blocage de la porte de la bouche</t>
  </si>
  <si>
    <t>Réglage du capteur de position</t>
  </si>
  <si>
    <t>Rouleaux usés</t>
  </si>
  <si>
    <t>Changement de trois rouleaux + changement de la chaine de transmission</t>
  </si>
  <si>
    <t>Grille du tiroir usée</t>
  </si>
  <si>
    <t>Changement de la grille du tioroir</t>
  </si>
  <si>
    <t>Blocage au niveau du circuit du feuillard</t>
  </si>
  <si>
    <t>Nettoyage du circuit et mise en marche</t>
  </si>
  <si>
    <t>Blocage au niveau de la vis à ciment</t>
  </si>
  <si>
    <t>Chute de pression (crépine endomagée</t>
  </si>
  <si>
    <t>Changement de la crépine endommagée</t>
  </si>
  <si>
    <t>Convoyeur planche</t>
  </si>
  <si>
    <t>Changement de la chaine endommagée</t>
  </si>
  <si>
    <t>Changement du vérin ( fuite interne coupelles endommagée)</t>
  </si>
  <si>
    <t>Changement de deux roulements 6206 et 2 arrêt d'huile 45-68-10</t>
  </si>
  <si>
    <t>Pb sur réducteur</t>
  </si>
  <si>
    <t>Galet bloqué</t>
  </si>
  <si>
    <t>Changement d'un roulement 16012</t>
  </si>
  <si>
    <t>Chute de pression Alimention en eau</t>
  </si>
  <si>
    <t>Changment d'un ballon de surpression</t>
  </si>
  <si>
    <t>Fixations de l'embrayage endommagées</t>
  </si>
  <si>
    <t>Extraction des vis taraudage et changemùent des vis</t>
  </si>
  <si>
    <t>Fuite interne au niveau du vérin</t>
  </si>
  <si>
    <t>Changement du vérin et rélasisation d'une demande pour achat du necessaire du vérin</t>
  </si>
  <si>
    <t>Circuit de graisse bouché</t>
  </si>
  <si>
    <t>Came déréglée</t>
  </si>
  <si>
    <t>Galet de dressage endommagé</t>
  </si>
  <si>
    <t>Changement du galet et mise en marche</t>
  </si>
  <si>
    <t>Chute de pression ( accumulateur HS°</t>
  </si>
  <si>
    <t>Changement du comùutateur endommagé</t>
  </si>
  <si>
    <t>Chaangement de  2 roulements NU210 ECP et 1 roulement 6210</t>
  </si>
  <si>
    <t>Réception du porte clavette</t>
  </si>
  <si>
    <t>Montage du porte clavette d'entrainement de l'embrayage et mise en marche</t>
  </si>
  <si>
    <t>Axes d'assemblage usés + roulement bobinoir endommagé</t>
  </si>
  <si>
    <t>Changement des axes et roulement NJ207</t>
  </si>
  <si>
    <t xml:space="preserve">Cassette PR7 </t>
  </si>
  <si>
    <t>Axe plongeur flechi</t>
  </si>
  <si>
    <t>Chariot collecteur usé</t>
  </si>
  <si>
    <t>Changement du chariot collecteur endommagé</t>
  </si>
  <si>
    <t>Commutateur usé</t>
  </si>
  <si>
    <t>Fixation de la presse de soudage foirée</t>
  </si>
  <si>
    <t>Réparation du support de fixation</t>
  </si>
  <si>
    <t>Surface du cabestan usée</t>
  </si>
  <si>
    <t>3j</t>
  </si>
  <si>
    <t>Changement du galet endommagé</t>
  </si>
  <si>
    <t>Changement d'un galet + zoomage</t>
  </si>
  <si>
    <t>Support de couteau cassé</t>
  </si>
  <si>
    <t>Soudage de la patie cassée</t>
  </si>
  <si>
    <t>Fuite interne au niveau du distributeur d'air</t>
  </si>
  <si>
    <t>Changement des joints toriques usés</t>
  </si>
  <si>
    <t>niveau d'huile insuffisant</t>
  </si>
  <si>
    <t>Jeu sur galets de dressage</t>
  </si>
  <si>
    <t>Changement de 2 roulement 6206</t>
  </si>
  <si>
    <t>Changement de 2 roulement NA4900</t>
  </si>
  <si>
    <t>Cassette pr8</t>
  </si>
  <si>
    <t>Arbre hexagonale usé</t>
  </si>
  <si>
    <t>Changement de l'arbre hexagonal confectionné chez Tourneur</t>
  </si>
  <si>
    <t>Changement des tuyaux endommagés</t>
  </si>
  <si>
    <t>Fuite d'huile sur bloc d'entrainement</t>
  </si>
  <si>
    <t>Changement de l'arrêt d'huile endommagée</t>
  </si>
  <si>
    <t>Vérin endommagé</t>
  </si>
  <si>
    <t>Roue d'expulsion endommagée</t>
  </si>
  <si>
    <t>Changement de la roue endommagée</t>
  </si>
  <si>
    <t>Chargement de surface a la soudure</t>
  </si>
  <si>
    <t>Changement de 4 courroies 1850</t>
  </si>
  <si>
    <t>GA55</t>
  </si>
  <si>
    <t>Entretien systèmatique</t>
  </si>
  <si>
    <t>Alimentation refroidisseur</t>
  </si>
  <si>
    <t>Fuile d'huile</t>
  </si>
  <si>
    <t>Panne variateur</t>
  </si>
  <si>
    <t>Changement du variteur en attendant la réception d'un variateur neuf de chez POYATOS</t>
  </si>
  <si>
    <t>Arbre du réducteur SITI endommagé</t>
  </si>
  <si>
    <t>Changement du réducteur et mise en marche</t>
  </si>
  <si>
    <t>Automate</t>
  </si>
  <si>
    <t>Carte DO633 endommagée</t>
  </si>
  <si>
    <t>Changement des cartes endommagées</t>
  </si>
  <si>
    <t>Changement de 4 courroies A38</t>
  </si>
  <si>
    <t>Niveau d'huile insuffisant</t>
  </si>
  <si>
    <t>Convoyeur (??)</t>
  </si>
  <si>
    <t>Courroies usés</t>
  </si>
  <si>
    <t>Changement de 4 courroies A58</t>
  </si>
  <si>
    <t>Fuite d'air (vessie endommagée)</t>
  </si>
  <si>
    <t>GA 22</t>
  </si>
  <si>
    <t>Changement du disjonceteur 80A</t>
  </si>
  <si>
    <t>Changement du fin de course endommgé</t>
  </si>
  <si>
    <t>Changement du commutateur 3position</t>
  </si>
  <si>
    <t>Changement de la alme de soudure + résistance</t>
  </si>
  <si>
    <t xml:space="preserve">Fixation des fiches de connexions endommagée </t>
  </si>
  <si>
    <t>Réajustement et protection du branchement et mise en marche</t>
  </si>
  <si>
    <t>Changement du commutateur</t>
  </si>
  <si>
    <t xml:space="preserve">Changement du cable </t>
  </si>
  <si>
    <t>Blocage au niveau du réducteur (pignon endommagé)</t>
  </si>
  <si>
    <t xml:space="preserve">Changement du réducteur </t>
  </si>
  <si>
    <t>Flector d'accouplement endommagée</t>
  </si>
  <si>
    <t>Changement de l'accouplement ( dépannage en attendant l'arrivée d'un accouplement neuf)</t>
  </si>
  <si>
    <t>Entretien machine</t>
  </si>
  <si>
    <t xml:space="preserve"> - Elimination des fuites sur le groupe hydraulique
 - Changement des tôles du malaxeur
 - Changement de deux Galets de Transbordeur avec axes et pignons
 - Changement d'un tendeur + roulement des poulies de vibration</t>
  </si>
  <si>
    <t>Entretien correctif planifié</t>
  </si>
  <si>
    <t>Bobine de refroidissement endommagée</t>
  </si>
  <si>
    <t xml:space="preserve">Dépannage par union Froid </t>
  </si>
  <si>
    <t>Rotor usé</t>
  </si>
  <si>
    <t>Attente de recpetion du deuxième motocompresseur (cystech)</t>
  </si>
  <si>
    <t>Dates interventions</t>
  </si>
  <si>
    <t>Commutateur de démarrage endommagé</t>
  </si>
  <si>
    <t>Cerleuse</t>
  </si>
  <si>
    <t>pb sur cisaille</t>
  </si>
  <si>
    <t>Changement de deux goupilles et d'une bielle de cerclage</t>
  </si>
  <si>
    <t>Redresseur rebagué chez tourneur</t>
  </si>
  <si>
    <t>Montage du redresseur et mise en marche</t>
  </si>
  <si>
    <t>Pb de commande de levage</t>
  </si>
  <si>
    <t>Changement d'un contacteur LC1D18 220V</t>
  </si>
  <si>
    <t>Chnagement de 2 roulements 32008</t>
  </si>
  <si>
    <t>Cable électrique endommagé</t>
  </si>
  <si>
    <t>Réparation du cable et changement du chariot porte cable</t>
  </si>
  <si>
    <t>changement de l'interrupteur endommagé</t>
  </si>
  <si>
    <t>Capteur de proximité endommagé (mauvaise qualité)</t>
  </si>
  <si>
    <t>Changement du capteur en attendant arrivé de capteurs de bonne qualité</t>
  </si>
  <si>
    <t>Rupture d'une chaine B12</t>
  </si>
  <si>
    <t>Changement d'une attache B12</t>
  </si>
  <si>
    <t>Réducteur agitateur</t>
  </si>
  <si>
    <t>Manque d'huile</t>
  </si>
  <si>
    <t>Rajout d'huile 140</t>
  </si>
  <si>
    <t>GA 37</t>
  </si>
  <si>
    <t>Echauffement anormal du compresseur</t>
  </si>
  <si>
    <t>Rajout d'huile DTE 26</t>
  </si>
  <si>
    <t>Changement de 2 courroies A50</t>
  </si>
  <si>
    <t>Fuite d'air sur vessies pneumatique</t>
  </si>
  <si>
    <t>Changement de 2 prises rapides 10x3/8</t>
  </si>
  <si>
    <t>Pb de commande electrovanne</t>
  </si>
  <si>
    <t>Elimination d'un court circuit et mise en marche</t>
  </si>
  <si>
    <t xml:space="preserve">Panne variateur </t>
  </si>
  <si>
    <t>Reboot du sytème - elimination des erreurs et mise en marche</t>
  </si>
  <si>
    <t>Arrêt à prévoir pour confection  flexible</t>
  </si>
  <si>
    <t>Roulements poulie endommagés</t>
  </si>
  <si>
    <t xml:space="preserve">Changement de deux raccord pneumatique </t>
  </si>
  <si>
    <t>PB de commande du pilon</t>
  </si>
  <si>
    <t>Changement de deux relais OMRON 24AC</t>
  </si>
  <si>
    <t>Changement du cable D6</t>
  </si>
  <si>
    <t>Chnagement d'un galet d37</t>
  </si>
  <si>
    <t>Capteur de proximité HS</t>
  </si>
  <si>
    <t>Changement de deux Capteur de proximité</t>
  </si>
  <si>
    <t>Graisseur</t>
  </si>
  <si>
    <t>Rajout d'huile et changement du filtre</t>
  </si>
  <si>
    <t xml:space="preserve">Changement d'un flexible 3/4 3/4 </t>
  </si>
  <si>
    <t>PB électrique</t>
  </si>
  <si>
    <t>Changement d'un contacteur LC1D18 24V</t>
  </si>
  <si>
    <t>Projecteurs tout le temps allumés</t>
  </si>
  <si>
    <t>mise en place de deux detecteurs de lumiere</t>
  </si>
  <si>
    <t>Changement d'un galet et axe de galet</t>
  </si>
  <si>
    <t>Fuite d'huile au niveau du réducteur</t>
  </si>
  <si>
    <t>Changement d'un arrêt d'huile60x85x10 et roulement 16012 (  et entretien du compresseur GA37)</t>
  </si>
  <si>
    <t>Dépôt de calcaire dans distributeur</t>
  </si>
  <si>
    <t>Changement d'un distributeur festo NE 6420</t>
  </si>
  <si>
    <t>Révison générale</t>
  </si>
  <si>
    <t>Révision générale de la savonniere</t>
  </si>
  <si>
    <t>Changement d'un raccord coudé 1/4 - 8</t>
  </si>
  <si>
    <t>Chnargement de surface à la soudure</t>
  </si>
  <si>
    <t xml:space="preserve"> Cisaille</t>
  </si>
  <si>
    <t>Support de vérin endommagé</t>
  </si>
  <si>
    <t>Frein mécanique endommagé</t>
  </si>
  <si>
    <t>Confection d'un frein d'embrayage</t>
  </si>
  <si>
    <t>Confection en cours</t>
  </si>
  <si>
    <t xml:space="preserve">Disfonctionnement </t>
  </si>
  <si>
    <t>Fuite d'huile sur vérin de vibration</t>
  </si>
  <si>
    <t>Changement du kit joints CL299</t>
  </si>
  <si>
    <t>Changement d'un tuyau armé</t>
  </si>
  <si>
    <t>Moteur en garantie ( en cours de négoiation )</t>
  </si>
  <si>
    <t>Detecteur endommagé</t>
  </si>
  <si>
    <t>Changement de l'electrovanne endomm</t>
  </si>
  <si>
    <t>Changement des galets de dressage</t>
  </si>
  <si>
    <t>Défaut de coupe</t>
  </si>
  <si>
    <t>Changement d'un ressort de rappel et d'un raccord pneumatique</t>
  </si>
  <si>
    <t>Changement de 2 roulements 32008</t>
  </si>
  <si>
    <t>Cassette 5</t>
  </si>
  <si>
    <t xml:space="preserve">Changement d'un flexible d'eau </t>
  </si>
  <si>
    <t>Reflecteur endommagé</t>
  </si>
  <si>
    <t>Changement du reflecteur et mise en marche</t>
  </si>
  <si>
    <t>Changement d'un disque de frein d120</t>
  </si>
  <si>
    <t>Vérin de cisaille</t>
  </si>
  <si>
    <t>Changement d'un distributeur 5-1/4</t>
  </si>
  <si>
    <t>Circuit de graissage</t>
  </si>
  <si>
    <t>Vidange du groupe et changement des filtres A11OC25</t>
  </si>
  <si>
    <t>Palier endommagés</t>
  </si>
  <si>
    <t>Changement des palier de la vis</t>
  </si>
  <si>
    <t>Module de réalimentation HS</t>
  </si>
  <si>
    <t>Mise en place de la nouvelle solution proposée par schlatter</t>
  </si>
  <si>
    <t>Changement du distributeur endommagé</t>
  </si>
  <si>
    <t>Cassete d7</t>
  </si>
  <si>
    <t>Circuit d'eau bouché</t>
  </si>
  <si>
    <t>Support vérin devidoir endommagé</t>
  </si>
  <si>
    <t>Soudage et renforcement du support</t>
  </si>
  <si>
    <t>Isolant en bakelite usé</t>
  </si>
  <si>
    <t>Changement de l'isolant</t>
  </si>
  <si>
    <t>Vidange du réducteur du redresseur</t>
  </si>
  <si>
    <t>Flexible de graisse bouché</t>
  </si>
  <si>
    <t>Débouchage du circuit et mise en marche</t>
  </si>
  <si>
    <t>Changement de l'embrayage</t>
  </si>
  <si>
    <t>Bruit  exessif sur rouleau</t>
  </si>
  <si>
    <t>Changement des paliers du rouleau</t>
  </si>
  <si>
    <t>Chnagment du tuyau et raccords d'air comprimé</t>
  </si>
  <si>
    <t>Cassete d5</t>
  </si>
  <si>
    <t>Changement de deux goupilles d7 - d8</t>
  </si>
  <si>
    <t>Table de cisaille</t>
  </si>
  <si>
    <t>Pb de fixation</t>
  </si>
  <si>
    <t>Changement des vis de fixation de la table</t>
  </si>
  <si>
    <t>Changement d'un raccord d14 endommagé</t>
  </si>
  <si>
    <t>Mamelon usé</t>
  </si>
  <si>
    <t>Changement d'un mamelon</t>
  </si>
  <si>
    <t>Défaut de communication Encodeur Carte-automate</t>
  </si>
  <si>
    <t>Changement d'un cable electrique endommagé</t>
  </si>
  <si>
    <t xml:space="preserve"> Cassette pr5</t>
  </si>
  <si>
    <t>GA22</t>
  </si>
  <si>
    <t>Changement de l'electrovanne de deuxieme pression</t>
  </si>
  <si>
    <t>Pompe hydraulique</t>
  </si>
  <si>
    <t>Changement de l'arrêt d'huile 18-30-7</t>
  </si>
  <si>
    <t>Rénnovation de la cisaille (peinture ,,,)</t>
  </si>
  <si>
    <t>Moteur de convoyeur agrégats</t>
  </si>
  <si>
    <t>Changement de 2 roulement 6305 -6206 endommagé</t>
  </si>
  <si>
    <t>Tête de cercleuse frappant la palette de brique</t>
  </si>
  <si>
    <t>Changement de detecteuret réglage de tête de cercleuse</t>
  </si>
  <si>
    <t xml:space="preserve">Jeu sur cassette </t>
  </si>
  <si>
    <t>changement de 6 roulement</t>
  </si>
  <si>
    <t>freinage au niveau du cabestan (1 et 2 )</t>
  </si>
  <si>
    <t>Changement de garniture et de coupelle</t>
  </si>
  <si>
    <t>Galet du guide fil</t>
  </si>
  <si>
    <t>Problème au niveau du guide fil</t>
  </si>
  <si>
    <t xml:space="preserve">Changement de 2 roulement </t>
  </si>
  <si>
    <t>Problème au niveau du cabestan</t>
  </si>
  <si>
    <t>Cabeston</t>
  </si>
  <si>
    <t>Charge de partie usée</t>
  </si>
  <si>
    <t>4 Galets usés</t>
  </si>
  <si>
    <t>Changement de 4 galets</t>
  </si>
  <si>
    <t>Flexible bouché</t>
  </si>
  <si>
    <t>Débouchage du flexible</t>
  </si>
  <si>
    <t>Fuite d'huile au niveau de la pompe hydraulique</t>
  </si>
  <si>
    <t>Changement d'arret d'huile + joints</t>
  </si>
  <si>
    <t>Changement du palier d'agitation</t>
  </si>
  <si>
    <t>Système d'agitation 510</t>
  </si>
  <si>
    <t>Système de soudage</t>
  </si>
  <si>
    <t>Demontage de 2 transformateurs (Attente de livraison)</t>
  </si>
  <si>
    <t>Confection de 4 electrodes</t>
  </si>
  <si>
    <t>Changement du thyristor</t>
  </si>
  <si>
    <t>Fuite d'air au niveau du circuit</t>
  </si>
  <si>
    <t>Changement de prise rapide et tuyau D8</t>
  </si>
  <si>
    <t>Changement d'embrayage</t>
  </si>
  <si>
    <t>Problème de zoomage au niveau de cassette D3,4</t>
  </si>
  <si>
    <t>Réglage de zoomage</t>
  </si>
  <si>
    <t>Circuit de refroidissement des transformateurs</t>
  </si>
  <si>
    <t>Debouchage de circuit</t>
  </si>
  <si>
    <t xml:space="preserve">Système d'agitation </t>
  </si>
  <si>
    <t>Changement de la chaine B12</t>
  </si>
  <si>
    <t>Changement de prise rapide</t>
  </si>
  <si>
    <t>Changement du contacteur</t>
  </si>
  <si>
    <t>Installation du chariot et du cable d'alimentation</t>
  </si>
  <si>
    <t>Circuit de graisse Cassette D8</t>
  </si>
  <si>
    <t>Changement de clavette</t>
  </si>
  <si>
    <t>Changement de pierre meleuse</t>
  </si>
  <si>
    <t>Demontage et remontage du cabeston et soudage de partie usée</t>
  </si>
  <si>
    <t>Mise à niveau d'huile 90 de groupe de graissage</t>
  </si>
  <si>
    <t>Demontage du cabeston-Soudage de partie usee-Remontage du cabeston</t>
  </si>
  <si>
    <t>Probleme au niveau du reducteur</t>
  </si>
  <si>
    <t>Demontage du reducteur et changement du roulement 6206</t>
  </si>
  <si>
    <t>Vidange de circuit de refroidissement et changement d'eau distillée</t>
  </si>
  <si>
    <t>Vidange d'huile hydaulique 68 sur le groupe hydraulique</t>
  </si>
  <si>
    <t>Came cisaille</t>
  </si>
  <si>
    <t>changement de ressort</t>
  </si>
  <si>
    <t>Changement de bride de fixation</t>
  </si>
  <si>
    <t>2 Roulements endommagés</t>
  </si>
  <si>
    <t>Système de dressage</t>
  </si>
  <si>
    <t>Changement de courroie</t>
  </si>
  <si>
    <t>Confection de deux electrodes de couteau</t>
  </si>
  <si>
    <t>Mauvais zoomage au cassette D3,2</t>
  </si>
  <si>
    <t>Demontage et reglage de cassette</t>
  </si>
  <si>
    <t>Changement d'ecrou</t>
  </si>
  <si>
    <t>Mauvais zoomage au cassette D8</t>
  </si>
  <si>
    <t>Circuit de graissage de cassette D4,8</t>
  </si>
  <si>
    <t>Changement du flexible et du distributeur</t>
  </si>
  <si>
    <t>Moteur de poste soudeur</t>
  </si>
  <si>
    <t>Fuite d'air sur le distributeur</t>
  </si>
  <si>
    <t>Changement des joints et nettoyage du distributeur</t>
  </si>
  <si>
    <t>Montage du galet et motoreducteur - Installation du cable d'alimentation du moteur</t>
  </si>
  <si>
    <t>Fuite d'air au niveau du verin de retourneur</t>
  </si>
  <si>
    <t>Roue codeuse</t>
  </si>
  <si>
    <t>Défaillance d'alimentation 12V</t>
  </si>
  <si>
    <t>Blocage du vérin cercleuse N6</t>
  </si>
  <si>
    <t>Dressage de fixation</t>
  </si>
  <si>
    <t>Serrage des vis</t>
  </si>
  <si>
    <t>Confection de 27 electrodes</t>
  </si>
  <si>
    <t>Fuite d'air au niveau du vérin de cisaille</t>
  </si>
  <si>
    <t xml:space="preserve">Fuite d'huile au niveau du chariot transporteur </t>
  </si>
  <si>
    <t>Changement de nécessaire  et du distributeur</t>
  </si>
  <si>
    <t>Disjoncteur géneral 160A</t>
  </si>
  <si>
    <t>Changement de disjoncteur</t>
  </si>
  <si>
    <t>Problème d'éclairage</t>
  </si>
  <si>
    <t>Changement de lampe et amorçeur</t>
  </si>
  <si>
    <t>Problème au niveau du pilon</t>
  </si>
  <si>
    <t>Changement de détecteur</t>
  </si>
  <si>
    <t xml:space="preserve">Changement de courroie et réglage de calage </t>
  </si>
  <si>
    <t>Défaillance de détecteur de proximité</t>
  </si>
  <si>
    <t>Socle de fixation de cassette</t>
  </si>
  <si>
    <t>Changement d'ecrou M24</t>
  </si>
  <si>
    <t>Fuite d'air au niveau de deplacement de cisaille</t>
  </si>
  <si>
    <t>Changement de deux prises rapides et silencieuse et de kits de joints de distributeur</t>
  </si>
  <si>
    <t>Galet de dressage</t>
  </si>
  <si>
    <t xml:space="preserve">Changement de 2 roulements </t>
  </si>
  <si>
    <t>Circuit de refroidissement de cassette D10</t>
  </si>
  <si>
    <t>Changement de flexible et mamelon</t>
  </si>
  <si>
    <t>Changement de mamelon 1/8</t>
  </si>
  <si>
    <t>Pierre meuleuse emdomagée</t>
  </si>
  <si>
    <t>Changement de circuit et de flexible</t>
  </si>
  <si>
    <t>Jeu sur cassette 3,8 galet lisse</t>
  </si>
  <si>
    <t xml:space="preserve">Changement de galet et axe de fixation </t>
  </si>
  <si>
    <t>Support de fixation de presse</t>
  </si>
  <si>
    <t>Changement du support</t>
  </si>
  <si>
    <t>Soudage de partie usée et dressage du guide fil</t>
  </si>
  <si>
    <t>Vidange d'eau de refroidissement</t>
  </si>
  <si>
    <t>Tambour</t>
  </si>
  <si>
    <t>Changement de roulement</t>
  </si>
  <si>
    <t>Changement de 2 roulements et reglage du zoomage</t>
  </si>
  <si>
    <t>Jeu sur cassette D3,2</t>
  </si>
  <si>
    <t>Fuite d'huile dans le reducteur du malaxeur</t>
  </si>
  <si>
    <t>Attente livraison d'arrêt d'huile</t>
  </si>
  <si>
    <t>Changement de chaîne</t>
  </si>
  <si>
    <t>Circuit de refroidissement D4,8</t>
  </si>
  <si>
    <t>Changement de flexible</t>
  </si>
  <si>
    <t>Nettoyage et réparation du distributeur</t>
  </si>
  <si>
    <t>Circuit d'eau de cassette D3,2</t>
  </si>
  <si>
    <t>Mamelon 1/8" usée</t>
  </si>
  <si>
    <t>circuit d'eau sur cassette D3,2</t>
  </si>
  <si>
    <t>Mamelon 1/8" usée et raccord 1/8" usée</t>
  </si>
  <si>
    <t>Changement d'embout</t>
  </si>
  <si>
    <t>Jeu sur cassette de D9</t>
  </si>
  <si>
    <t>Jeu sur cassette D8</t>
  </si>
  <si>
    <t xml:space="preserve">Demontage de cassette et changement de galet et 4 roulements </t>
  </si>
  <si>
    <t>Jeu sur cassette de D5</t>
  </si>
  <si>
    <t>Demontage de cassete et changement de 2 roulements</t>
  </si>
  <si>
    <t xml:space="preserve">Changement du distributeur </t>
  </si>
  <si>
    <t>Galet PR5 endommagé</t>
  </si>
  <si>
    <t>Changement de galet complet</t>
  </si>
  <si>
    <t>Installation de l'indicateur Alpha C2 du systeme de colorant</t>
  </si>
  <si>
    <t>Changement de cable</t>
  </si>
  <si>
    <t>Changement des jeus de bras et 2 bielles et changement et 2 roulements</t>
  </si>
  <si>
    <t>Cable d'alimentation electrique endommagé</t>
  </si>
  <si>
    <t>Réparation de cable</t>
  </si>
  <si>
    <t>Chaîne B2 simple endommagée sur le système d'agitation</t>
  </si>
  <si>
    <t xml:space="preserve">Changement de chaîne </t>
  </si>
  <si>
    <t>Tapis doseur</t>
  </si>
  <si>
    <t>Besoin en electrode</t>
  </si>
  <si>
    <t>Cassette 3,4</t>
  </si>
  <si>
    <t>Bloc de soudage</t>
  </si>
  <si>
    <t>Chaine b12 endommagée</t>
  </si>
  <si>
    <t>??</t>
  </si>
  <si>
    <t>Clavetage endommagé</t>
  </si>
  <si>
    <t>Pierre meleuse usée</t>
  </si>
  <si>
    <t>Probleme au niveau du cabestan</t>
  </si>
  <si>
    <t>Groupe hydraulique de graissage</t>
  </si>
  <si>
    <t>Blocage de l'ecrou de rassemblage</t>
  </si>
  <si>
    <t>cassette pr8</t>
  </si>
  <si>
    <t>cassette d7</t>
  </si>
  <si>
    <t>Pince ??</t>
  </si>
  <si>
    <t>Vis desserrés</t>
  </si>
  <si>
    <t>Cassette pr10</t>
  </si>
  <si>
    <t>Vidange d'huile DTE26 13l</t>
  </si>
  <si>
    <t>Palettiseur</t>
  </si>
  <si>
    <t>Chaine du convoyeur endomagée</t>
  </si>
  <si>
    <t>=SI(ESTVIDE([@[Date</t>
  </si>
  <si>
    <t>Embout air comprimé endommagé</t>
  </si>
  <si>
    <t>Colorant</t>
  </si>
  <si>
    <t>Absence indicateur Alpha c2</t>
  </si>
  <si>
    <t>jeu sur les bras d'agitation)</t>
  </si>
  <si>
    <t>1j7</t>
  </si>
  <si>
    <t>MTBF</t>
  </si>
  <si>
    <t>Somme de Temps d'arrêts</t>
  </si>
  <si>
    <t>Nombre de Date fin intervention</t>
  </si>
  <si>
    <t>MTTR</t>
  </si>
  <si>
    <t>Disponibilité</t>
  </si>
  <si>
    <t>Jours ouvrables</t>
  </si>
  <si>
    <t>MTBF Cible</t>
  </si>
  <si>
    <t>Disponibilité cible</t>
  </si>
  <si>
    <t>Données:</t>
  </si>
  <si>
    <t>Valeur</t>
  </si>
  <si>
    <t>Valeur cible</t>
  </si>
  <si>
    <t>préventif</t>
  </si>
  <si>
    <t>Correctif</t>
  </si>
  <si>
    <t>Secheurs</t>
  </si>
  <si>
    <t>Compresseurs</t>
  </si>
  <si>
    <t xml:space="preserve">PONT ROULANT Enrobage </t>
  </si>
  <si>
    <t>Ponts roulants</t>
  </si>
  <si>
    <t>Pont roulant Demag 5T TS</t>
  </si>
  <si>
    <t>Poste à Souder</t>
  </si>
  <si>
    <t>Refroidisseurs</t>
  </si>
  <si>
    <t>Nb de poste</t>
  </si>
  <si>
    <t>Cisailles</t>
  </si>
  <si>
    <t>(Plusieurs éléments)</t>
  </si>
  <si>
    <t>Type d'intervention2</t>
  </si>
  <si>
    <t>rupture de courroie 2800 de table vibrante</t>
  </si>
  <si>
    <t>Galet et accouplement endommagés</t>
  </si>
  <si>
    <t>Disributeur HS</t>
  </si>
  <si>
    <t>Soudage de partie usée sur la clavette</t>
  </si>
  <si>
    <t>galet du système de dressage usé</t>
  </si>
  <si>
    <t>Changement du galet</t>
  </si>
  <si>
    <t>Circuit de graissage de cassette D7</t>
  </si>
  <si>
    <t>Circuit de graissage de cassette D5</t>
  </si>
  <si>
    <t>Systeme de transmission de poutrelle</t>
  </si>
  <si>
    <t>Changement de deux pignons</t>
  </si>
  <si>
    <t>Fuite interne au niveau du verin moule</t>
  </si>
  <si>
    <t>Changement du kit joint et changement de chappe</t>
  </si>
  <si>
    <t>Jeu sur cassette D12</t>
  </si>
  <si>
    <t>Changement de 6 roulements et réglage de zoomage</t>
  </si>
  <si>
    <t>Manque d'huile au niveau du reservoir d'huile de refroidissement</t>
  </si>
  <si>
    <t>Mise à niveau  correcte d'huile VP90</t>
  </si>
  <si>
    <t>Changement de 4 lampes et de 4 startaires</t>
  </si>
  <si>
    <t>Fuite d'huile au niveau du verin pilon</t>
  </si>
  <si>
    <t>Installation de deux projecteurs 400W</t>
  </si>
  <si>
    <t>Probleme au niveau de cercleur N8</t>
  </si>
  <si>
    <t>Changement de commutateur</t>
  </si>
  <si>
    <t>Convoyeur d'agregats</t>
  </si>
  <si>
    <t>Changement de deux relais</t>
  </si>
  <si>
    <t>Changement de 2 clavettes</t>
  </si>
  <si>
    <t>Changement de bobine</t>
  </si>
  <si>
    <t>Changement du bielle</t>
  </si>
  <si>
    <t>Système d'agitation</t>
  </si>
  <si>
    <t>Changement de chaine</t>
  </si>
  <si>
    <t>Changement du silent bloc</t>
  </si>
  <si>
    <t>Circuit d'eau sur cassette D9</t>
  </si>
  <si>
    <t>Changement de deux embouts</t>
  </si>
  <si>
    <t>Changement de deux pignons et de deux roulements</t>
  </si>
  <si>
    <t xml:space="preserve">Mise à niveau d'huile sur le groupe hydraulique </t>
  </si>
  <si>
    <t>Manque de phase au niveau du moteur mélangeur</t>
  </si>
  <si>
    <t>Depannage de cable</t>
  </si>
  <si>
    <t>Detecteur de pilon</t>
  </si>
  <si>
    <t>Changement de detecteur</t>
  </si>
  <si>
    <t>Changement de pompe</t>
  </si>
  <si>
    <t>Fuite d'eau sur cassette D3,8</t>
  </si>
  <si>
    <t>Chanegement de raccord coudé</t>
  </si>
  <si>
    <t>Jeu sur cassette D4,6 lisse</t>
  </si>
  <si>
    <t>Changement de 4 roulements et reglage de zoomage</t>
  </si>
  <si>
    <t>Changement de bague</t>
  </si>
  <si>
    <t>Verin de pilon</t>
  </si>
  <si>
    <t>Changement du verin</t>
  </si>
  <si>
    <t>Changement des vis et des ecrous</t>
  </si>
  <si>
    <t xml:space="preserve">Montage de deux transformateurs </t>
  </si>
  <si>
    <t>Débouchage de flexibles du circuit</t>
  </si>
  <si>
    <t>Reglage de calage</t>
  </si>
  <si>
    <t>Changement du tôle</t>
  </si>
  <si>
    <t>Réglage de grille et remise a l'état initial</t>
  </si>
  <si>
    <t>Charge de partie usée par soudage</t>
  </si>
  <si>
    <t>Jeu sur cassette D7 cranté</t>
  </si>
  <si>
    <t>Circuit de graissage de cassette D3,8</t>
  </si>
  <si>
    <t>Surfacage de 4 electrodes</t>
  </si>
  <si>
    <t>Changement de clavette et ressort</t>
  </si>
  <si>
    <t>Système de déplacement de cisaille</t>
  </si>
  <si>
    <t>Changement de distibuteur, du tecalon et du raccord</t>
  </si>
  <si>
    <t xml:space="preserve">Changemement des courroies </t>
  </si>
  <si>
    <t>PB d'accouplement</t>
  </si>
  <si>
    <t>Cassette d12</t>
  </si>
  <si>
    <t>Pignons endommagés</t>
  </si>
  <si>
    <t>presse</t>
  </si>
  <si>
    <t>Eclairage insuffisant</t>
  </si>
  <si>
    <t>Signal de commande absent</t>
  </si>
  <si>
    <t>Pb de coupe</t>
  </si>
  <si>
    <t>Circuit de commande de moteur chariot HS</t>
  </si>
  <si>
    <t>Chaine endommagée</t>
  </si>
  <si>
    <t>Bielle usée</t>
  </si>
  <si>
    <t>Rupture de la chaine</t>
  </si>
  <si>
    <t>Silent bloc du vérin endommagé</t>
  </si>
  <si>
    <t>Cassette d9</t>
  </si>
  <si>
    <t>Cassette d8</t>
  </si>
  <si>
    <t>Clavetage pignons endommagés</t>
  </si>
  <si>
    <t>Transformateurs endommagés</t>
  </si>
  <si>
    <t>Pompe à eau endommagé</t>
  </si>
  <si>
    <t>cassette 4,6</t>
  </si>
  <si>
    <t>tole usée</t>
  </si>
  <si>
    <t>Grille d'agitation décalée</t>
  </si>
  <si>
    <t>Changement de la courroie</t>
  </si>
  <si>
    <t>Rajout d'huile AW68</t>
  </si>
  <si>
    <t>Changement d'un arrêt d'huile 35x62x8 et 2 roulements</t>
  </si>
  <si>
    <t>manque de phase au niveau du moteur montée descente</t>
  </si>
  <si>
    <t>Changement du cable electrique d'alimentation</t>
  </si>
  <si>
    <t>Vis de fixation des tôles décollé</t>
  </si>
  <si>
    <t>débit d'air inssufisant</t>
  </si>
  <si>
    <t>Réglage du débit et mise en marche</t>
  </si>
  <si>
    <t>Colorant colmaté au niveau de la vis</t>
  </si>
  <si>
    <t>Dégagement du colematage et mise en marche</t>
  </si>
  <si>
    <t>Convoyeur déchargeur</t>
  </si>
  <si>
    <t>Changement de la  partie endommagée de la chaine</t>
  </si>
  <si>
    <t>Niveau d'huile inssufisant</t>
  </si>
  <si>
    <t>Rajout d'huile DTE26</t>
  </si>
  <si>
    <t>Pied de malaxeur usé</t>
  </si>
  <si>
    <t>Changement des pale de pates</t>
  </si>
  <si>
    <t>Manque de phase au niveau du moteur de la table</t>
  </si>
  <si>
    <t>Cisaille usée</t>
  </si>
  <si>
    <t>Changement de la pince et couteau de cisaille</t>
  </si>
  <si>
    <t>Sonde endommagée</t>
  </si>
  <si>
    <t>Changement de la tige de la sonde</t>
  </si>
  <si>
    <t>Changement du cable cable antigiratoire D16 / et réducteur</t>
  </si>
  <si>
    <t>Klaxon endommagé</t>
  </si>
  <si>
    <t>Changement du klaxon</t>
  </si>
  <si>
    <t>Pompe à eau faible</t>
  </si>
  <si>
    <t>Changement de la pompe et des canalisation</t>
  </si>
  <si>
    <t>Soudage et renforcement du cadre</t>
  </si>
  <si>
    <t>Changement de courroie thermosoudable</t>
  </si>
  <si>
    <t>Changement du cadre ressorts et grille d'agitation</t>
  </si>
  <si>
    <t>ELKON 2</t>
  </si>
  <si>
    <t>Fosse</t>
  </si>
  <si>
    <t>Courroie de convoyeur d'agregats usées</t>
  </si>
  <si>
    <t>Circuit de graissage cassette bouché</t>
  </si>
  <si>
    <t>Confection des electrodes</t>
  </si>
  <si>
    <t>Panne sur bobinoir</t>
  </si>
  <si>
    <t>Changement de 4 tiges blocage bobinoir avec les creus en cuivre</t>
  </si>
  <si>
    <t>Reglage de pince / Nettoyage de la plaque fixe et mobile</t>
  </si>
  <si>
    <t>Charge les bras de guide fil</t>
  </si>
  <si>
    <t>Perçage des electrodes</t>
  </si>
  <si>
    <t>Panne de distributeur</t>
  </si>
  <si>
    <t>Changement de distributeur</t>
  </si>
  <si>
    <t>Changement de 6 roulements/changement de flexible/Reglage de zoomage</t>
  </si>
  <si>
    <t>Systeme de redressement</t>
  </si>
  <si>
    <t>Cassette D3,2</t>
  </si>
  <si>
    <t>Changement de deux roulements et changement de flexible</t>
  </si>
  <si>
    <t>Fraisage des electrodes</t>
  </si>
  <si>
    <t>Panne de refroidissement</t>
  </si>
  <si>
    <t>changement de moteur de refroidissement</t>
  </si>
  <si>
    <t>Decalage du niveau des planches</t>
  </si>
  <si>
    <t>Demontage de la chaine/Dressage du pignon tendeur/Mise a niveau des 2 chaines et changement des pales de pates</t>
  </si>
  <si>
    <t>Fixation sur le verin d'empileur</t>
  </si>
  <si>
    <t>Soudage du support</t>
  </si>
  <si>
    <t>Panne de soudage</t>
  </si>
  <si>
    <t>Rectification des electrodes</t>
  </si>
  <si>
    <t>Probleme sur vis de colorant</t>
  </si>
  <si>
    <t>demontage et soudage de la vis/Remontage et mise a nieau du systeme de colorant</t>
  </si>
  <si>
    <t>fuite au niveau du circuit d'air</t>
  </si>
  <si>
    <t>Corection du niveau d'huile sur le G.H</t>
  </si>
  <si>
    <t>Tir-fil</t>
  </si>
  <si>
    <t>Panne au niveau tir-fil</t>
  </si>
  <si>
    <t>Systeme de tirage</t>
  </si>
  <si>
    <t>Verin de pince/verin de chariot</t>
  </si>
  <si>
    <t>Changement de flexible de verin</t>
  </si>
  <si>
    <t>Fissure sur grille d'agitation</t>
  </si>
  <si>
    <t>Soudage de la grille</t>
  </si>
  <si>
    <t>Cassette D9</t>
  </si>
  <si>
    <t>Jeu sur cassette D9</t>
  </si>
  <si>
    <t>Changement de galet et reglage de zoomage</t>
  </si>
  <si>
    <t>Usure sur tole de revetement  malaxeur</t>
  </si>
  <si>
    <t>Changement de tole de revetement interieur /changement du silent bloc/Mise a niveau des pales de patte</t>
  </si>
  <si>
    <t>Moteur de translation</t>
  </si>
  <si>
    <t xml:space="preserve">Changement de courroie </t>
  </si>
  <si>
    <t>Moteur elevateur</t>
  </si>
  <si>
    <t>Changement de 2 contacteurs</t>
  </si>
  <si>
    <t>blocage du feuillard dans le circuit</t>
  </si>
  <si>
    <t>Demontage du mecanisme et extraction du morceau</t>
  </si>
  <si>
    <t>jeu sur cassette D12</t>
  </si>
  <si>
    <t>Changement de 3 galets crantés et reglage de zoomage</t>
  </si>
  <si>
    <t>Fissure au niveau du tiroir d'agitation</t>
  </si>
  <si>
    <t>Chanfreinage de partie de soudure et mise en place de la grille apres soudure</t>
  </si>
  <si>
    <t>probleme au niveau du reducteur de transbordeur</t>
  </si>
  <si>
    <t>Demontage et changement de la tige</t>
  </si>
  <si>
    <t>Panne sur cassette D3,4</t>
  </si>
  <si>
    <t>Changement de deux roulements 32008 et axe de galet</t>
  </si>
  <si>
    <t>Cassette D10</t>
  </si>
  <si>
    <t>Panne sur cassette D10</t>
  </si>
  <si>
    <t>Changement de deux roulements et reglage de zoomage</t>
  </si>
  <si>
    <t>Jeu sur trappe malaxeur</t>
  </si>
  <si>
    <t>Demontage et changement de la tole du trappe/Remise en marche du malaxeur</t>
  </si>
  <si>
    <t>Rupture de chaine descendeur</t>
  </si>
  <si>
    <t>Detension de la chaine/Attachement par vis M12x80</t>
  </si>
  <si>
    <t>Pompe d'eau</t>
  </si>
  <si>
    <t xml:space="preserve">Purge de pompe </t>
  </si>
  <si>
    <t xml:space="preserve">Changement de 4 goupies </t>
  </si>
  <si>
    <t>Railles du transbordeur</t>
  </si>
  <si>
    <t>Mise a niveau et renforcement par calle/Soudage/Revetement du sol par beton</t>
  </si>
  <si>
    <t>Panne sur savonniere</t>
  </si>
  <si>
    <t xml:space="preserve">demontage de la savonniere pour revetement et elimination de la fuite </t>
  </si>
  <si>
    <t>Extraction du vis/Perçage et taraudage du support/changement de vis</t>
  </si>
  <si>
    <t>Pompe d'eau du malaxeur</t>
  </si>
  <si>
    <t>Soudage de partie usée</t>
  </si>
  <si>
    <t>renforcement des pats par soudage</t>
  </si>
  <si>
    <t>Fissure au niveau de la tole de table vibrante</t>
  </si>
  <si>
    <t>Soudage de partie fissurée</t>
  </si>
  <si>
    <t>Encodeur endommage</t>
  </si>
  <si>
    <t>tester l'encodeur de TEUREMA 2 sur TEUREMA 3</t>
  </si>
  <si>
    <t>Centrage de roulement et elimination de jeu</t>
  </si>
  <si>
    <t xml:space="preserve">Defaillance de maintien de feuillard </t>
  </si>
  <si>
    <t>Reglage de tete et serrage des molettes de maintien/Nettoyage de lame de soudage</t>
  </si>
  <si>
    <t>Dereglage de chaine de descenceur</t>
  </si>
  <si>
    <t>Reglage de chaine et mise a niveau correct</t>
  </si>
  <si>
    <t>Montage de vibreur de ciment</t>
  </si>
  <si>
    <t>Cable antigiratoire coupe</t>
  </si>
  <si>
    <t>Elimination de partie bouchee/Sertissage du cable et remontage</t>
  </si>
  <si>
    <t>usure de 6 roulements 32008</t>
  </si>
  <si>
    <t>Changement de 6 roulements et moyau/Reglage de zoomage</t>
  </si>
  <si>
    <t>Cassette D6</t>
  </si>
  <si>
    <t>Flexible d'eau bouche</t>
  </si>
  <si>
    <t>Debouchage de flexible</t>
  </si>
  <si>
    <t>Fixation de verin endommage</t>
  </si>
  <si>
    <t>Changement de fixation</t>
  </si>
  <si>
    <t>Revision et controle du circuit de refroidissement du transformateur et controle de l'etat des plots de contatct de soudage</t>
  </si>
  <si>
    <t>Changement de place du transformateur T6 pour eviter l'endommagement de T4</t>
  </si>
  <si>
    <t>Circuit d'eau cassette D3,2</t>
  </si>
  <si>
    <t>2 flexibles endommages</t>
  </si>
  <si>
    <t>2eme vitesse du moteur chariot ne fonctionne pas(fil de cable commande coupé)</t>
  </si>
  <si>
    <t>Reparation du fil(Depannage) / Attente de livraison de cable commande</t>
  </si>
  <si>
    <t>Dereglage de raille de guide fil</t>
  </si>
  <si>
    <t>Reglage de raille</t>
  </si>
  <si>
    <t>Changement de galet</t>
  </si>
  <si>
    <t>Support de rail endommage (probleme d'alignement des rails)</t>
  </si>
  <si>
    <t>Changement de support</t>
  </si>
  <si>
    <t>Fuite d'huile au niveau du compresseur(Flexible endommage)</t>
  </si>
  <si>
    <t>Attente de livraison du flexible/ Mise a niveau d'huile DTE 26</t>
  </si>
  <si>
    <t>Séparateur</t>
  </si>
  <si>
    <t>Vitari 1</t>
  </si>
  <si>
    <t>Vitari 2</t>
  </si>
  <si>
    <t>Vitari 3</t>
  </si>
  <si>
    <t xml:space="preserve">Béton </t>
  </si>
  <si>
    <t>Objectif</t>
  </si>
  <si>
    <t>∑ temps d'arrêts</t>
  </si>
  <si>
    <t>Nb d'arrêt</t>
  </si>
  <si>
    <t>Nbre de poste</t>
  </si>
  <si>
    <t>Code Machine</t>
  </si>
  <si>
    <t xml:space="preserve"> </t>
  </si>
  <si>
    <t>Surcharge sur le transformateur T4</t>
  </si>
  <si>
    <t>Changement du transformateur T3</t>
  </si>
  <si>
    <t>Transformateurs endommagés T3</t>
  </si>
  <si>
    <t>N°Fiche d'intervention</t>
  </si>
  <si>
    <t>Jeu sur cassette/Usure de 4 roulements 32008</t>
  </si>
  <si>
    <t>Changement de 4 roulements/Zoomage et remontage de cassette</t>
  </si>
  <si>
    <t>Chaine endomagée</t>
  </si>
  <si>
    <t>Réducteur endommagé(Tapis beton)</t>
  </si>
  <si>
    <t>Changement du réducteur/Attente livraison du reducteur endommagé</t>
  </si>
  <si>
    <t>Chape endommagé au niveau du vérin</t>
  </si>
  <si>
    <t>Changement de chape</t>
  </si>
  <si>
    <t xml:space="preserve">Changement du tuyeau </t>
  </si>
  <si>
    <t>Dereglage de pression d'air</t>
  </si>
  <si>
    <t>Reglage de pression</t>
  </si>
  <si>
    <t>Surchaufage au niveau du systeme de soudage</t>
  </si>
  <si>
    <t>Surfacage des ponts de soudage</t>
  </si>
  <si>
    <t>Fils de cable d'alimentation coupé</t>
  </si>
  <si>
    <t>Reparation des fils/Attente livraison de cable</t>
  </si>
  <si>
    <t>Dereglage de temperature</t>
  </si>
  <si>
    <t>Reglage de temperature</t>
  </si>
  <si>
    <t>usure au niveau des bagues d'isolation d'électrode</t>
  </si>
  <si>
    <t>Changement de 4 bagues</t>
  </si>
  <si>
    <t>Moteur d'agitation</t>
  </si>
  <si>
    <t>Changement du moteur/ Demontage et remontage du nouveau moteur</t>
  </si>
  <si>
    <t xml:space="preserve">Commande </t>
  </si>
  <si>
    <t xml:space="preserve">Fil coupé dans la boite de commande </t>
  </si>
  <si>
    <t>Reparation du cable</t>
  </si>
  <si>
    <t>Defaillance de reducteur du transbordeur</t>
  </si>
  <si>
    <t>Changement du reducteur</t>
  </si>
  <si>
    <t xml:space="preserve">Fuite d'eau au niveau de la pompe </t>
  </si>
  <si>
    <t>Changement du presse-étoupe endommagée</t>
  </si>
  <si>
    <t>Boite a commande</t>
  </si>
  <si>
    <t xml:space="preserve">Cables d'alimentation de la commande coupés </t>
  </si>
  <si>
    <t xml:space="preserve">Reparation des cables de a commande </t>
  </si>
  <si>
    <t xml:space="preserve">Jeu sur galet de redresseur </t>
  </si>
  <si>
    <t>Changement de 2 roulements</t>
  </si>
  <si>
    <t xml:space="preserve">Cuircuit de refroidissement </t>
  </si>
  <si>
    <t xml:space="preserve">Pompe d'eau endommagé </t>
  </si>
  <si>
    <t>Installation d'une nouvelle pompe de refroidissement Pegasus</t>
  </si>
  <si>
    <t xml:space="preserve">Pompe endommagée </t>
  </si>
  <si>
    <t xml:space="preserve">Changement de la pompe/modification de la canalisation d'eau </t>
  </si>
  <si>
    <t>Molette grippé(Blocage du feuillard sur la cercleurse N8</t>
  </si>
  <si>
    <t>Deblocage de molette/Remise de la chaine en marche</t>
  </si>
  <si>
    <t>Chariot collecteur endommagé</t>
  </si>
  <si>
    <t>Vis de fixation (porte electrode ) cassé</t>
  </si>
  <si>
    <t xml:space="preserve">Extraction du vis/changement de vis </t>
  </si>
  <si>
    <t>Support de presse de soudage endommagé</t>
  </si>
  <si>
    <t>Desserage de tendeur de chaine</t>
  </si>
  <si>
    <t>Reglage de chaine/serrage du tendeur</t>
  </si>
  <si>
    <t xml:space="preserve">Table du vibreur </t>
  </si>
  <si>
    <t>Table de vibreur usée</t>
  </si>
  <si>
    <t>Reparation du cable et mise de pince en marche</t>
  </si>
  <si>
    <t>Axe de pompe usé</t>
  </si>
  <si>
    <t>Changement de pompe/Mofification de canalisation d'eau</t>
  </si>
  <si>
    <t>Fin duree de vie de courroie tapis</t>
  </si>
  <si>
    <t>Changement de courroie B63</t>
  </si>
  <si>
    <t xml:space="preserve">Soudage </t>
  </si>
  <si>
    <t>Vis de fixation du plot de contact cassé</t>
  </si>
  <si>
    <t xml:space="preserve">Probleme au niveau de la commande du vibreur </t>
  </si>
  <si>
    <t>Courroie 1570 coupée</t>
  </si>
  <si>
    <t>Coupure de 2 courroie thermosoudable</t>
  </si>
  <si>
    <t>Changement de 2 courroies endommagée et soudage</t>
  </si>
  <si>
    <t>Clavetage</t>
  </si>
  <si>
    <t xml:space="preserve">Changement clavette </t>
  </si>
  <si>
    <t xml:space="preserve">Balance </t>
  </si>
  <si>
    <t xml:space="preserve">Mauvais fonctionnement de la balance </t>
  </si>
  <si>
    <t>Changement du vis de fixation et reparation du cable</t>
  </si>
  <si>
    <t>Deux cables de commande en contact</t>
  </si>
  <si>
    <t>Isolation de deux cables</t>
  </si>
  <si>
    <t xml:space="preserve">Circuit de graisssage bouché </t>
  </si>
  <si>
    <t>Blocage du distributeur et filtre d'air</t>
  </si>
  <si>
    <t xml:space="preserve">Changement du joint usée et deblocage du distributeur </t>
  </si>
  <si>
    <t>Probleme au niveau de l'installation du circuit de commande de verin colorant</t>
  </si>
  <si>
    <t>Montage de distributeur et electrovanne/Installation de canalisaton/debouchage du verin pneumatique</t>
  </si>
  <si>
    <t>Mauvais fixation du guide fil</t>
  </si>
  <si>
    <t xml:space="preserve">Extraction de 2 vis cassés/changement de vis </t>
  </si>
  <si>
    <t>La porte du ciment ne s'ouvre pas</t>
  </si>
  <si>
    <t>mauvais contact sur la switch de commande de butterfly valve</t>
  </si>
  <si>
    <t>Tuyau d'air endommagé</t>
  </si>
  <si>
    <t>Bielle cassée</t>
  </si>
  <si>
    <t>Changement de la bielle cassée</t>
  </si>
  <si>
    <t>Reglage de capteur de poids</t>
  </si>
  <si>
    <t xml:space="preserve">Fuite d'huile au niveau de verin du tiroir </t>
  </si>
  <si>
    <t>Durcissement de ciment dans le vis</t>
  </si>
  <si>
    <t>Deblocage de vis</t>
  </si>
  <si>
    <t>Circuit de graissange bouché</t>
  </si>
  <si>
    <t xml:space="preserve">Chariot </t>
  </si>
  <si>
    <t>Pignons de transmission usés</t>
  </si>
  <si>
    <t xml:space="preserve">Démontage </t>
  </si>
  <si>
    <t>Démontage/attente des nouveaux pignons</t>
  </si>
  <si>
    <t>usure de 2 roulements 32008</t>
  </si>
  <si>
    <t>Verrin de griffe</t>
  </si>
  <si>
    <t>Blocage du verrin de griffe</t>
  </si>
  <si>
    <t>Changement des joints</t>
  </si>
  <si>
    <t xml:space="preserve">Electrode </t>
  </si>
  <si>
    <t xml:space="preserve">Vis cassé dans l'electrode de soudage </t>
  </si>
  <si>
    <t>Clavette d'accouplement et pignon usé</t>
  </si>
  <si>
    <t xml:space="preserve">Chanegement de clavette et pignon </t>
  </si>
  <si>
    <t xml:space="preserve">Jeu sur le suppor de presse soudage </t>
  </si>
  <si>
    <t>Decalage du photo-collecteur</t>
  </si>
  <si>
    <t xml:space="preserve">Reglage et remise a marche  </t>
  </si>
  <si>
    <t>Probleme au niveau du detecteur de cisaille , pignon usé</t>
  </si>
  <si>
    <t xml:space="preserve">Fuite d'huile au niveau du pince </t>
  </si>
  <si>
    <t xml:space="preserve">Jeu sur la cassette </t>
  </si>
  <si>
    <t xml:space="preserve">Demontage de cassette /changement des roulement /Remontage zoomage /Changement flexible </t>
  </si>
  <si>
    <t xml:space="preserve">Usure sur la surface du cabeston </t>
  </si>
  <si>
    <t xml:space="preserve">Presse béton </t>
  </si>
  <si>
    <t xml:space="preserve">Fixation de goulotte </t>
  </si>
  <si>
    <t>Prise rapide endommage et raccord flexible endommagé</t>
  </si>
  <si>
    <t>Changement prise rapide et serrage des raccords</t>
  </si>
  <si>
    <t>Cable de commande endommagé</t>
  </si>
  <si>
    <t xml:space="preserve">Usure des galets du chariot </t>
  </si>
  <si>
    <t xml:space="preserve">Montage </t>
  </si>
  <si>
    <t xml:space="preserve">Montage des nouveaux galets/installation du cable d'alimentation </t>
  </si>
  <si>
    <t xml:space="preserve">Demontage de cassette /changement des roulement /Remontage zoomage </t>
  </si>
  <si>
    <t xml:space="preserve">Chemin roulant </t>
  </si>
  <si>
    <t>Mauvais fonctionnement du capteur</t>
  </si>
  <si>
    <t>Changement du capteur et reglage photo cellule</t>
  </si>
  <si>
    <t>usure de fixation du support presse de soudage</t>
  </si>
  <si>
    <t xml:space="preserve">Systeme d'avancement </t>
  </si>
  <si>
    <t>Serre clipse endommagé</t>
  </si>
  <si>
    <t>Changement du serre clipse et remontage d'axe</t>
  </si>
  <si>
    <t>Réducteur du transbordeur endommagé</t>
  </si>
  <si>
    <t xml:space="preserve">Changement du reducteur endommagé </t>
  </si>
  <si>
    <t>Cable de la commande arraché</t>
  </si>
  <si>
    <t>Fixation du cable</t>
  </si>
  <si>
    <t xml:space="preserve">2 vis cassés au niveau du chariot support </t>
  </si>
  <si>
    <t>Reducteur pince endommagé</t>
  </si>
  <si>
    <t>Changement du reducteur et reparation du reducteur endommagé</t>
  </si>
  <si>
    <t>Coupure de 2 courroies G22</t>
  </si>
  <si>
    <t>Changement des 2 courroies</t>
  </si>
  <si>
    <t>Vis cassé dans la chaine du descenseur</t>
  </si>
  <si>
    <t>Changement du vis cassé</t>
  </si>
  <si>
    <t xml:space="preserve">Fixation du cable de la commande </t>
  </si>
  <si>
    <t>Fuite d'eau au niveau de l'axe du galet</t>
  </si>
  <si>
    <t xml:space="preserve">Changement d'axe et remontage de la cassette </t>
  </si>
  <si>
    <t>Vis bloqué a cause du surchauffage</t>
  </si>
  <si>
    <t xml:space="preserve">Silos n°6 </t>
  </si>
  <si>
    <t xml:space="preserve">Reducteur et moteur endommagé </t>
  </si>
  <si>
    <t xml:space="preserve">Changement du moteur et du réducteur </t>
  </si>
  <si>
    <t>Changement mamlo 1/4x10</t>
  </si>
  <si>
    <t xml:space="preserve">Changement prise rapide </t>
  </si>
  <si>
    <t xml:space="preserve">Mauvaise fixation du frein du moteur </t>
  </si>
  <si>
    <t xml:space="preserve">Changement de fixation </t>
  </si>
  <si>
    <t xml:space="preserve">Coupure du cable antigiratoire </t>
  </si>
  <si>
    <t xml:space="preserve">Changement du cable antigiratoire </t>
  </si>
  <si>
    <t>Support de galet d'empileur cassé</t>
  </si>
  <si>
    <t xml:space="preserve">Soudage de la partie cassé du support et remontage du support </t>
  </si>
  <si>
    <t xml:space="preserve">Systeme pneumatique </t>
  </si>
  <si>
    <t>Installation du pulverisateur et modification de la fixation</t>
  </si>
  <si>
    <t xml:space="preserve">Moule ventouse </t>
  </si>
  <si>
    <t xml:space="preserve">Changement manometre </t>
  </si>
  <si>
    <t xml:space="preserve">Systeme de lévage </t>
  </si>
  <si>
    <t>Elingue de lévage/maillon d'assemblage usé</t>
  </si>
  <si>
    <t xml:space="preserve">Changement de maillon </t>
  </si>
  <si>
    <t>2 roulements 32008 usés</t>
  </si>
  <si>
    <t xml:space="preserve">Demontage de la cassette/changement de roulements/zoomage et remontage </t>
  </si>
  <si>
    <t>Poulie</t>
  </si>
  <si>
    <t>Usure de la gorge de la polie</t>
  </si>
  <si>
    <t>Changement de la poulie</t>
  </si>
  <si>
    <t>Automates</t>
  </si>
  <si>
    <t>Modules d'automates endommagé</t>
  </si>
  <si>
    <t>changement des modules de l'automate</t>
  </si>
  <si>
    <t>Assistance de production</t>
  </si>
  <si>
    <t xml:space="preserve">Assistance </t>
  </si>
  <si>
    <t>Controle de la temperature du frigo</t>
  </si>
  <si>
    <t>Chariot guide-fil endommagé</t>
  </si>
  <si>
    <t>Pompe</t>
  </si>
  <si>
    <t xml:space="preserve">Mauvais fonctionnement de la pompe </t>
  </si>
  <si>
    <t xml:space="preserve">Pompe </t>
  </si>
  <si>
    <t>Tige du tendeur de la cisaille endommagé</t>
  </si>
  <si>
    <t>Changement de la tige et reglage de la cisaille</t>
  </si>
  <si>
    <t>Axe de rouleau usé</t>
  </si>
  <si>
    <t>Changement d'axe et remontage du rouleau</t>
  </si>
  <si>
    <t xml:space="preserve">Probleme au niveau du frein du moteur descenseur </t>
  </si>
  <si>
    <t xml:space="preserve">changement du disque </t>
  </si>
  <si>
    <t xml:space="preserve">Réducteur </t>
  </si>
  <si>
    <t>Vis cassées</t>
  </si>
  <si>
    <t xml:space="preserve">changement des vis </t>
  </si>
  <si>
    <t>Cable antigiratoire coupé</t>
  </si>
  <si>
    <t>changement du cable</t>
  </si>
  <si>
    <t>2 courroies thermo usées</t>
  </si>
  <si>
    <t>Changement de 3 pales de patte</t>
  </si>
  <si>
    <t>Presse étoupe de la pompe d'eau usée</t>
  </si>
  <si>
    <t>Presse etoupe usée</t>
  </si>
  <si>
    <t xml:space="preserve">Démontage de la pompe/attente de reparation de la pompe </t>
  </si>
  <si>
    <t>Cable de puissance coupé</t>
  </si>
  <si>
    <t xml:space="preserve">Dépannage du cable et chagement de la cosse </t>
  </si>
  <si>
    <t>Dereglage du débit du vérin</t>
  </si>
  <si>
    <t xml:space="preserve">Réglage du débit </t>
  </si>
  <si>
    <t xml:space="preserve">Silent bloc </t>
  </si>
  <si>
    <t>Silent bloc du moule endommagé</t>
  </si>
  <si>
    <t>Changement de 4 silent bloc</t>
  </si>
  <si>
    <t>Courroie 2008 coupée</t>
  </si>
  <si>
    <t xml:space="preserve">Changement de la courroie et reglage de calage </t>
  </si>
  <si>
    <t>Jeu sur cassette/Usure de 2 roulements 32008</t>
  </si>
  <si>
    <t>Pince cisaille</t>
  </si>
  <si>
    <t>Probleme au niveau du pince de la cisaille / roulement 6004 endommagé</t>
  </si>
  <si>
    <t>Mise a niveau de l'huile 68 et 90 sur tout les groupes hydraulique</t>
  </si>
  <si>
    <t>Réctification</t>
  </si>
  <si>
    <t>Pierre  meuleuse endommagé</t>
  </si>
  <si>
    <t xml:space="preserve">Tige M14 cassée au niveau du guide fil </t>
  </si>
  <si>
    <t>Changement de la tige et d'ecrou</t>
  </si>
  <si>
    <t>Clé à choc</t>
  </si>
  <si>
    <t xml:space="preserve">Changement du prise rapide et verification du circuit d'air </t>
  </si>
  <si>
    <t>Compresseure GA22</t>
  </si>
  <si>
    <t>Courroie coupé</t>
  </si>
  <si>
    <t>Changement du compresseur /  réparation du compresseur</t>
  </si>
  <si>
    <t>Cadre glissant et grille d'agitation</t>
  </si>
  <si>
    <t>Usure du cadre glissant / grille endommagé</t>
  </si>
  <si>
    <t>Changement du cadre/grille/ ressort du tiroir</t>
  </si>
  <si>
    <t xml:space="preserve">Mal fonctionnement de fin de course du pousse planche </t>
  </si>
  <si>
    <t>Manométre endommagé</t>
  </si>
  <si>
    <t>Installation</t>
  </si>
  <si>
    <t>Installation du manométre de la venteuse / verin pousse planche</t>
  </si>
  <si>
    <t>Entretien complet de la cassette d5</t>
  </si>
  <si>
    <t xml:space="preserve">Rénnovation </t>
  </si>
  <si>
    <t xml:space="preserve">Changement du support/demontage et nettoyage /verification/peinture/remontage </t>
  </si>
  <si>
    <t>Frigo</t>
  </si>
  <si>
    <t xml:space="preserve">Installation du frigo </t>
  </si>
  <si>
    <t>Installation du frigo et branchement du cable d'alimentation</t>
  </si>
  <si>
    <t>Courroie 1760</t>
  </si>
  <si>
    <t>Courroie1760 coupé</t>
  </si>
  <si>
    <t>Changement de la courroie 1760 / changement de 2 roulements</t>
  </si>
  <si>
    <t>3 courroies usées</t>
  </si>
  <si>
    <t>Changement des courroies</t>
  </si>
  <si>
    <t>Agitateur</t>
  </si>
  <si>
    <t>Flexible d'huile endommagé</t>
  </si>
  <si>
    <t>Changement du flexible / remise a niveau de l'huile 68</t>
  </si>
  <si>
    <t>Presse soudage</t>
  </si>
  <si>
    <t>Probleme au niveau de la presse de soudage</t>
  </si>
  <si>
    <t>Reparation</t>
  </si>
  <si>
    <t>Flexible de graissage endommagé et embout+raccord usé</t>
  </si>
  <si>
    <t>Changement du raccord / embout /flexible</t>
  </si>
  <si>
    <t>Tendeur</t>
  </si>
  <si>
    <t>Vis tendeur cassé</t>
  </si>
  <si>
    <t>Usure de 2 roulements 6000</t>
  </si>
  <si>
    <t>Ejecteur trame</t>
  </si>
  <si>
    <t xml:space="preserve">Echappe du verin </t>
  </si>
  <si>
    <t xml:space="preserve">Changement de l'echappe du verin </t>
  </si>
  <si>
    <t>Usure de 4 roulements 32008</t>
  </si>
  <si>
    <t>Levier usé</t>
  </si>
  <si>
    <t>Changement du levier</t>
  </si>
  <si>
    <t>Moteur cisaille endommagé</t>
  </si>
  <si>
    <t>Moteur cisaille</t>
  </si>
  <si>
    <t>Demontage/rebobinage/installation du moteur</t>
  </si>
  <si>
    <t/>
  </si>
  <si>
    <t>_</t>
  </si>
  <si>
    <t>Terminal MP277 touch endommagé</t>
  </si>
  <si>
    <t>Réparation du terminal</t>
  </si>
  <si>
    <t>Achat en cours de traitement</t>
  </si>
  <si>
    <t>Manque de phase au niveau du ventilateur moteur</t>
  </si>
  <si>
    <t>Rép</t>
  </si>
  <si>
    <t>chnagement d'un contacteur</t>
  </si>
  <si>
    <t xml:space="preserve">Usure de surface du cabestan </t>
  </si>
  <si>
    <t>Répa</t>
  </si>
  <si>
    <t>Changemet de fiche et detecteur</t>
  </si>
  <si>
    <t>Pignon d'accouplement endommagé</t>
  </si>
  <si>
    <t>Changement du pignon et changement d'attache</t>
  </si>
  <si>
    <t>réparation</t>
  </si>
  <si>
    <t>Changement de la courroie et calage de la table</t>
  </si>
  <si>
    <t>MAlaxeur</t>
  </si>
  <si>
    <t>Arbre réducteur endommagé</t>
  </si>
  <si>
    <t>Changement de l'arbre et du revetement du malaxeur</t>
  </si>
  <si>
    <t>Guide</t>
  </si>
  <si>
    <t>Plot du contact</t>
  </si>
  <si>
    <t>Usure du filtage et ressort endommagé</t>
  </si>
  <si>
    <t xml:space="preserve">Taroudage du plot et changement du ressort </t>
  </si>
  <si>
    <t xml:space="preserve">Dereglage de la table elevatrice </t>
  </si>
  <si>
    <t xml:space="preserve">Reglage de la table et mise a niveau correcte </t>
  </si>
  <si>
    <t xml:space="preserve">Correction du niveau d'huile hydraulique </t>
  </si>
  <si>
    <t xml:space="preserve">Systeme de guidage </t>
  </si>
  <si>
    <t xml:space="preserve">probleme au niveau du systeme de guidage </t>
  </si>
  <si>
    <t>Changement du fer plat</t>
  </si>
  <si>
    <t>Ressort endommagé</t>
  </si>
  <si>
    <t>2 roulements du galet de redressement usés</t>
  </si>
  <si>
    <t>Correction</t>
  </si>
  <si>
    <t xml:space="preserve">Correction du niveau d'huile au niveau du groupe hydraulique </t>
  </si>
  <si>
    <t>Probleme au niveau du support porte electrode</t>
  </si>
  <si>
    <t>Changement bride</t>
  </si>
  <si>
    <t>Manque de manometres</t>
  </si>
  <si>
    <t>Installation de 2 manometres du vitesse du moule</t>
  </si>
  <si>
    <t xml:space="preserve">Galet cranté endommagé et 6 roulements endommagés </t>
  </si>
  <si>
    <t xml:space="preserve">Changement du galet et des 6 roulements </t>
  </si>
  <si>
    <t>Fuite d'air au niveau de la pompe/mamelon 1/8 endommagé</t>
  </si>
  <si>
    <t>Changement du mamelon endommagé</t>
  </si>
  <si>
    <t>Galet PR8 endommagé</t>
  </si>
  <si>
    <t xml:space="preserve">Demontage du cassette/changement du galet/remontage de la cassette </t>
  </si>
  <si>
    <t>Casette PR8</t>
  </si>
  <si>
    <t>Cassete d9</t>
  </si>
  <si>
    <t xml:space="preserve">Galet lisse endommagé et usure de 8 roulements </t>
  </si>
  <si>
    <t xml:space="preserve">Demontage cassette/changement du galet et des 8 roulements / remontage/zoomage </t>
  </si>
  <si>
    <t xml:space="preserve">Rennovation </t>
  </si>
  <si>
    <t>Cassette endommagé</t>
  </si>
  <si>
    <t xml:space="preserve">Réparation complete de la cassette </t>
  </si>
  <si>
    <t xml:space="preserve">Reparation du tecalon diametre 10 </t>
  </si>
  <si>
    <t>Tecalon</t>
  </si>
  <si>
    <t xml:space="preserve">Fuite au niveau du circuit d'eau </t>
  </si>
  <si>
    <t xml:space="preserve">Changement du raccord </t>
  </si>
  <si>
    <t xml:space="preserve">Guide savonnier </t>
  </si>
  <si>
    <t xml:space="preserve">Changement de la tige </t>
  </si>
  <si>
    <t>Probleme au niveau du couteau de la cercleuse</t>
  </si>
  <si>
    <t xml:space="preserve">Changement du couteau  </t>
  </si>
  <si>
    <t xml:space="preserve">Tendeur bonde a béton </t>
  </si>
  <si>
    <t xml:space="preserve">Changement du tige </t>
  </si>
  <si>
    <t>Cconvoyeur</t>
  </si>
  <si>
    <t xml:space="preserve">Rouleux endommagé </t>
  </si>
  <si>
    <t xml:space="preserve">Changement du rouleaux </t>
  </si>
  <si>
    <t xml:space="preserve">Décalage du table vibrante </t>
  </si>
  <si>
    <t xml:space="preserve">Réglage du calage / changement des silent blocs </t>
  </si>
  <si>
    <t xml:space="preserve">Lame de soudage usé et résistance endommagé </t>
  </si>
  <si>
    <t xml:space="preserve">Changement  du lame et la  résistance </t>
  </si>
  <si>
    <t xml:space="preserve">Niveau d'huile insuffisant au niveau du réducteur </t>
  </si>
  <si>
    <t xml:space="preserve">Correction du niveau d'huile hydrolique </t>
  </si>
  <si>
    <t xml:space="preserve">Pousse planche </t>
  </si>
  <si>
    <t xml:space="preserve">Fin de course endommagé </t>
  </si>
  <si>
    <t>Changement du fin de course</t>
  </si>
  <si>
    <t xml:space="preserve">Fuite interne au niveau de vérin </t>
  </si>
  <si>
    <t>Changement des kit joints</t>
  </si>
  <si>
    <t>Vis a ciment</t>
  </si>
  <si>
    <t xml:space="preserve">Accouplement usé </t>
  </si>
  <si>
    <t xml:space="preserve">Changement d'accouplement </t>
  </si>
  <si>
    <t xml:space="preserve">Interrupteur endommagé </t>
  </si>
  <si>
    <t xml:space="preserve">Changement du findee course / changement du fixation </t>
  </si>
  <si>
    <t xml:space="preserve">vis colorant </t>
  </si>
  <si>
    <t xml:space="preserve">Vis endommagé </t>
  </si>
  <si>
    <t xml:space="preserve">Changement de vis </t>
  </si>
  <si>
    <t xml:space="preserve">Detecteur de position endommagé  </t>
  </si>
  <si>
    <t xml:space="preserve">Changement de detecteur </t>
  </si>
  <si>
    <t>Systéme d'agitation</t>
  </si>
  <si>
    <t xml:space="preserve">Pignon d'accouplement endommagé et chaine B12 usé </t>
  </si>
  <si>
    <t xml:space="preserve">Changement du pignon et changement de chaine </t>
  </si>
  <si>
    <t xml:space="preserve">Refroidisseur </t>
  </si>
  <si>
    <t xml:space="preserve">Flow switch endommagé </t>
  </si>
  <si>
    <t xml:space="preserve">Attent changement de Flow Switch </t>
  </si>
  <si>
    <t>Systéme transmision de poutrelles</t>
  </si>
  <si>
    <t xml:space="preserve">Fuite d'huile au niveau de flexible </t>
  </si>
  <si>
    <t xml:space="preserve">Changement du flexible </t>
  </si>
  <si>
    <t xml:space="preserve">Couteau usé </t>
  </si>
  <si>
    <t xml:space="preserve">Detecteur de proximité endommagé </t>
  </si>
  <si>
    <t xml:space="preserve">Systéme  d'avencement </t>
  </si>
  <si>
    <t xml:space="preserve">Fuite d'air au niveau de vérin / prise rapide endommagé </t>
  </si>
  <si>
    <t xml:space="preserve">Changement de prise rapide </t>
  </si>
  <si>
    <t xml:space="preserve">Empileur </t>
  </si>
  <si>
    <t xml:space="preserve">Roue d'explusion endommagé </t>
  </si>
  <si>
    <t xml:space="preserve">Changement du roue </t>
  </si>
  <si>
    <t>Came de cisaille</t>
  </si>
  <si>
    <t xml:space="preserve">Jeu au niveau du came </t>
  </si>
  <si>
    <t xml:space="preserve">Changement de roulement </t>
  </si>
  <si>
    <t xml:space="preserve">Fusible 6A endommagé </t>
  </si>
  <si>
    <t xml:space="preserve">Changement du fusible </t>
  </si>
  <si>
    <t xml:space="preserve">Pousse fil </t>
  </si>
  <si>
    <t xml:space="preserve">Hexagon usé </t>
  </si>
  <si>
    <t xml:space="preserve">Changement de hexagon </t>
  </si>
  <si>
    <t xml:space="preserve">Circlips de vérin endommagé </t>
  </si>
  <si>
    <t xml:space="preserve">Changement de circlips </t>
  </si>
  <si>
    <t>Tige filtée usée</t>
  </si>
  <si>
    <t>Tige de tendeur de la bande à béton endommagé</t>
  </si>
  <si>
    <t>Alimentation en eau</t>
  </si>
  <si>
    <t>Ballon d'eau endommagé</t>
  </si>
  <si>
    <t>Changement du ballon d'eau 100L</t>
  </si>
  <si>
    <t>Pompe à eau endommagée</t>
  </si>
  <si>
    <t>Changement de la pompe en attente d'achat d'une nouvelle</t>
  </si>
  <si>
    <t>Roulements de tendeurs usé</t>
  </si>
  <si>
    <t>Fuite interne au niveau du vérin du transbordeur</t>
  </si>
  <si>
    <t>Chnagement du nécessaire de vérin</t>
  </si>
  <si>
    <t>Rupture de courroie 1600</t>
  </si>
  <si>
    <t>Changement de la courroie et réglage des positions de poulies</t>
  </si>
  <si>
    <t>Paletiseur</t>
  </si>
  <si>
    <t>Rouleau endommagé</t>
  </si>
  <si>
    <t>Changement du rouleau endommagé</t>
  </si>
  <si>
    <t xml:space="preserve">Systéme d'avancement </t>
  </si>
  <si>
    <t>Révision générale du mécanisme de vibtation de la presse</t>
  </si>
  <si>
    <t>Fuite d'huile au niveau de la table vibrante</t>
  </si>
  <si>
    <t>Changement de l'arrêt d'huile des poulies</t>
  </si>
  <si>
    <t>Brosse</t>
  </si>
  <si>
    <t>Rupture de 2 courroies A50</t>
  </si>
  <si>
    <t>Changement des courroies A50</t>
  </si>
  <si>
    <t>Rupture de la chaine B12</t>
  </si>
  <si>
    <t>Changement du roulement et vidange de la boite à vitesse</t>
  </si>
  <si>
    <t>Livraison en cours de chez Eurolls</t>
  </si>
  <si>
    <t>Cabestans</t>
  </si>
  <si>
    <t>Entretien du circuit de refroidissement</t>
  </si>
  <si>
    <t>Panel tactile endommagé</t>
  </si>
  <si>
    <t>Réparation du panel chez AMS electronique</t>
  </si>
  <si>
    <t>PB transfos</t>
  </si>
  <si>
    <t>dépannage</t>
  </si>
  <si>
    <t>Déterioration des vis de frein</t>
  </si>
  <si>
    <t>Changement des vis + réglage</t>
  </si>
  <si>
    <t>Groupe compresseur</t>
  </si>
  <si>
    <t>Révision générale</t>
  </si>
  <si>
    <t xml:space="preserve"> - Rebobinage moteur 22kw
 - Changement d'un flexible endommagé
 - Changement des courroies endommagées</t>
  </si>
  <si>
    <t>Déterioration de la poulie</t>
  </si>
  <si>
    <t>Confection d'une poulie / soudage du support</t>
  </si>
  <si>
    <t>Réducteurs endommagés</t>
  </si>
  <si>
    <t>Fuite d'huile au niveau du vérin de cisaille</t>
  </si>
  <si>
    <t>Changement des coupelles du vérin</t>
  </si>
  <si>
    <t>Transporteur</t>
  </si>
  <si>
    <t>Fuite d'air au niveau du vérin du  crochet du transporteur</t>
  </si>
  <si>
    <t>DA réalisé pour vérin stock</t>
  </si>
  <si>
    <t>Défaillance d'un capteur de proximité</t>
  </si>
  <si>
    <t>Moteur translation</t>
  </si>
  <si>
    <t>Moteur endommagé</t>
  </si>
  <si>
    <t>Changement d'un palier usé</t>
  </si>
  <si>
    <t>Air comprimé</t>
  </si>
  <si>
    <t>Rupture d'un tuyau d'air comprimé</t>
  </si>
  <si>
    <t>Elimination de la fuite et mise en marche</t>
  </si>
  <si>
    <t xml:space="preserve"> - Révision du  système mooule/pilon ( changement des coussinet et confection de tous les élements usés
- Révision du transbordeur ( changement des roues et arbres de roues)
- Changement du revetement du malaxeur et portes du malaxeur</t>
  </si>
  <si>
    <t>Confection à suivre</t>
  </si>
  <si>
    <t>Entretien du moteur ( dépannage avec compresseur ATMAINT</t>
  </si>
  <si>
    <t>Mecanisme de déplacement</t>
  </si>
  <si>
    <t xml:space="preserve">Répaciotn </t>
  </si>
  <si>
    <t>Confection et changement des galets endommagés</t>
  </si>
  <si>
    <t>Equilibrage des trois transfo restant</t>
  </si>
  <si>
    <t>Transformateur n3 grillé</t>
  </si>
  <si>
    <t>Cable d6 endommagé</t>
  </si>
  <si>
    <t>Ecrous en bronze endommagés</t>
  </si>
  <si>
    <t>Changement des ecrous en bronze</t>
  </si>
  <si>
    <t>Cassette Pr9</t>
  </si>
  <si>
    <t>Changement flexible</t>
  </si>
  <si>
    <t>Réparation de la pompe</t>
  </si>
  <si>
    <t>Racleur endommagé</t>
  </si>
  <si>
    <t>Changement du racleur et ajustement avec paroies malaxeur</t>
  </si>
  <si>
    <t>Vis endommagés</t>
  </si>
  <si>
    <t xml:space="preserve">Extraction des vis et changements de ceux-ci </t>
  </si>
  <si>
    <t xml:space="preserve">Mauvais contact au niveau de la boite à borne </t>
  </si>
  <si>
    <t>changement du cable de commande</t>
  </si>
  <si>
    <t>clavette endommagé</t>
  </si>
  <si>
    <t>Changement de la clavette</t>
  </si>
  <si>
    <t>Déterioration d'un rouleau convoyeur</t>
  </si>
  <si>
    <t>Soudage du rouleau convoyeur et changement de deux pieds de malaxeur</t>
  </si>
  <si>
    <t>Raccordement de la partie endommagée et mise en marche</t>
  </si>
  <si>
    <t>guie fil</t>
  </si>
  <si>
    <t>Deterioration des poulies guide fils</t>
  </si>
  <si>
    <t>Rechargement des poulies</t>
  </si>
  <si>
    <t>Soudage des parties endommagées</t>
  </si>
  <si>
    <t>Roulements endommags</t>
  </si>
  <si>
    <t>Changement de deux roulements</t>
  </si>
  <si>
    <t xml:space="preserve">Malaxeur </t>
  </si>
  <si>
    <t>Porte malaxeur endommagé</t>
  </si>
  <si>
    <t>Soudage de la porte</t>
  </si>
  <si>
    <t>Pince Zigzag</t>
  </si>
  <si>
    <t>Panne distributeur</t>
  </si>
  <si>
    <t>changement du distributeur</t>
  </si>
  <si>
    <t>Réducteur enommagé</t>
  </si>
  <si>
    <t>Changement d'une clavette et mise en marche</t>
  </si>
  <si>
    <t>Raccordement du cble et mise en marche</t>
  </si>
  <si>
    <t>Changement de deux flexibles endommagés</t>
  </si>
  <si>
    <t>Clavette endommagée</t>
  </si>
  <si>
    <t>Changement de la clavette du réducteur</t>
  </si>
  <si>
    <t>Chnagment d'un flexible endommagé</t>
  </si>
  <si>
    <t>Cone de fixation endommagé</t>
  </si>
  <si>
    <t>Changemen du cone endommagé</t>
  </si>
  <si>
    <t>Desserage de la vis de réglage du frein</t>
  </si>
  <si>
    <t>Changement des vis de réglage</t>
  </si>
  <si>
    <t>Changement de la courroie endommagé</t>
  </si>
  <si>
    <t>Changement de la courroie 2800</t>
  </si>
  <si>
    <t>Changement du cadre glissant</t>
  </si>
  <si>
    <t>Absence transformateur</t>
  </si>
  <si>
    <t>Montage d'un transformateur réparé</t>
  </si>
  <si>
    <t>Tendeur sortie cercleuse N8</t>
  </si>
  <si>
    <t>Support electrode</t>
  </si>
  <si>
    <t>Usure de surface</t>
  </si>
  <si>
    <t>Changement des vis + serrage</t>
  </si>
  <si>
    <t>Circuit endommagé</t>
  </si>
  <si>
    <t>Dépannage du système en attendant de refaire la tuyauterie</t>
  </si>
  <si>
    <t>moteur endommagé</t>
  </si>
  <si>
    <t>Changement du moteur et rebobinage du moteur grillé</t>
  </si>
  <si>
    <t>Arbre et roulements endommagés</t>
  </si>
  <si>
    <t>Revision du devidoir</t>
  </si>
  <si>
    <t>Pieds de malaxeur usé</t>
  </si>
  <si>
    <t>Soudage et dressage des pieds</t>
  </si>
  <si>
    <t>Cisaille
Ejection de trames</t>
  </si>
  <si>
    <t xml:space="preserve"> - Garniture de frein de cisaille usé
- Arbre hexagonal endommagé
- Bielle de lancement des fils de trames endommagés</t>
  </si>
  <si>
    <t xml:space="preserve"> - Regarnissage du disque de frein 
 - Changement de l'arbre hexagonal
 - Changement des bielles endommagées / ajustement / mise en marche</t>
  </si>
  <si>
    <t>Défaut cable antigiratoire</t>
  </si>
  <si>
    <t>Servomoteur HS</t>
  </si>
  <si>
    <t>Réparation servomoteur</t>
  </si>
  <si>
    <t>Vidange avec Filtre Air / Huile et Kit séparateur</t>
  </si>
  <si>
    <t>Vidange avec Filtre Air / Huile</t>
  </si>
  <si>
    <t>DTE 26</t>
  </si>
  <si>
    <t>ANI904675</t>
  </si>
  <si>
    <t>Atlas Copco</t>
  </si>
  <si>
    <t>GA37 (Poyatos)</t>
  </si>
  <si>
    <t>AII367923</t>
  </si>
  <si>
    <t>GA30</t>
  </si>
  <si>
    <t>AII206881</t>
  </si>
  <si>
    <t>AII303264</t>
  </si>
  <si>
    <t>GA37 (schlatter)</t>
  </si>
  <si>
    <t>ARP893119</t>
  </si>
  <si>
    <t>GA75</t>
  </si>
  <si>
    <t>ARP891148</t>
  </si>
  <si>
    <t>AII315732</t>
  </si>
  <si>
    <t>GA 45</t>
  </si>
  <si>
    <t>NBH avant Séparateur</t>
  </si>
  <si>
    <t>NBH avant vidange</t>
  </si>
  <si>
    <t>Prochain entretien prévu</t>
  </si>
  <si>
    <t>Compteur Actuel</t>
  </si>
  <si>
    <t>Travaux effectués lors du dernier entretien</t>
  </si>
  <si>
    <t>Dernier chgt Separateur</t>
  </si>
  <si>
    <t>Dérnière vidange</t>
  </si>
  <si>
    <t>Date dérnier entretien</t>
  </si>
  <si>
    <t>NBH vidange</t>
  </si>
  <si>
    <t>Filtre à huile</t>
  </si>
  <si>
    <t>Filtre à air</t>
  </si>
  <si>
    <t>Quantité d'huile</t>
  </si>
  <si>
    <t>Huile</t>
  </si>
  <si>
    <t>Matricule</t>
  </si>
  <si>
    <t>Marque</t>
  </si>
  <si>
    <t>Type</t>
  </si>
  <si>
    <t>Code Véhicule</t>
  </si>
  <si>
    <t>NBH Avt Filtre séparateur</t>
  </si>
  <si>
    <t>Remplacement par Un réducteur en attendant reception des pignons en confection</t>
  </si>
  <si>
    <t>Rebobinage moteur chez Voselec</t>
  </si>
  <si>
    <t>Rappel</t>
  </si>
  <si>
    <t>R</t>
  </si>
  <si>
    <t>Entretien général à prévoir / Intervention technicien Poyatos</t>
  </si>
  <si>
    <t>Mise en place d'un  Réducteur en attendant confection de pignons neufs</t>
  </si>
  <si>
    <t>Realignement du cable au niveau du treuil</t>
  </si>
  <si>
    <t>Secheur HS</t>
  </si>
  <si>
    <t>Diagnostic à établir</t>
  </si>
  <si>
    <t>Roulement du devidoir endommagés</t>
  </si>
  <si>
    <t>Révision générale du devidoir</t>
  </si>
  <si>
    <t>Machine en marche / attente réponse production pour montage du devidoir</t>
  </si>
  <si>
    <t>Cassette d13 lisse</t>
  </si>
  <si>
    <t>Changement des roulement endommagés + zoomage</t>
  </si>
  <si>
    <t>Alimentation electrique</t>
  </si>
  <si>
    <t>Cable electrique de commande endommagé</t>
  </si>
  <si>
    <t>Cassette 12 cranté</t>
  </si>
  <si>
    <t>Changement des roumlements</t>
  </si>
  <si>
    <t>Chariots usés</t>
  </si>
  <si>
    <t>Fer rond commandés / en attente de réception pour cintrage et mise en place</t>
  </si>
  <si>
    <t>Support de réglage du pilon endommagé</t>
  </si>
  <si>
    <t>Fuite au niveau des ventouses</t>
  </si>
  <si>
    <t>Réaration</t>
  </si>
  <si>
    <t>Changement des ventouses endommagés</t>
  </si>
  <si>
    <t>vis de réglage endommagés</t>
  </si>
  <si>
    <t>Courroies endommagés</t>
  </si>
  <si>
    <t>Changement des courroies endommagés</t>
  </si>
  <si>
    <t>Formulaire</t>
  </si>
  <si>
    <t>PROCES VERBAL D'INCIDENT</t>
  </si>
  <si>
    <t>CODE : INS-FL-MAT-02</t>
  </si>
  <si>
    <t>Version : 00</t>
  </si>
  <si>
    <t>Date : 01/11/2020</t>
  </si>
  <si>
    <t>Toute communication de ce document est strictement interdite sans autorisation du groupe Karkachi Et Fath Et Intersig Maroc
Veiller à la vérification de l'édition de ce document avant son utilisation</t>
  </si>
  <si>
    <t>Date:</t>
  </si>
  <si>
    <t>Code incident:</t>
  </si>
  <si>
    <t>Code incident</t>
  </si>
  <si>
    <t>Date d'incident</t>
  </si>
  <si>
    <t>Nature d'incident</t>
  </si>
  <si>
    <t>Description des faits</t>
  </si>
  <si>
    <t>Lieu de l'incident</t>
  </si>
  <si>
    <t>Code:</t>
  </si>
  <si>
    <t>Section:</t>
  </si>
  <si>
    <t>Machine:</t>
  </si>
  <si>
    <t>Date d'incident:</t>
  </si>
  <si>
    <t>Nature d'incident:</t>
  </si>
  <si>
    <t>Lieu de l'incident:</t>
  </si>
  <si>
    <t>Description des faits:</t>
  </si>
  <si>
    <t>Opérateur</t>
  </si>
  <si>
    <t>Responsable</t>
  </si>
  <si>
    <t>Description des facteurs contributifs:</t>
  </si>
  <si>
    <t>Mesures Correctives émises:</t>
  </si>
  <si>
    <t>Causes de l'incident</t>
  </si>
  <si>
    <t>jours</t>
  </si>
  <si>
    <t>mois</t>
  </si>
  <si>
    <t>Année</t>
  </si>
  <si>
    <t>N°incident</t>
  </si>
  <si>
    <t xml:space="preserve">Fosse </t>
  </si>
  <si>
    <t>Accident physique</t>
  </si>
  <si>
    <t xml:space="preserve"> - Chute de 5T de sable concassé sur le convoyeur à agrégats
- Rupture de la bande à agrégats
- Moteur principal endommagé</t>
  </si>
  <si>
    <t xml:space="preserve"> -Rupture de la bande d'alimentation en sable concassé
- Usure de la bande
</t>
  </si>
  <si>
    <t>Changement de la bande de sable concassé et mise en plance d'un plan de contrôle pour éviter que ce genre d'accident ne se reproduisent</t>
  </si>
  <si>
    <t>Mesure correctives</t>
  </si>
  <si>
    <t>Balance de dosage ciment endomagée</t>
  </si>
  <si>
    <t>réparation de la balance + vidange malaxeur</t>
  </si>
  <si>
    <t>PB sur vis à ciment</t>
  </si>
  <si>
    <t>Déblocage de la trappe et mise en marche</t>
  </si>
  <si>
    <t>changement d'une fin de course</t>
  </si>
  <si>
    <t>Changement des galets sués</t>
  </si>
  <si>
    <t>Panne distributeur pneumatique</t>
  </si>
  <si>
    <t>changement du distributeur HS</t>
  </si>
  <si>
    <t>Problème d'alimentation air commprimé</t>
  </si>
  <si>
    <t>Changement d'une electrovanne endommagée</t>
  </si>
  <si>
    <t>Galet usés</t>
  </si>
  <si>
    <t xml:space="preserve">Relais endommagé </t>
  </si>
  <si>
    <t>Changement du relais electromécanique usé</t>
  </si>
  <si>
    <t>cabestan</t>
  </si>
  <si>
    <t>Ventilateur endommagé / changement du ventilateur et mise en marche</t>
  </si>
  <si>
    <t>Conê de fixation endommagé</t>
  </si>
  <si>
    <t>Changement du cone de fixation</t>
  </si>
  <si>
    <t>Magasin palette</t>
  </si>
  <si>
    <t>Detecteur sortie magasin endommagé</t>
  </si>
  <si>
    <t>Changement du detecteur sortie magasin</t>
  </si>
  <si>
    <t>Vis  de fixation frein endommagés</t>
  </si>
  <si>
    <t>Changement des vis de réglage du frein</t>
  </si>
  <si>
    <t>detecteur pilon endommagé</t>
  </si>
  <si>
    <t>Changement du detecteur endommagé</t>
  </si>
  <si>
    <t>Reglage de position et mise en marche</t>
  </si>
  <si>
    <t>Relais endommagés</t>
  </si>
  <si>
    <t>Changement des relais d'interface</t>
  </si>
  <si>
    <t>Cabestan n3</t>
  </si>
  <si>
    <t>Panne variateur (echauffement)</t>
  </si>
  <si>
    <t>Accident</t>
  </si>
  <si>
    <t>Intersig 2</t>
  </si>
  <si>
    <t>Lors de son passage sur le pont bascule, un camion semi remorque a heurté les parroies du pont bascule causant ainsi une légère déformation au niveau de la structure.
Aucune anomalie grave n'a été enregistré</t>
  </si>
  <si>
    <t xml:space="preserve">Innatention du chauffeur due selon lui au reflet du soleil sur son retroviseur </t>
  </si>
  <si>
    <t xml:space="preserve"> - Constat de l'incident
- Sensibilisation des chauffeurs
- Sensibilisation de l'agent de pesage
- Intervention des chaudraunnier pour réparation des dommages</t>
  </si>
  <si>
    <t>Ecrous en bronze et vis de fixation endommagés</t>
  </si>
  <si>
    <t>Changement des vis et ecrou</t>
  </si>
  <si>
    <t>Cable de commande</t>
  </si>
  <si>
    <t>Mauvais contact au niveau de la boite à commande</t>
  </si>
  <si>
    <t>Elimination du mauvais contact et mise en marche</t>
  </si>
  <si>
    <t>Cable antigiratoire usé</t>
  </si>
  <si>
    <t>système d'entrainement</t>
  </si>
  <si>
    <t>Elimination des fuites d'air 
Changement des necessaires de vérin 920 et 930
Confection de guides fils
Changement du guide fil longitudinal
Réparation du vérin amortisseur 4550M</t>
  </si>
  <si>
    <t>Arbre eendommagé</t>
  </si>
  <si>
    <t>Réparaition</t>
  </si>
  <si>
    <t>Changement de l'abre du système ecarteur</t>
  </si>
  <si>
    <t>Usure de surface du cabestan 
Ususre des galets guide fils</t>
  </si>
  <si>
    <t>Chargement de surface a la soudure et rectification des galets</t>
  </si>
  <si>
    <t>changement du tiroir endommagé</t>
  </si>
  <si>
    <t>Pb sur frein transbordeur Vis endommagés</t>
  </si>
  <si>
    <t>Changement des vis endommagés</t>
  </si>
  <si>
    <t>Soudage de la parite endommagée</t>
  </si>
  <si>
    <t>Photocellule endommagée</t>
  </si>
  <si>
    <t>Changement des paliers edommagés</t>
  </si>
  <si>
    <t>Confection d'un raccord hydraulique montage et mise en marche</t>
  </si>
  <si>
    <t>Fuite d'huile au niveau du véin</t>
  </si>
  <si>
    <t>Changement des necessaires de vérin</t>
  </si>
  <si>
    <t>Réducteur tapis peseur endommagé</t>
  </si>
  <si>
    <t>hangement des roulements du réducteur et mise en marche</t>
  </si>
  <si>
    <t>Arbre galet endommagé</t>
  </si>
  <si>
    <t>Changement de l'arbre et du galet endommagé</t>
  </si>
  <si>
    <t>Clavette et circuit air comprimé HS</t>
  </si>
  <si>
    <t>Réparation du système et mise en marche</t>
  </si>
  <si>
    <t>Changement d'un roulement endommagé + Recharge galet</t>
  </si>
  <si>
    <t>Armoire de commande</t>
  </si>
  <si>
    <t>Coupleur de profibus HS</t>
  </si>
  <si>
    <t>Changement du coupleur de profibus WAGO</t>
  </si>
  <si>
    <t>Révision du distributeur et mise en marche</t>
  </si>
  <si>
    <t>Changement d''un axe plongeur endommagé</t>
  </si>
  <si>
    <t>Moteur vibreur endommagé</t>
  </si>
  <si>
    <t>Montage d'un moteur réparé / rebobinage de l'ancien</t>
  </si>
  <si>
    <t>Lame de soudage endommagée</t>
  </si>
  <si>
    <t>démontage du mecanisme / Changement des résistances et remise en marche</t>
  </si>
  <si>
    <t>PB sur guide feuillard</t>
  </si>
  <si>
    <t>dressage du profilé du guide et ajustage d'alignement</t>
  </si>
  <si>
    <t>Convoyeur Agrégats</t>
  </si>
  <si>
    <t>Courroies A58 endommagées</t>
  </si>
  <si>
    <t>Changement des courroies A58 Qté 5</t>
  </si>
  <si>
    <t>Changement des pignons du réducteur</t>
  </si>
  <si>
    <t>DA Réalisé pour achat réducteur neuf
Réducteur indisponible pour le moment sur le marché
Consultations en cours</t>
  </si>
  <si>
    <t>DA réalisé pour alimenter le stock de sécurité
Pièce toujours indisponible sur le marché</t>
  </si>
  <si>
    <t>Rupture de la chaine de transmission</t>
  </si>
  <si>
    <t>Réparation de la chaine et remise en marche</t>
  </si>
  <si>
    <t>Filtres supérieur colematés</t>
  </si>
  <si>
    <t>Elimination d'une cartouche et nettoyage de la soupape de sécurité</t>
  </si>
  <si>
    <t xml:space="preserve">DA pour cartouches neuves réalisée
Consultation en cours ( 1 devis ) </t>
  </si>
  <si>
    <t>soudage de deux courroies thermosoudable</t>
  </si>
  <si>
    <t>Entretien technicien Poyatos</t>
  </si>
  <si>
    <t xml:space="preserve"> - Montage de la table vibrante n°3 
- Changement des positions des tendeurs de courroies 2800 ( Ne plus confondre entre tendeur droit et tendeur gauche)
- Réparation de l'electrovanne proportionnelle de l'injecteur de planche
- Réglage de la vitesse seuil du variateur du transbordeur
- Réglage de la vitesse lente moyenne et rapide de l'injecteur de planche 
- Entretien de la table vibrante n°1</t>
  </si>
  <si>
    <t>Prévoir entretien général du mécanisme de vibration de la novable pour Janvier 2021 (Date précise à convenir fin décembre</t>
  </si>
  <si>
    <t>Pb de commande</t>
  </si>
  <si>
    <t>Changement d'un boutton endommagé</t>
  </si>
  <si>
    <t>Surcharge moteur</t>
  </si>
  <si>
    <t>Mise en place d'un moteur plus robuste en attendant arrivée d'un réducteur neuf</t>
  </si>
  <si>
    <t>Changement du fil endommagé</t>
  </si>
  <si>
    <t>Entretien cassette</t>
  </si>
  <si>
    <t>Changement de deux roulements 32008 
Zoomage des galets crantés</t>
  </si>
  <si>
    <t>Cabestan n2</t>
  </si>
  <si>
    <t>Galet de redressement usé</t>
  </si>
  <si>
    <t>Changement d'un galet  avec axe de rotation</t>
  </si>
  <si>
    <t>Chariot guide fil usé</t>
  </si>
  <si>
    <t>Changement d'un chariot guide fil</t>
  </si>
  <si>
    <t>Boulons de fixation du pignon d'attaque endommagé</t>
  </si>
  <si>
    <t>Extraction des vis endommagés Changement des boulons et fixation du pignon d'attaque</t>
  </si>
  <si>
    <t>Usure des tôles du convoyeur d'agrégats et tremies</t>
  </si>
  <si>
    <t>Entretien des tôles des tremies et et tôles du convoyeur à agrégats</t>
  </si>
  <si>
    <t>Système de translation bloqué</t>
  </si>
  <si>
    <t>Démontage de la chaine / Demontage des galets de guidage / nettoyage / remontage et mise en marche</t>
  </si>
  <si>
    <t>Fissure sur la grille d'agitation</t>
  </si>
  <si>
    <t>Dressage et soudage de la partie fissurée</t>
  </si>
  <si>
    <t xml:space="preserve">Usure de pale de pates </t>
  </si>
  <si>
    <t>Defaut de soudage</t>
  </si>
  <si>
    <t>dereglage de la pince de maintien</t>
  </si>
  <si>
    <t>Compresseur HS</t>
  </si>
  <si>
    <t>Changement du relais thermique endommagé</t>
  </si>
  <si>
    <t>Rupture de la courroie 1760</t>
  </si>
  <si>
    <t>Changhement du moto-frein / Changement des couroires A 35 remise en marce</t>
  </si>
  <si>
    <t>Decalage du système de vibration</t>
  </si>
  <si>
    <t>Calage des courroie et mise en marche</t>
  </si>
  <si>
    <t>Système d'adjuvant</t>
  </si>
  <si>
    <t>Pb de refoulement de la pompe à adjuvant</t>
  </si>
  <si>
    <t>demontage nettoyage et remontage du clapet antiretour</t>
  </si>
  <si>
    <t>Cable tranbordeur usé</t>
  </si>
  <si>
    <t>Changement du cable d6 endommagé</t>
  </si>
  <si>
    <t>Reducteur endommagé</t>
  </si>
  <si>
    <t>Multifourche</t>
  </si>
  <si>
    <t>Absence du reducteur avant</t>
  </si>
  <si>
    <t>Montage du reducteur réparé</t>
  </si>
  <si>
    <t>boulons de fixation endommagés</t>
  </si>
  <si>
    <t>Changement des boulons endommégs</t>
  </si>
  <si>
    <t>Garniture d'embrayage usé</t>
  </si>
  <si>
    <t>Presse de soudage</t>
  </si>
  <si>
    <t>Jeu au niveau du support de porte electrode</t>
  </si>
  <si>
    <t>Changement d'une vis M10x30</t>
  </si>
  <si>
    <t>Dispositif de coupe usé</t>
  </si>
  <si>
    <t>Changement des vis et soudage de la partie endommagé</t>
  </si>
  <si>
    <t>Bruit anormal au niveau du servomoteur de tirage</t>
  </si>
  <si>
    <t>Entretien chez VOSELEC</t>
  </si>
  <si>
    <t>Entretien du bloc de soudage</t>
  </si>
  <si>
    <t>Rectification de surface du boc de soudure / révision de tous les trous taraudés / Changement des axes plongeurs endommagés / Revision des isolation / révision du circuit de refroidissement / montage de deux transformateurs réparés</t>
  </si>
  <si>
    <t>défaut circuit de retour de pression</t>
  </si>
  <si>
    <t>Elimination des fuites et entretien des distributeurs</t>
  </si>
  <si>
    <t>défaut variateur</t>
  </si>
  <si>
    <t>Réglage du ppoint zero et mise en marchz</t>
  </si>
  <si>
    <t>Poulies duides fils endommagés</t>
  </si>
  <si>
    <t>chargement à la soudure + répatation de la cassette 3,8L</t>
  </si>
  <si>
    <t>Cassette 4,8L</t>
  </si>
  <si>
    <t>Galets et roulements usés</t>
  </si>
  <si>
    <t>Changement de trois galets + 12 roulement 32008</t>
  </si>
  <si>
    <t>Changement de 6 roulements 32008</t>
  </si>
  <si>
    <t>Panne cassette</t>
  </si>
  <si>
    <t>Changement d'un galet PR5 + 4 roulements 32008</t>
  </si>
  <si>
    <t>désaccouplement du moteur et de la pompe</t>
  </si>
  <si>
    <t>Fixation de la pompe et mise en marchea</t>
  </si>
  <si>
    <t>Changement du chariot confectionné</t>
  </si>
  <si>
    <t>Cassette d6</t>
  </si>
  <si>
    <t>Roulements endomagés</t>
  </si>
  <si>
    <t>Cabestan n*4</t>
  </si>
  <si>
    <t>Réparation variateur</t>
  </si>
  <si>
    <t>Entretien chez Cielece</t>
  </si>
  <si>
    <t>Verins amortisseur</t>
  </si>
  <si>
    <t>Indisponible sur le marché</t>
  </si>
  <si>
    <t>NS</t>
  </si>
  <si>
    <t>Surface cabestan usée / Circuit de refroidissement bouché</t>
  </si>
  <si>
    <t>Débouchage du circuit de refroidissement et chargement de surface</t>
  </si>
  <si>
    <t>Changement de 4 roulements endommagés + Zoomage cassette</t>
  </si>
  <si>
    <t>Chariot endommagé + Surface poulie usé</t>
  </si>
  <si>
    <t>Montage d'un nouveau chariot + Chargement de surface de la poulie</t>
  </si>
  <si>
    <t>Paumelles endommagés</t>
  </si>
  <si>
    <t>Affutage du couteau</t>
  </si>
  <si>
    <t>Ecrous d'assemblage endommagé</t>
  </si>
  <si>
    <t>Changement des ecrous avec tiges d'assemblage</t>
  </si>
  <si>
    <t>Révision de l'etancheité de la cercleuse</t>
  </si>
  <si>
    <t>Défaut de zoomage cassette</t>
  </si>
  <si>
    <t>Démontage du moteur 
Remontage d'un autre moteur présent au magasin
Mise en marche</t>
  </si>
  <si>
    <t xml:space="preserve">Galet de guidage endommagé </t>
  </si>
  <si>
    <t>Répararation</t>
  </si>
  <si>
    <t>Changement d'une courroie thermosoudable</t>
  </si>
  <si>
    <t xml:space="preserve">Feuillard bloqué </t>
  </si>
  <si>
    <t xml:space="preserve">Moteur réparé (roulement 6311) et stocké au magasin </t>
  </si>
  <si>
    <t>Démontage du mécanisme et liberation des galets de tirage</t>
  </si>
  <si>
    <t>Démontage et changement du réducteur</t>
  </si>
  <si>
    <t>Usure de la lame de coupe</t>
  </si>
  <si>
    <t>Démontage et changement de la lame de coupe + pince de serrage</t>
  </si>
  <si>
    <t>Convoyeur a agregats</t>
  </si>
  <si>
    <t>Supports du rouleaux convoyeur endommagés</t>
  </si>
  <si>
    <t>Démontage et dressage des supports du rouleau</t>
  </si>
  <si>
    <t>Vérin hydraulique cisaillé</t>
  </si>
  <si>
    <t>Changement du vérin hydraulique</t>
  </si>
  <si>
    <t>Changement du moteur frein par un autre réparé</t>
  </si>
  <si>
    <t>Descensseur</t>
  </si>
  <si>
    <t>Usure des guides du descensseur</t>
  </si>
  <si>
    <t>Répartion</t>
  </si>
  <si>
    <t>Soudage de calles sur les paerties usés</t>
  </si>
  <si>
    <t>Usure sur courroies retourneur</t>
  </si>
  <si>
    <t>Jonction des courroies et mise en marche</t>
  </si>
  <si>
    <t>changement de la pompe</t>
  </si>
  <si>
    <t>3 chariots guides cables endommagés</t>
  </si>
  <si>
    <t>changement des trois chariots guides cables par des anneaux</t>
  </si>
  <si>
    <t>silo 5</t>
  </si>
  <si>
    <t>blocage du cartouche</t>
  </si>
  <si>
    <t xml:space="preserve">reparation </t>
  </si>
  <si>
    <t xml:space="preserve">Demontage et cha,gement des cartouches 
nettoyage du soupape securite 
nettoyage de la vis sans  fin </t>
  </si>
  <si>
    <t>bloc distributeur pilon</t>
  </si>
  <si>
    <t>blocage du clapet double silotage</t>
  </si>
  <si>
    <t>reparation</t>
  </si>
  <si>
    <t xml:space="preserve">demontage  du bloc
nettoyage d'electrovanne
nettoyage regulateur de debut 
nettoyage clapet double pilotage </t>
  </si>
  <si>
    <t>courroie crente de chirée</t>
  </si>
  <si>
    <t>demontage du mecanisme et changement du courroie
mise en marche du  cucleuse 08</t>
  </si>
  <si>
    <t>fuite d'luile hydraulique 
endommagement silent bloc piton</t>
  </si>
  <si>
    <t xml:space="preserve">usere sur joint torique 
usere des silent bloc </t>
  </si>
  <si>
    <t xml:space="preserve">demantage du bloc de distributeur de moule et chengement des joint torique  
chengement des silents bloc usues et mise en marche de la machine </t>
  </si>
  <si>
    <t>cassement du palier asceuseur</t>
  </si>
  <si>
    <t xml:space="preserve">usure sur guide chaine </t>
  </si>
  <si>
    <t xml:space="preserve">demantage et chengement du palier p212
changement de 2 guides chaine asceuseur  </t>
  </si>
  <si>
    <t>panne sur cercleuse N:08</t>
  </si>
  <si>
    <t>endomanagement du poulie dentée 
ruputure du courroie double crantée 
alignement du feuillard n'est pas correct</t>
  </si>
  <si>
    <t xml:space="preserve">chengement du courroie double  crantée
chengement du poulée dentée
changement  du poulée moltée
changement d'un guide de feuillard 
refaire l'alignement du profil guide feuillard </t>
  </si>
  <si>
    <t xml:space="preserve">fissure sur tole de la table </t>
  </si>
  <si>
    <t>usure</t>
  </si>
  <si>
    <t xml:space="preserve">demantage et remantage de la nouvalle tole </t>
  </si>
  <si>
    <t xml:space="preserve">cisaillement du partie filete du verin de moule </t>
  </si>
  <si>
    <t>soudage du tige verin avec la chapp</t>
  </si>
  <si>
    <t xml:space="preserve">rupture du courroie 2800 </t>
  </si>
  <si>
    <t xml:space="preserve">durée de vie </t>
  </si>
  <si>
    <t xml:space="preserve">changement du 16 silents blocs de T,V 
changement du courroie double crante 2800
dressage des corniése d'asceuseus 
reparation cable pince </t>
  </si>
  <si>
    <t>fuite sur flexible hydraulique du compresseur</t>
  </si>
  <si>
    <t>dementage et altenti l'arrivé d'un nouvveau flexible ( flexible n'est pas en stock )</t>
  </si>
  <si>
    <t>probleme sur support verin tirroir</t>
  </si>
  <si>
    <t xml:space="preserve">fissure </t>
  </si>
  <si>
    <t xml:space="preserve">demontage du verin tirroir 
chengement de la plaque  fissurée 
soudage du partie du socle fissurée 
remontage verin et se mise en mareche </t>
  </si>
  <si>
    <t>mauvaise soudage du feuillard ( cercleuse 08 )</t>
  </si>
  <si>
    <t xml:space="preserve">prableme sur disque enbrayage </t>
  </si>
  <si>
    <t xml:space="preserve">demantage et changement d'embrayage </t>
  </si>
  <si>
    <t>deferillance de la pompe hydraulique</t>
  </si>
  <si>
    <t xml:space="preserve">dementage de la pompe 
nettoyage du circuit hydraulique 
chenegement des filters
remontage de la nouvalle pompe  et reglage du pression </t>
  </si>
  <si>
    <t xml:space="preserve">probleme sur table elevateur </t>
  </si>
  <si>
    <t xml:space="preserve">blocage du chainene de transmission </t>
  </si>
  <si>
    <t xml:space="preserve">dementage du pignon tendeur 
deblocage du chaine 
 mise en marche de la table </t>
  </si>
  <si>
    <t xml:space="preserve">probleme de teur 2 </t>
  </si>
  <si>
    <t xml:space="preserve">deterionation de chaine tire hl </t>
  </si>
  <si>
    <t xml:space="preserve">chengement d'axe plus repation du chaine </t>
  </si>
  <si>
    <t xml:space="preserve">probleme du table vibirute </t>
  </si>
  <si>
    <t xml:space="preserve">moteur grille </t>
  </si>
  <si>
    <t xml:space="preserve">remplement du moteur </t>
  </si>
  <si>
    <t xml:space="preserve">pont mlant en arret </t>
  </si>
  <si>
    <t xml:space="preserve">defaillance du cable matalique </t>
  </si>
  <si>
    <t xml:space="preserve">chengement du cable </t>
  </si>
  <si>
    <t xml:space="preserve">monque d'eclairage au niveau de transporteur </t>
  </si>
  <si>
    <t xml:space="preserve">l'ampe grillee </t>
  </si>
  <si>
    <t xml:space="preserve">changement de l'ampe </t>
  </si>
  <si>
    <t xml:space="preserve">probleme de devialair de vitari </t>
  </si>
  <si>
    <t xml:space="preserve">defaillance l'axe et ronlements </t>
  </si>
  <si>
    <t xml:space="preserve">rectifacation d'arbere et changement des ronlements ( revision generale ) </t>
  </si>
  <si>
    <t xml:space="preserve">defaillance des ronlements  </t>
  </si>
  <si>
    <t xml:space="preserve">chengement des roulemments serrage </t>
  </si>
  <si>
    <t xml:space="preserve">deterioration  du flexible d'aire </t>
  </si>
  <si>
    <t xml:space="preserve">chengement flexible </t>
  </si>
  <si>
    <t>probleme du cassette 4,6 L</t>
  </si>
  <si>
    <t>problem cassete  daimmetre 13 L</t>
  </si>
  <si>
    <t xml:space="preserve">deterioration de roulement </t>
  </si>
  <si>
    <t xml:space="preserve">nettoyage , chengement des roulement </t>
  </si>
  <si>
    <t xml:space="preserve">pont roulement en arret </t>
  </si>
  <si>
    <t xml:space="preserve">mauvais  manipulation la part de operateur </t>
  </si>
  <si>
    <t xml:space="preserve">chengment cable multifilairde tele commande  </t>
  </si>
  <si>
    <t xml:space="preserve">porbleme electrique </t>
  </si>
  <si>
    <t xml:space="preserve">sur charege </t>
  </si>
  <si>
    <t xml:space="preserve">rearmement </t>
  </si>
  <si>
    <t xml:space="preserve">probleme malaxeur </t>
  </si>
  <si>
    <t xml:space="preserve">defaillance de pieds </t>
  </si>
  <si>
    <t>soudage et dressage des pieds</t>
  </si>
  <si>
    <t xml:space="preserve">panne de pousse fils 
probleme des freus de cisaille 
probleme d'hyxagon  
</t>
  </si>
  <si>
    <t xml:space="preserve">l'usure </t>
  </si>
  <si>
    <t xml:space="preserve">chongement du garniture de frein 
chongement d'hyaxagon 
chongement système d'excentrique ( paliers ) d'hyaxage 
soudage support moteur cisaille 
</t>
  </si>
  <si>
    <t xml:space="preserve">defaillance goulote malaxeur , magasin pattette </t>
  </si>
  <si>
    <t xml:space="preserve">chongement vebration </t>
  </si>
  <si>
    <t xml:space="preserve">ereparation </t>
  </si>
  <si>
    <t xml:space="preserve">nettoyage , soudage </t>
  </si>
  <si>
    <t xml:space="preserve">cassette daimmetr 12L en panne </t>
  </si>
  <si>
    <t>deterioration des renlements</t>
  </si>
  <si>
    <t xml:space="preserve">chongement des reulemnt , nettoyage 
</t>
  </si>
  <si>
    <t xml:space="preserve">probleme skipe </t>
  </si>
  <si>
    <t xml:space="preserve">probleme du cable metalique </t>
  </si>
  <si>
    <t xml:space="preserve">probleme de ronleau d'avance 
probleme de devidoire </t>
  </si>
  <si>
    <t xml:space="preserve">vibratinon 
delerioration des roulements de vidoir </t>
  </si>
  <si>
    <t>reparation  de ronlement d'avance 
le devidoir en cour de revision general</t>
  </si>
  <si>
    <t xml:space="preserve">probleme de chariot </t>
  </si>
  <si>
    <t xml:space="preserve">soudage du chariot </t>
  </si>
  <si>
    <t xml:space="preserve">probleme pilon </t>
  </si>
  <si>
    <t xml:space="preserve">choc + vibration </t>
  </si>
  <si>
    <t xml:space="preserve">reglage et soudage </t>
  </si>
  <si>
    <t xml:space="preserve">deterioration ( fuite d'air ) </t>
  </si>
  <si>
    <t xml:space="preserve">chongement de venteuse </t>
  </si>
  <si>
    <t xml:space="preserve">problleme venteuse </t>
  </si>
  <si>
    <t xml:space="preserve">fuite d'eau au niveau du cassette 3,8L </t>
  </si>
  <si>
    <t>deterioretion  du flexible</t>
  </si>
  <si>
    <t xml:space="preserve">repartion </t>
  </si>
  <si>
    <t xml:space="preserve">chongement des flexibles </t>
  </si>
  <si>
    <t xml:space="preserve">vibration </t>
  </si>
  <si>
    <t xml:space="preserve">soudage </t>
  </si>
  <si>
    <t xml:space="preserve">probleme frein moteur pince </t>
  </si>
  <si>
    <t xml:space="preserve">vibration + l'usure du garniture </t>
  </si>
  <si>
    <t xml:space="preserve">depannage eu attemstaut changer </t>
  </si>
  <si>
    <t xml:space="preserve">probleme cassette daimmetre 5L </t>
  </si>
  <si>
    <t xml:space="preserve">chonghement d'emplacement </t>
  </si>
  <si>
    <t>probleme de demarrage</t>
  </si>
  <si>
    <t xml:space="preserve">remise a zero </t>
  </si>
  <si>
    <t xml:space="preserve">cassette daimmetre 3,8 L en panne </t>
  </si>
  <si>
    <t xml:space="preserve">chongement de roulement +reglage , nettoyage </t>
  </si>
  <si>
    <t xml:space="preserve">savonier en panne </t>
  </si>
  <si>
    <t xml:space="preserve">coincement  </t>
  </si>
  <si>
    <t xml:space="preserve">reglage + nettoyage </t>
  </si>
  <si>
    <t xml:space="preserve">cassette daimmetre 12 L en panne </t>
  </si>
  <si>
    <t xml:space="preserve">coincement </t>
  </si>
  <si>
    <t xml:space="preserve">nettoyage + chongement de roulement et reglage </t>
  </si>
  <si>
    <t>probleme support cassette daimetre 5L</t>
  </si>
  <si>
    <t xml:space="preserve">l'emplacement </t>
  </si>
  <si>
    <t xml:space="preserve">confection d'une table </t>
  </si>
  <si>
    <t xml:space="preserve">confection d'une table pour cassette </t>
  </si>
  <si>
    <t xml:space="preserve">propleme venteuse </t>
  </si>
  <si>
    <t xml:space="preserve">deterioration de venteuse </t>
  </si>
  <si>
    <t xml:space="preserve">chongement du vonteuse </t>
  </si>
  <si>
    <t>probleme cassete daimetre 3,2 L</t>
  </si>
  <si>
    <t xml:space="preserve">nettoyage + reglage </t>
  </si>
  <si>
    <t xml:space="preserve">probleme mecanique </t>
  </si>
  <si>
    <t xml:space="preserve">reglage la tension des courrois  + serrage </t>
  </si>
  <si>
    <t xml:space="preserve">probleme tension de courroi </t>
  </si>
  <si>
    <t xml:space="preserve">probleme malaxeur  </t>
  </si>
  <si>
    <t xml:space="preserve">l'usure de pieds </t>
  </si>
  <si>
    <t xml:space="preserve">probleme d'agitation </t>
  </si>
  <si>
    <t xml:space="preserve">defaillance reducteur </t>
  </si>
  <si>
    <t xml:space="preserve">chongement du reducteur par un autre nauveau </t>
  </si>
  <si>
    <t>probleme du pontie guide fil</t>
  </si>
  <si>
    <t>coincement du roulements</t>
  </si>
  <si>
    <t xml:space="preserve">chongement des reulements </t>
  </si>
  <si>
    <t xml:space="preserve">cassette daimetre 5 L en panne </t>
  </si>
  <si>
    <t xml:space="preserve">defaillance des reulements </t>
  </si>
  <si>
    <t xml:space="preserve">chongement des reulements + nettoyage +reglage </t>
  </si>
  <si>
    <t xml:space="preserve">cassette daimetre 9 L en panne </t>
  </si>
  <si>
    <t>probleme coincement</t>
  </si>
  <si>
    <t xml:space="preserve">nettoyage reglage + chongementr des reulements </t>
  </si>
  <si>
    <t xml:space="preserve">problemed'emlacement de moule </t>
  </si>
  <si>
    <t>problemed'emlacement de moule</t>
  </si>
  <si>
    <t xml:space="preserve">probleme de frein </t>
  </si>
  <si>
    <t xml:space="preserve">probleme de reglage </t>
  </si>
  <si>
    <t xml:space="preserve">reglage + serrage des vis </t>
  </si>
  <si>
    <t xml:space="preserve">L'agitateur en panne </t>
  </si>
  <si>
    <t xml:space="preserve">probleme de cisaille </t>
  </si>
  <si>
    <t xml:space="preserve">deteriration de reducteur </t>
  </si>
  <si>
    <t xml:space="preserve">deterioration disque embrayage </t>
  </si>
  <si>
    <t xml:space="preserve">reparation d'embrayage chongement deu garniture </t>
  </si>
  <si>
    <t xml:space="preserve">probleme frin pince </t>
  </si>
  <si>
    <t xml:space="preserve">desserrage des vis de frin </t>
  </si>
  <si>
    <t xml:space="preserve">chongement des vis + reglage </t>
  </si>
  <si>
    <t>probleme guide fil 3</t>
  </si>
  <si>
    <t xml:space="preserve">l'usure des galets </t>
  </si>
  <si>
    <t xml:space="preserve">chongement des galets + reulement </t>
  </si>
  <si>
    <t xml:space="preserve">probleme des galets de dressage </t>
  </si>
  <si>
    <t xml:space="preserve">L'usure </t>
  </si>
  <si>
    <t xml:space="preserve">chongement ds galets </t>
  </si>
  <si>
    <t xml:space="preserve">transporteur en arret </t>
  </si>
  <si>
    <t xml:space="preserve">defaillance du reducteur </t>
  </si>
  <si>
    <t xml:space="preserve">chongement du reducteur </t>
  </si>
  <si>
    <t xml:space="preserve">cassettes daimetr 10 L et </t>
  </si>
  <si>
    <t xml:space="preserve">panne electrique </t>
  </si>
  <si>
    <t xml:space="preserve">chongement de </t>
  </si>
  <si>
    <t xml:space="preserve">sur charege  moteur savanor </t>
  </si>
  <si>
    <t xml:space="preserve">chongement de moteur </t>
  </si>
  <si>
    <t xml:space="preserve">panne comteur </t>
  </si>
  <si>
    <t xml:space="preserve">comteur n'est pas en mareche </t>
  </si>
  <si>
    <t xml:space="preserve">reparation de comteur 
branchement et remis en marche </t>
  </si>
  <si>
    <t xml:space="preserve">panne sur cable electrique </t>
  </si>
  <si>
    <t xml:space="preserve">cable electrique de commande rupture </t>
  </si>
  <si>
    <t xml:space="preserve">chongement des fils rupture par un autre </t>
  </si>
  <si>
    <t xml:space="preserve">panne sur moteur transporteur </t>
  </si>
  <si>
    <t xml:space="preserve">vis de frin cassé </t>
  </si>
  <si>
    <t xml:space="preserve">chongement du vis cassé et reglage de l'eutre vis </t>
  </si>
  <si>
    <t xml:space="preserve">panne sur pince </t>
  </si>
  <si>
    <t xml:space="preserve">machain ne bougent pas 
rupteur sur cable electrique </t>
  </si>
  <si>
    <t xml:space="preserve">chongement  du cable electrique </t>
  </si>
  <si>
    <t xml:space="preserve">porobleme sur pince </t>
  </si>
  <si>
    <t xml:space="preserve">cable rupturé </t>
  </si>
  <si>
    <t xml:space="preserve">chongement du cable electrique 
remise en mareche du pince </t>
  </si>
  <si>
    <t xml:space="preserve">chongement de cable elctrique du pince </t>
  </si>
  <si>
    <t xml:space="preserve">surcharege moteur thermique </t>
  </si>
  <si>
    <t xml:space="preserve">reset   thermique disjancteur sanfflage moteur </t>
  </si>
  <si>
    <t xml:space="preserve">echarege </t>
  </si>
  <si>
    <t xml:space="preserve">projecteur ne pas alleme </t>
  </si>
  <si>
    <t>chongement la lamp  chongement amorceur</t>
  </si>
  <si>
    <t xml:space="preserve">chariot  ne pas mareche </t>
  </si>
  <si>
    <t xml:space="preserve">panne  electrique </t>
  </si>
  <si>
    <t xml:space="preserve">cable electrique coupé </t>
  </si>
  <si>
    <t xml:space="preserve">reparation des cables electrique </t>
  </si>
  <si>
    <t xml:space="preserve">manque vibron tremie </t>
  </si>
  <si>
    <t xml:space="preserve">fixation vibron casse </t>
  </si>
  <si>
    <t xml:space="preserve">souder fixation  vibron 
branchemant vibron </t>
  </si>
  <si>
    <t>manter ne pas marech</t>
  </si>
  <si>
    <t xml:space="preserve">panne ponts roulants electrique </t>
  </si>
  <si>
    <t xml:space="preserve">moteur translation ne pas mareche
  cable electrique coupé </t>
  </si>
  <si>
    <t xml:space="preserve">reparation cable electrique </t>
  </si>
  <si>
    <t xml:space="preserve">manque phase par pont roulant </t>
  </si>
  <si>
    <t>chongement charbon de calecteur</t>
  </si>
  <si>
    <t xml:space="preserve">panne electreque </t>
  </si>
  <si>
    <t xml:space="preserve">electrovan pnematique </t>
  </si>
  <si>
    <t xml:space="preserve">branchement la bobine electrovane 
nettoyage electrovane </t>
  </si>
  <si>
    <t xml:space="preserve">panne danceur </t>
  </si>
  <si>
    <t xml:space="preserve">electrovane </t>
  </si>
  <si>
    <t xml:space="preserve">nettoyage electrovane </t>
  </si>
  <si>
    <t xml:space="preserve">comitateur est casse </t>
  </si>
  <si>
    <t xml:space="preserve">chongement comitateur  </t>
  </si>
  <si>
    <t xml:space="preserve">injecteur ne pas marche </t>
  </si>
  <si>
    <t xml:space="preserve">reparation  </t>
  </si>
  <si>
    <t xml:space="preserve">reparation des cable electrique </t>
  </si>
  <si>
    <t xml:space="preserve">moteur tiroir ne pas marche </t>
  </si>
  <si>
    <t xml:space="preserve">chongement cable electrique  motour 
chongement chaine ponte  cable </t>
  </si>
  <si>
    <t xml:space="preserve">comitateur ne foction pas </t>
  </si>
  <si>
    <t xml:space="preserve">chongement comitateur 3 position </t>
  </si>
  <si>
    <t xml:space="preserve">moteur vibration en defant </t>
  </si>
  <si>
    <t xml:space="preserve">chongement detecteur de procsimité </t>
  </si>
  <si>
    <t xml:space="preserve">panne poste soudeur </t>
  </si>
  <si>
    <t xml:space="preserve">comitateur en dommage </t>
  </si>
  <si>
    <t xml:space="preserve">chongzmznt comitateur 2 position </t>
  </si>
  <si>
    <t xml:space="preserve">panne dansem </t>
  </si>
  <si>
    <t>dansem casse et detecteur de proscimite</t>
  </si>
  <si>
    <t xml:space="preserve">soudeur cale dansem 
chonegement detecteur de proscimites
reglage dansem et detecteur </t>
  </si>
  <si>
    <t xml:space="preserve">manque eclerage des malaxeurs </t>
  </si>
  <si>
    <t>la l'ampe</t>
  </si>
  <si>
    <t>chongement la l'ampe 400Wsur la l'ampe 100W   E27</t>
  </si>
  <si>
    <t xml:space="preserve">panne electrique de pont roulant </t>
  </si>
  <si>
    <t xml:space="preserve">cantacteur manque de phase </t>
  </si>
  <si>
    <t>chongement cantacteur LC1D25</t>
  </si>
  <si>
    <t xml:space="preserve">comùitateur de position </t>
  </si>
  <si>
    <t xml:space="preserve">chongement comitateur de position </t>
  </si>
  <si>
    <t xml:space="preserve">panne electrique pince </t>
  </si>
  <si>
    <t xml:space="preserve">reparation cable electrique de puissance moteur machaine </t>
  </si>
  <si>
    <t xml:space="preserve">disjancteur declancher </t>
  </si>
  <si>
    <t xml:space="preserve">reset disjancteur </t>
  </si>
  <si>
    <t xml:space="preserve">panne electrique de poste soudeur </t>
  </si>
  <si>
    <t xml:space="preserve">cable electrique endomager </t>
  </si>
  <si>
    <t xml:space="preserve">reparation du cable electrique  </t>
  </si>
  <si>
    <t xml:space="preserve">boton possoir casser </t>
  </si>
  <si>
    <t xml:space="preserve">chongement boton possoir TLC </t>
  </si>
  <si>
    <t xml:space="preserve">alimantation electrique </t>
  </si>
  <si>
    <t>chongement alimentation electrique INP=380v AC   OUT = 24 v DC</t>
  </si>
  <si>
    <t xml:space="preserve">besoir en electrodes de soudage </t>
  </si>
  <si>
    <t xml:space="preserve">usure de la surface de electrode de soudage </t>
  </si>
  <si>
    <t xml:space="preserve">rectification à la surface </t>
  </si>
  <si>
    <t xml:space="preserve">panne boton possoir </t>
  </si>
  <si>
    <t xml:space="preserve">chongement la boton possoir </t>
  </si>
  <si>
    <t xml:space="preserve"> boton possoir </t>
  </si>
  <si>
    <t xml:space="preserve">panne du guide fille </t>
  </si>
  <si>
    <t>reparatin</t>
  </si>
  <si>
    <t xml:space="preserve">panne  couse </t>
  </si>
  <si>
    <t xml:space="preserve">percé , taroude et remis  demarrage </t>
  </si>
  <si>
    <t xml:space="preserve">panne hydraulique </t>
  </si>
  <si>
    <t xml:space="preserve">probleme du flexible d'lui le pince </t>
  </si>
  <si>
    <t xml:space="preserve">chongement du flexible </t>
  </si>
  <si>
    <t xml:space="preserve">panne du guid rile </t>
  </si>
  <si>
    <t xml:space="preserve">guide rile casse </t>
  </si>
  <si>
    <t xml:space="preserve">imentage guide rile et soudage rementage </t>
  </si>
  <si>
    <t>panne du roulement d'avance RR*R</t>
  </si>
  <si>
    <t>chongement la chaine B10</t>
  </si>
  <si>
    <t xml:space="preserve">panne pneumatique </t>
  </si>
  <si>
    <t xml:space="preserve">fuite de l'air </t>
  </si>
  <si>
    <t xml:space="preserve">chongement du tuyau </t>
  </si>
  <si>
    <t xml:space="preserve">panne de transprteur </t>
  </si>
  <si>
    <t>cache de bansse de verin</t>
  </si>
  <si>
    <t>remontage la case se verin</t>
  </si>
  <si>
    <t xml:space="preserve">reparation d'éclairage </t>
  </si>
  <si>
    <t xml:space="preserve">des monter la projecteur </t>
  </si>
  <si>
    <t>chongement la mourceur et tronsfomateur</t>
  </si>
  <si>
    <t>panne savonnir ( moteur + redecteur )</t>
  </si>
  <si>
    <t xml:space="preserve">les roulements de redecteur </t>
  </si>
  <si>
    <t xml:space="preserve">chongement de redecteur + rementage le moteur </t>
  </si>
  <si>
    <t xml:space="preserve">probleme de frin de dévidoire </t>
  </si>
  <si>
    <t>cable dediectur</t>
  </si>
  <si>
    <t xml:space="preserve">chongement des cables didiectur </t>
  </si>
  <si>
    <t xml:space="preserve">panne du système d'avancer </t>
  </si>
  <si>
    <t xml:space="preserve">usure des galeis </t>
  </si>
  <si>
    <t xml:space="preserve">chongement des galeis </t>
  </si>
  <si>
    <t xml:space="preserve">panne du cisaille </t>
  </si>
  <si>
    <t xml:space="preserve">cisaille ne fonction pas </t>
  </si>
  <si>
    <t xml:space="preserve">reglage de système </t>
  </si>
  <si>
    <t xml:space="preserve">probleme du courroies du machaine </t>
  </si>
  <si>
    <t>courrioes</t>
  </si>
  <si>
    <t xml:space="preserve">chongement des courroies </t>
  </si>
  <si>
    <t xml:space="preserve">coupaire de la cable </t>
  </si>
  <si>
    <t xml:space="preserve">racourdi de cable </t>
  </si>
  <si>
    <t xml:space="preserve">panne electrique en disjancteur </t>
  </si>
  <si>
    <t>rairemé de disjancteur</t>
  </si>
  <si>
    <t xml:space="preserve">panne cassette daimetre 6 C </t>
  </si>
  <si>
    <t xml:space="preserve">usur des roulement </t>
  </si>
  <si>
    <t xml:space="preserve">chongement du roulement </t>
  </si>
  <si>
    <t xml:space="preserve">panne de telecmmande </t>
  </si>
  <si>
    <t xml:space="preserve">probleme de boton possoir </t>
  </si>
  <si>
    <t xml:space="preserve">chongement du boton possoir </t>
  </si>
  <si>
    <t xml:space="preserve">freinage de moteur </t>
  </si>
  <si>
    <t xml:space="preserve">reglage de frin de moteur </t>
  </si>
  <si>
    <t xml:space="preserve">panne de cable de telecommande </t>
  </si>
  <si>
    <t xml:space="preserve">coupé de la chaine </t>
  </si>
  <si>
    <t xml:space="preserve">reparation des cabels </t>
  </si>
  <si>
    <t xml:space="preserve">panne de courrioe de moteur </t>
  </si>
  <si>
    <t xml:space="preserve">copie de la cable </t>
  </si>
  <si>
    <t xml:space="preserve">copie de courrioe </t>
  </si>
  <si>
    <t>chongement  des courroies</t>
  </si>
  <si>
    <t xml:space="preserve">panne de berisa de soudage </t>
  </si>
  <si>
    <t xml:space="preserve">berisa de soudage </t>
  </si>
  <si>
    <t xml:space="preserve">chongement le berisa de soudage </t>
  </si>
  <si>
    <t>buide de omlion d'air</t>
  </si>
  <si>
    <t xml:space="preserve">chongement buide de omlion </t>
  </si>
  <si>
    <t xml:space="preserve">deblassement bouone de balase </t>
  </si>
  <si>
    <t xml:space="preserve">demounter la bouton de balase </t>
  </si>
  <si>
    <t xml:space="preserve">panne du decalage de guide </t>
  </si>
  <si>
    <t xml:space="preserve">decalage de guide </t>
  </si>
  <si>
    <t>surfasage la course et birsage</t>
  </si>
  <si>
    <t xml:space="preserve">panne du courrioe de moteur </t>
  </si>
  <si>
    <t xml:space="preserve">copie du courrioe </t>
  </si>
  <si>
    <t xml:space="preserve">chongement des courrioes et serrage de courrioe </t>
  </si>
  <si>
    <t xml:space="preserve">panne bloc soudure </t>
  </si>
  <si>
    <t>usur bloc soudure</t>
  </si>
  <si>
    <t xml:space="preserve">chongement du bloc soudure </t>
  </si>
  <si>
    <t xml:space="preserve">probleme du verin de roulement l'avance </t>
  </si>
  <si>
    <t xml:space="preserve">verin endammagé </t>
  </si>
  <si>
    <t>chongement verin</t>
  </si>
  <si>
    <t xml:space="preserve">panne mecanique </t>
  </si>
  <si>
    <t xml:space="preserve">verin de pince de tronsprteur </t>
  </si>
  <si>
    <t xml:space="preserve">chongement du verin </t>
  </si>
  <si>
    <t>panne bobinair</t>
  </si>
  <si>
    <t xml:space="preserve">desserrage des vis </t>
  </si>
  <si>
    <t xml:space="preserve">chongement des vis </t>
  </si>
  <si>
    <t>usure garnitur</t>
  </si>
  <si>
    <t>chongement disque d'embriage</t>
  </si>
  <si>
    <t xml:space="preserve">panne du d'embriage </t>
  </si>
  <si>
    <t xml:space="preserve">panne de prece de soudage </t>
  </si>
  <si>
    <t>le vis usure</t>
  </si>
  <si>
    <t xml:space="preserve">reparatin </t>
  </si>
  <si>
    <t>chongement les vis M10*30</t>
  </si>
  <si>
    <t>soudage disboutiv</t>
  </si>
  <si>
    <t xml:space="preserve">panne de disboutiv de coupe </t>
  </si>
  <si>
    <t xml:space="preserve">chongement les vis et soudage </t>
  </si>
  <si>
    <t>l'axe usure</t>
  </si>
  <si>
    <t>chongement d'une axe de plangeur</t>
  </si>
  <si>
    <t>panne d'une axe de plongeur</t>
  </si>
  <si>
    <t>panne de transformateur et l'axe de blangeur</t>
  </si>
  <si>
    <t xml:space="preserve">axe de blangeur et transformateur </t>
  </si>
  <si>
    <t xml:space="preserve">chongement l'axe et tronsformateur </t>
  </si>
  <si>
    <t xml:space="preserve">4 jours </t>
  </si>
  <si>
    <t xml:space="preserve">preventif sur le tirrior d'agitation </t>
  </si>
  <si>
    <t>usure sur bras + bielle</t>
  </si>
  <si>
    <t xml:space="preserve">chongement des bras d'agitation 
chongement bielle d'agitation 
 dressage de les grille 
mise en mareche du système </t>
  </si>
  <si>
    <t xml:space="preserve">moteur </t>
  </si>
  <si>
    <t xml:space="preserve">reglage vitesse moteur hydraulique 
foubage fiche electrique </t>
  </si>
  <si>
    <t xml:space="preserve">entretien de machain </t>
  </si>
  <si>
    <t xml:space="preserve">de transformateur </t>
  </si>
  <si>
    <t xml:space="preserve">chongement de transformateur </t>
  </si>
  <si>
    <t>panne circuit pneumatique</t>
  </si>
  <si>
    <t xml:space="preserve">fuite l'air distributeur </t>
  </si>
  <si>
    <t xml:space="preserve">arrets fuite de l'air 
 chongement des joins torique </t>
  </si>
  <si>
    <t xml:space="preserve">panne cisaille </t>
  </si>
  <si>
    <t xml:space="preserve">cisaille dérage </t>
  </si>
  <si>
    <t xml:space="preserve">dressage du système de didecteur </t>
  </si>
  <si>
    <t xml:space="preserve">panne de pousse fils dispositif d'éjection </t>
  </si>
  <si>
    <t xml:space="preserve">la came dérgler </t>
  </si>
  <si>
    <t xml:space="preserve">reglage dispositif d'éjection de fil </t>
  </si>
  <si>
    <t xml:space="preserve">panne d'arber de cisaille </t>
  </si>
  <si>
    <t xml:space="preserve">d'arber usur </t>
  </si>
  <si>
    <t xml:space="preserve">charege  de soudeur ( rectification ) </t>
  </si>
  <si>
    <t xml:space="preserve">installation de nouveau transfomateur </t>
  </si>
  <si>
    <t xml:space="preserve">transfomateur </t>
  </si>
  <si>
    <t>déplacement transfomateur</t>
  </si>
  <si>
    <t xml:space="preserve">probleme de moteur de rouleau d'avencement </t>
  </si>
  <si>
    <t xml:space="preserve">moteur de rouleau dérègler </t>
  </si>
  <si>
    <t xml:space="preserve">reglage le moteur et reparation </t>
  </si>
  <si>
    <t xml:space="preserve">panne mecanique (probleme isolaut porte electrode ) </t>
  </si>
  <si>
    <t xml:space="preserve">isolaut porte electrod endommager </t>
  </si>
  <si>
    <t xml:space="preserve">confection les calles baguellete suivenb modèle </t>
  </si>
  <si>
    <t xml:space="preserve">entretien et chongement d'huile </t>
  </si>
  <si>
    <t xml:space="preserve">vidange d'hiule </t>
  </si>
  <si>
    <t xml:space="preserve">chongement d'huile et filtre de cartouche </t>
  </si>
  <si>
    <t xml:space="preserve">panne de moteur lenze </t>
  </si>
  <si>
    <t xml:space="preserve">roulement due moteur endomage </t>
  </si>
  <si>
    <t xml:space="preserve">chongement les roulements </t>
  </si>
  <si>
    <t xml:space="preserve">panne de cisaille dérègler </t>
  </si>
  <si>
    <t>la came de cisaille deplacer</t>
  </si>
  <si>
    <t xml:space="preserve">reglage la position de dedicteur </t>
  </si>
  <si>
    <t xml:space="preserve">panne mecanique (probleme roue crouse ) </t>
  </si>
  <si>
    <t xml:space="preserve">rou crouse endommager </t>
  </si>
  <si>
    <t xml:space="preserve">chongement rou crouse et reglage la machine </t>
  </si>
  <si>
    <t xml:space="preserve">bage brenze usie </t>
  </si>
  <si>
    <t xml:space="preserve">chongement bage en brenze filte </t>
  </si>
  <si>
    <t>panne machine ( probleme de chape rotule  )</t>
  </si>
  <si>
    <t xml:space="preserve">chape usie </t>
  </si>
  <si>
    <t xml:space="preserve">chongement de chape rotule </t>
  </si>
  <si>
    <t xml:space="preserve">panne mecanique de pignion de transmission </t>
  </si>
  <si>
    <t xml:space="preserve"> pignion de transmission </t>
  </si>
  <si>
    <t xml:space="preserve">soudage la pignion et rectification </t>
  </si>
  <si>
    <t xml:space="preserve">installation du transfomateur </t>
  </si>
  <si>
    <t xml:space="preserve">transformateur changer </t>
  </si>
  <si>
    <t xml:space="preserve">chongement transformateur </t>
  </si>
  <si>
    <t xml:space="preserve">l'axe usur </t>
  </si>
  <si>
    <t xml:space="preserve">cchangement l'axe et roulement </t>
  </si>
  <si>
    <t xml:space="preserve">panne de roulement d'avance </t>
  </si>
  <si>
    <t xml:space="preserve">roulement endommager </t>
  </si>
  <si>
    <t xml:space="preserve">chongement roulement </t>
  </si>
  <si>
    <t xml:space="preserve">panne sur cassette daimmetre 7 cranté </t>
  </si>
  <si>
    <t xml:space="preserve">état du fil cranté non coformé </t>
  </si>
  <si>
    <t xml:space="preserve">zommage des galets cranté du cassette daimmetre 7 </t>
  </si>
  <si>
    <t>panne cassette daimmetre 5 cranté</t>
  </si>
  <si>
    <t>les roulement conique sur partie cranté</t>
  </si>
  <si>
    <t xml:space="preserve">changement 6 roulement conique 32008
zommage </t>
  </si>
  <si>
    <t xml:space="preserve">panne sur cassette daimmetre 10 cranté </t>
  </si>
  <si>
    <t xml:space="preserve">les roulement conique endommagé </t>
  </si>
  <si>
    <t xml:space="preserve">changement 2 roulement conique 32008 sur partie cranté </t>
  </si>
  <si>
    <t xml:space="preserve">panne porte de securite </t>
  </si>
  <si>
    <t xml:space="preserve">circuité d'air du fermeture porte ( bauché ) </t>
  </si>
  <si>
    <t xml:space="preserve">débochage circuit d'air au neveau distrubiteur d'air pour fermé la porte securité </t>
  </si>
  <si>
    <t xml:space="preserve">panne sur pompe hydraulique </t>
  </si>
  <si>
    <t xml:space="preserve">acoplement defictieuse </t>
  </si>
  <si>
    <t xml:space="preserve">démantage la pompe hydraulique pour réparation la coplement du la limontation du rotation pompe hydraulique ( acoblage la coploment ) </t>
  </si>
  <si>
    <t xml:space="preserve">panne sur EVG TS </t>
  </si>
  <si>
    <t xml:space="preserve">transformateur du soudage 2 émé pas marche </t>
  </si>
  <si>
    <t xml:space="preserve">instalation un noveau tronsformateur 
débochage circuit du ronfraidisment
tarodage des trous su transformateur  du fexation transformateur sur la machain 
</t>
  </si>
  <si>
    <t xml:space="preserve">panne cércleuse </t>
  </si>
  <si>
    <t xml:space="preserve">les goupielle daimmetre 7 sur cércleuse cesayé </t>
  </si>
  <si>
    <t xml:space="preserve">changement 2 goupielle daimmetre 7 </t>
  </si>
  <si>
    <t xml:space="preserve">panne sur cassete daimmetre 8 cranté </t>
  </si>
  <si>
    <t xml:space="preserve">les roulements conique endommagé </t>
  </si>
  <si>
    <t xml:space="preserve">changement 6 roulements  32008 
 zommage </t>
  </si>
  <si>
    <t xml:space="preserve">panne sur poste de soudage </t>
  </si>
  <si>
    <t xml:space="preserve">piece moleuse  usé </t>
  </si>
  <si>
    <t xml:space="preserve">changement piece moleuse </t>
  </si>
  <si>
    <t xml:space="preserve">panne cassete daimmetre 3,8 L </t>
  </si>
  <si>
    <t xml:space="preserve">flexible de graissage endomege </t>
  </si>
  <si>
    <t>changement flexible  du graissage L 250mm</t>
  </si>
  <si>
    <t xml:space="preserve">panne sur cassete  daimmetre 3,8 L </t>
  </si>
  <si>
    <t xml:space="preserve">les roulement conique endomage </t>
  </si>
  <si>
    <t>changement 2 roulements conique 23008</t>
  </si>
  <si>
    <t xml:space="preserve">panne sur poste de soudeur </t>
  </si>
  <si>
    <t xml:space="preserve">un pied sur poste deréglé </t>
  </si>
  <si>
    <t>reglage un pied sur poste ( bien mounter et serrage tous les vis et ecrous sur poste )</t>
  </si>
  <si>
    <t>panne sur bobinaire du teurema 1</t>
  </si>
  <si>
    <t xml:space="preserve">ecrous d'assemblage du bobiniare endommagé </t>
  </si>
  <si>
    <t xml:space="preserve">changement 3 ecrous en cuivre du acemblage bobiniare </t>
  </si>
  <si>
    <t xml:space="preserve">panne sur cassete daimmetre 12 ecranté </t>
  </si>
  <si>
    <t xml:space="preserve">les roulements conique endomage  ( la dure de vus du roulement ) </t>
  </si>
  <si>
    <t xml:space="preserve">changement 2 goupielle daimmetre 8 L 40 
changement 2 goupielle daimmetre 7 L 30 
changement 2 goupielle  afutage coteau du coupe </t>
  </si>
  <si>
    <t xml:space="preserve">panne sur cabestan </t>
  </si>
  <si>
    <t xml:space="preserve">la surface de cabistan usé </t>
  </si>
  <si>
    <t xml:space="preserve">démantage cabistan pour changement sodeur inosce et molage la surface usé 
 remantage cabistan </t>
  </si>
  <si>
    <t xml:space="preserve">panne sur guid fil </t>
  </si>
  <si>
    <t xml:space="preserve">polét guide file du cassette passe 3 ==&gt; usé </t>
  </si>
  <si>
    <t xml:space="preserve">demantage polét guide file pour changement sodaur ( inosc )  
rementege polét </t>
  </si>
  <si>
    <t xml:space="preserve">panne sur cassette daimmetre 3,2 cranté </t>
  </si>
  <si>
    <t xml:space="preserve">file cranté du daimmetre 3,2 non conforme </t>
  </si>
  <si>
    <t xml:space="preserve">zommage des galet crante du daimmetre 3,2 </t>
  </si>
  <si>
    <t xml:space="preserve">panne sur bobinaire  </t>
  </si>
  <si>
    <t xml:space="preserve">blocage sur frin bobinaire </t>
  </si>
  <si>
    <t xml:space="preserve">démantage le destributeur d'air pour débochage cércuit d'air du frénage </t>
  </si>
  <si>
    <t xml:space="preserve">panne sur cassete daimmetre 4,6 L </t>
  </si>
  <si>
    <t xml:space="preserve">fuite d'eau au neveau partie entrer sur cassette daimmetre 4,6 L </t>
  </si>
  <si>
    <t>élèmination fuite d'eau 
changement flexible d'eau L 300
changement raccord coudé 1/8 * 10
tarodage un traus du fexation raccord 1/8</t>
  </si>
  <si>
    <t xml:space="preserve">panne sur bobinaire </t>
  </si>
  <si>
    <t xml:space="preserve">les boulon de fexation pignon d'attaque et pignon du rotation ==&gt; cisaillement  </t>
  </si>
  <si>
    <t>démantage bobinaire pour extraction des boulon casses 
tarodage des traus M14
changement 8 boulon M14*60 TH</t>
  </si>
  <si>
    <t xml:space="preserve">panne sur pompe du graissage </t>
  </si>
  <si>
    <t xml:space="preserve">blocage biston du pompe </t>
  </si>
  <si>
    <t xml:space="preserve">nettoyage circuit d'air ( poussiere ) 
serrage tous les article sur pompe </t>
  </si>
  <si>
    <t xml:space="preserve">panne sur cassete daimmetre 12 cranté </t>
  </si>
  <si>
    <t xml:space="preserve">un galét cranté endommagé </t>
  </si>
  <si>
    <t xml:space="preserve">reparatrion </t>
  </si>
  <si>
    <t>changement galéte (PR12)</t>
  </si>
  <si>
    <t xml:space="preserve">panne sur cassete daimmetre 3,8 L </t>
  </si>
  <si>
    <t xml:space="preserve">les roulements conique sur cassette endommagé </t>
  </si>
  <si>
    <t xml:space="preserve">changement 8 roulements conique 32008
  * 4 sur partie entré cassete 
  * 4 sur partie sortie cassete 
1 oumage des galéts </t>
  </si>
  <si>
    <t xml:space="preserve">panne sur cassete daimmetre 10 crante </t>
  </si>
  <si>
    <t xml:space="preserve">les roulements endommagé </t>
  </si>
  <si>
    <t xml:space="preserve">changement 6 roulements conique 32008  zoumage </t>
  </si>
  <si>
    <t xml:space="preserve">fuite au neveau circuit  du graissage </t>
  </si>
  <si>
    <t xml:space="preserve">reparatioan </t>
  </si>
  <si>
    <t>changement flexible du graissage L 250 mm</t>
  </si>
  <si>
    <t xml:space="preserve">fuit d'air + coteau endomage </t>
  </si>
  <si>
    <t xml:space="preserve">élémination fuit d'air au neveau biston du cercleuse 
afutage coteau   </t>
  </si>
  <si>
    <t xml:space="preserve">panne sur cercleuse </t>
  </si>
  <si>
    <t xml:space="preserve">panne sur support cercleuse </t>
  </si>
  <si>
    <t xml:space="preserve">cable du support cesayer </t>
  </si>
  <si>
    <t xml:space="preserve">changement cable daimmetre 6 L 2m 
tirrage un rosour du rappel sur support cercleuse </t>
  </si>
  <si>
    <t xml:space="preserve">panne sur poste soudeur </t>
  </si>
  <si>
    <t xml:space="preserve">chute pédole </t>
  </si>
  <si>
    <t xml:space="preserve">reglage 2 pédale du poste soudage </t>
  </si>
  <si>
    <t xml:space="preserve">panne sur cassette daimmetre 12 crenté </t>
  </si>
  <si>
    <t xml:space="preserve">galét cranté endomage </t>
  </si>
  <si>
    <t xml:space="preserve">changement du galét cranté (PR12° 
 ZOUMAGE </t>
  </si>
  <si>
    <t xml:space="preserve">panne sur cassete daimmetre 3,2 cranté </t>
  </si>
  <si>
    <t xml:space="preserve">blocage au neveau ecrou serrage des galét </t>
  </si>
  <si>
    <t xml:space="preserve">nettoyage cassete  
vérification tout les galét sur cassete </t>
  </si>
  <si>
    <t xml:space="preserve">panne sur savennaire </t>
  </si>
  <si>
    <t xml:space="preserve">blocage au neveau moteur du savonaire </t>
  </si>
  <si>
    <t xml:space="preserve">changement moteur electrique </t>
  </si>
  <si>
    <t xml:space="preserve">panne sur cassete daimmetre 10 cranté </t>
  </si>
  <si>
    <t xml:space="preserve">la durie vie du roulement conique </t>
  </si>
  <si>
    <t xml:space="preserve">panne sur cassete daimmetre 3,8 lisse </t>
  </si>
  <si>
    <t xml:space="preserve">un galét lisse sur partie entré du cassette endomage </t>
  </si>
  <si>
    <t xml:space="preserve">changement  galét lisse (RO0)
changement 2 roulement conique 32008 </t>
  </si>
  <si>
    <t xml:space="preserve">sertissage non conforme </t>
  </si>
  <si>
    <t xml:space="preserve">panne sur cercleuse  </t>
  </si>
  <si>
    <t>Clavetage moteur endommagé</t>
  </si>
  <si>
    <t>Démontage et changement du moteur endommagé</t>
  </si>
  <si>
    <t>Galet guide fil endommagé</t>
  </si>
  <si>
    <t>Changement d'un galet guide fil</t>
  </si>
  <si>
    <t>Fuite d'air (tuyau PPR endommagé)</t>
  </si>
  <si>
    <t>Raccordement et mise en marche</t>
  </si>
  <si>
    <t>Cassette 4,6</t>
  </si>
  <si>
    <t>Jeu sur roulement galet cranté</t>
  </si>
  <si>
    <t>Défaut sur galet de dressage</t>
  </si>
  <si>
    <t xml:space="preserve">Changement des roulement + surfaçage </t>
  </si>
  <si>
    <t>Cassette d10</t>
  </si>
  <si>
    <t xml:space="preserve">defaut machine </t>
  </si>
  <si>
    <t>Débouchage du circuit de refroidissement</t>
  </si>
  <si>
    <t>Elimination de la fuite ( changement d'un flexible)</t>
  </si>
  <si>
    <t>Jeu sur galet lisse</t>
  </si>
  <si>
    <t>Changement de 4 roulement conique 32008</t>
  </si>
  <si>
    <t>Roulement boite de transmission endommagés</t>
  </si>
  <si>
    <t>Démontage de la boite de transmission changement des roulements et mise en marche</t>
  </si>
  <si>
    <t>Galet guide fil coincé</t>
  </si>
  <si>
    <t>Changement de 4 galets guide fils</t>
  </si>
  <si>
    <t>Raccord d'eau endommagé</t>
  </si>
  <si>
    <t>Changement d'un distributeur d'eau</t>
  </si>
  <si>
    <t xml:space="preserve">Cassette d4  </t>
  </si>
  <si>
    <t>Rouelemnt de poulie endommgé</t>
  </si>
  <si>
    <t>Changement de deux roulements a bille et mise en marche</t>
  </si>
  <si>
    <t>Changement d'une presse etoupe</t>
  </si>
  <si>
    <t>Accouplement endommagé</t>
  </si>
  <si>
    <t>Confection d'un acouplement et vidange du GH</t>
  </si>
  <si>
    <t>Panne du dispositif guide fil</t>
  </si>
  <si>
    <t>Soudage de la parite endommagée et mise en marche</t>
  </si>
  <si>
    <t>Dispositif de soudage</t>
  </si>
  <si>
    <t>Panne de plongeur</t>
  </si>
  <si>
    <t>Changement de l'axe plongeur déformé</t>
  </si>
  <si>
    <t>Disposit de cisaille</t>
  </si>
  <si>
    <t>Came déreglée</t>
  </si>
  <si>
    <t>Réglage de la came de cisaille</t>
  </si>
  <si>
    <t>Débouchage et mise en marche</t>
  </si>
  <si>
    <t>Roulements du système d'avancement endommagés</t>
  </si>
  <si>
    <t>Chnagement des roulements et mise en marche</t>
  </si>
  <si>
    <t>Pb sur frein moteur</t>
  </si>
  <si>
    <t>Réglage du frein moteur et mise en marche</t>
  </si>
  <si>
    <t>Alimentation 24VDC</t>
  </si>
  <si>
    <t>Alimentation 24DC endommagée</t>
  </si>
  <si>
    <t>Changement du bloc d'alimentation</t>
  </si>
  <si>
    <t>Pb sur vérin bobinoir</t>
  </si>
  <si>
    <t>Nettoyage de l'electrovanne et mise en marche</t>
  </si>
  <si>
    <t>Ruptures de cables de commande</t>
  </si>
  <si>
    <t>Pb sur moteur translation</t>
  </si>
  <si>
    <t>Rupture du vable 'alimentation</t>
  </si>
  <si>
    <t>Raccordement du cable electrique et mise en marche</t>
  </si>
  <si>
    <t>Pb electrique</t>
  </si>
  <si>
    <t>Réparation du cable endommagé</t>
  </si>
  <si>
    <t>Détecteur de priximité dereglé</t>
  </si>
  <si>
    <t xml:space="preserve">Rouleau de chargement </t>
  </si>
  <si>
    <t>Usure des lames du Rouleau</t>
  </si>
  <si>
    <t>Changement des lames du rouleaux</t>
  </si>
  <si>
    <t>Remplacement par GA22</t>
  </si>
  <si>
    <t>Achat Compresseur Neuf en cours</t>
  </si>
  <si>
    <t>Silo6</t>
  </si>
  <si>
    <t>Réparatio</t>
  </si>
  <si>
    <t>Déblocage de la vis et mise en marche</t>
  </si>
  <si>
    <t>Elimination de la fuite et mise en d'une vanne d'arret</t>
  </si>
  <si>
    <t>Cisaillement de la chape de vérin</t>
  </si>
  <si>
    <t>Soudage de la partie endommagée et mise en marche</t>
  </si>
  <si>
    <t>Changement du cable du skip D16MM et changement de deux pales de malaxeur</t>
  </si>
  <si>
    <t xml:space="preserve">Changement de la pompe 3kw à patte Centrifuge 1"1/12 - 1" </t>
  </si>
  <si>
    <t>Changement du palier du tiroir</t>
  </si>
  <si>
    <t>Usure des bras d'agitation et de la grille d'agitation</t>
  </si>
  <si>
    <t>Démontage et changement des bras et de la grille d'agitation</t>
  </si>
  <si>
    <t>Vérin moule endommagé</t>
  </si>
  <si>
    <t xml:space="preserve">Usure de la fixation des griffes </t>
  </si>
  <si>
    <t>Démontage des griffes de la lance fixation et mise en marche</t>
  </si>
  <si>
    <t>Rupture de la chaine tendeuse du convoyeur à palette</t>
  </si>
  <si>
    <t xml:space="preserve">Changement de la chaine et tension </t>
  </si>
  <si>
    <t>Trémie Gravettes</t>
  </si>
  <si>
    <t>Blocage du convoyeur à cause de la présence d'UPN 80 Bloqué</t>
  </si>
  <si>
    <t xml:space="preserve"> Extraction et mise en marche de la machine</t>
  </si>
  <si>
    <t>Problème sur une entrée de la carte</t>
  </si>
  <si>
    <t>Réparation de la carte electronique et mise en marche</t>
  </si>
  <si>
    <t>Convoyeur descensseur</t>
  </si>
  <si>
    <t>Changement d'un detecteur endommagé</t>
  </si>
  <si>
    <t>Vérin tiroir endommagé</t>
  </si>
  <si>
    <t>Changement du vérin du tiroir</t>
  </si>
  <si>
    <t>Système de compensation</t>
  </si>
  <si>
    <t>Intervention Schlatter</t>
  </si>
  <si>
    <t>Installation d'un nouveau système de compensation et système de tirage Par Mr Bougadda</t>
  </si>
  <si>
    <t>Tôle de la table vibrante endommagée</t>
  </si>
  <si>
    <t>Changement de la tôle de la table vibrante et mise en marche</t>
  </si>
  <si>
    <t>Moule pilon</t>
  </si>
  <si>
    <t>Coussinets de colonnes endommagés</t>
  </si>
  <si>
    <t>Changement des coussinet endommagés</t>
  </si>
  <si>
    <t xml:space="preserve">Casset d8 </t>
  </si>
  <si>
    <t>Jeu sur roulements coniques 32008</t>
  </si>
  <si>
    <t>Changement de deux roulement zoomage et mise en marche</t>
  </si>
  <si>
    <t>Poulie guide fil bloqué</t>
  </si>
  <si>
    <t>Démontage de la poulie changement des roulement et mise en marche</t>
  </si>
  <si>
    <t>Blocage au niveau du réducteur</t>
  </si>
  <si>
    <t>Nottoyage et graisse du rducteur</t>
  </si>
  <si>
    <t xml:space="preserve">Roulements endommagés </t>
  </si>
  <si>
    <t>Changement de 4 roulements + zoomage</t>
  </si>
  <si>
    <t>Jeu sur roulement</t>
  </si>
  <si>
    <t>Changement du chariot endommagé</t>
  </si>
  <si>
    <t>Tete du bobinoir bloqué</t>
  </si>
  <si>
    <t>Changement d'un roulement conique endommagé et mise en marche</t>
  </si>
  <si>
    <t>Jeu sur danseur</t>
  </si>
  <si>
    <t>Serrage et elimination du jeu</t>
  </si>
  <si>
    <t>Vis de fixation de socle du bobinoir endommagés</t>
  </si>
  <si>
    <t>changement d'un flexible endommagé</t>
  </si>
  <si>
    <t>Rouelemnts endommagés</t>
  </si>
  <si>
    <t>Changement de 6 roulmements 32008 et d'un galet lisse R1</t>
  </si>
  <si>
    <t>Surface endommagé</t>
  </si>
  <si>
    <t>Chargement de surface et montage du cabestan</t>
  </si>
  <si>
    <t>Poulie guide fil de la sautrelle coincée</t>
  </si>
  <si>
    <t>Démontage de la poulie et changement de deux roulements endommagés</t>
  </si>
  <si>
    <t xml:space="preserve">Danseurs </t>
  </si>
  <si>
    <t>Dmontage pour rectif chez tourneur</t>
  </si>
  <si>
    <t>Elimination du jeu par mise en place de bagues en bronze</t>
  </si>
  <si>
    <t>Bouton de demarrage</t>
  </si>
  <si>
    <t>Comutateur endommagé</t>
  </si>
  <si>
    <t>Changement d'un commutateur endommagé</t>
  </si>
  <si>
    <t>Chariot en limite</t>
  </si>
  <si>
    <t>Réglage du detecteur haut du chariot</t>
  </si>
  <si>
    <t>Vérin Porte electode boqué</t>
  </si>
  <si>
    <t>Changement d'un axe plongeur Des isolant et motange des electrodes de soudage</t>
  </si>
  <si>
    <t>Came de cisaille dereglée</t>
  </si>
  <si>
    <t>Réglage de la came de cisaille et mise en marche</t>
  </si>
  <si>
    <t>Circuit d'aire comprimé</t>
  </si>
  <si>
    <t>MAnque de pression</t>
  </si>
  <si>
    <t>Distributeur HS / Réparation et montage</t>
  </si>
  <si>
    <t>Distributeur obstrués</t>
  </si>
  <si>
    <t>Nettoyage des distributeurs et mise en marche</t>
  </si>
  <si>
    <t>Roulement endommagés</t>
  </si>
  <si>
    <t>Chnagement des roulements tension des courroies et mise en marche</t>
  </si>
  <si>
    <t>Pb sur pont de soudage</t>
  </si>
  <si>
    <t>Taraudage des trous de fixation et Raccordement et mise en marche</t>
  </si>
  <si>
    <t>Blocage des galets du système d'avancement</t>
  </si>
  <si>
    <t>Changement d'un roulement endommagé et changement d'un vérin / mise en marche</t>
  </si>
  <si>
    <t>Cable de levage endommagé</t>
  </si>
  <si>
    <t>Galet guide fil bloqué en position haut</t>
  </si>
  <si>
    <t>Nettoyage du distributeur d'air et mise en marche</t>
  </si>
  <si>
    <t>Moteur cisaille bloqué</t>
  </si>
  <si>
    <t xml:space="preserve">Démontage du frein moteur et liberation du moteur </t>
  </si>
  <si>
    <t>Entretien general</t>
  </si>
  <si>
    <t>Démontage du système de cisaillage et entretien</t>
  </si>
  <si>
    <t>Distributeur endommagé</t>
  </si>
  <si>
    <t>Changement d'un distributeur hydrauklique 5/2</t>
  </si>
  <si>
    <t>Sytème d'entrainement</t>
  </si>
  <si>
    <t>Réparation du porte clavette et mise en marchez</t>
  </si>
  <si>
    <t>PB de commange</t>
  </si>
  <si>
    <t>Raccordement du cable de l'electrovanne</t>
  </si>
  <si>
    <t>Chnagment des courroies endommagées</t>
  </si>
  <si>
    <t>Chape de vérin de ridelles endommagé</t>
  </si>
  <si>
    <t>Changement des chappe endommagée</t>
  </si>
  <si>
    <t>changement des courroies endommagés</t>
  </si>
  <si>
    <t>Carte siemens endommagé</t>
  </si>
  <si>
    <t>Elimination de l'erreur et changement de la carte</t>
  </si>
  <si>
    <t>Porte electrode</t>
  </si>
  <si>
    <t>Isolant usé</t>
  </si>
  <si>
    <t>R&amp;éparation</t>
  </si>
  <si>
    <t>Changement des isolant et mise en  marche</t>
  </si>
  <si>
    <t>Système de fixation du pignon d'attaque defaillant</t>
  </si>
  <si>
    <t>Démontage de la boite du bobinoir changement des vis endommagé et mise en marche</t>
  </si>
  <si>
    <t>Roulement des galets de dressage endommagé</t>
  </si>
  <si>
    <t>Changement de 2 roulement à bille / remontage du redresseur</t>
  </si>
  <si>
    <t>changement du moteur 1500tr/min endommagé</t>
  </si>
  <si>
    <t>Nettoyage et zoomage des cassette</t>
  </si>
  <si>
    <t>Guide fil bobinoir</t>
  </si>
  <si>
    <t>Démontage du guide fil ajustement du filetage et mise en marche</t>
  </si>
  <si>
    <t>Vis sans fin coincé</t>
  </si>
  <si>
    <t>Usure de surface du cabestan</t>
  </si>
  <si>
    <t>Tige d'assemblage bobinoir endommagé</t>
  </si>
  <si>
    <t>Changement de trois tige d'assemblage endommagée</t>
  </si>
  <si>
    <t>Moyenne globale</t>
  </si>
  <si>
    <t>Changement d'un couteau de cercleuse</t>
  </si>
  <si>
    <t xml:space="preserve">Cabestan 1 - 2 </t>
  </si>
  <si>
    <t>Démontage chargement de surface et mise en marche</t>
  </si>
  <si>
    <t>Galet guide fil danseur usé</t>
  </si>
  <si>
    <t>Serrage d'un raccord d'eau</t>
  </si>
  <si>
    <t>Casset d12</t>
  </si>
  <si>
    <t xml:space="preserve">Changement de 6 roulements 32008 + zoomage </t>
  </si>
  <si>
    <t>Cable d8 endommagé</t>
  </si>
  <si>
    <t>changement du cable antigiratoire</t>
  </si>
  <si>
    <t>Cercle de chariot endommagé</t>
  </si>
  <si>
    <t>Changemen du chariot guide fil et mise en marche</t>
  </si>
  <si>
    <t xml:space="preserve">Circuit de refroidissement bouché </t>
  </si>
  <si>
    <t>Fuite d</t>
  </si>
  <si>
    <t>Galet du guide fil usé</t>
  </si>
  <si>
    <t>Chariot guide fil endommagé</t>
  </si>
  <si>
    <t>Changement du chariot et mise en marche</t>
  </si>
  <si>
    <t>Changement d'un flexibe endommagé</t>
  </si>
  <si>
    <t>Démontage des cabestan chargement de surface et mise en marche</t>
  </si>
  <si>
    <t>défaut de zoomage</t>
  </si>
  <si>
    <t>Zommage de la cassette</t>
  </si>
  <si>
    <t>Nettoyage changement des roulement zoomage et mise en marche</t>
  </si>
  <si>
    <t>Goupille d'assemblage endommagée</t>
  </si>
  <si>
    <t>Changement de 4 goupilles et mise en marche</t>
  </si>
  <si>
    <t>Changement du flexible endommagé d10x600mm</t>
  </si>
  <si>
    <t>Roulement 6206 de poulie endommagés</t>
  </si>
  <si>
    <t>Changement de 2 roulements et remontage de la poulie</t>
  </si>
  <si>
    <t>Elimination d'une fuite d'air</t>
  </si>
  <si>
    <t>Transformateur endommagé</t>
  </si>
  <si>
    <t>Changement D'un transformateur endommagé</t>
  </si>
  <si>
    <t>Filet rapporté endommagé</t>
  </si>
  <si>
    <t xml:space="preserve">Rupture des courroies </t>
  </si>
  <si>
    <t>Dispositif guide fil</t>
  </si>
  <si>
    <t>Déblocage du moteur et mise en marche</t>
  </si>
  <si>
    <t>Climatiseur</t>
  </si>
  <si>
    <t>Roulement ventilateur endommagé</t>
  </si>
  <si>
    <t>Chnagement d'un roulement endommagé</t>
  </si>
  <si>
    <t>Changement d'une courroie calage et mise en marche</t>
  </si>
  <si>
    <t>Sonde</t>
  </si>
  <si>
    <t>Défaut de réglage de fin de course de la sonde</t>
  </si>
  <si>
    <t>Réglage de la hauteur et mise en marche</t>
  </si>
  <si>
    <t>Fuite d'huile au niveau du reducteur du malaxeur</t>
  </si>
  <si>
    <t>Changement de l'arrêt d'huile 60x85x10 et d'un roulement 16012</t>
  </si>
  <si>
    <t>Vis de fixation de la tête de cerclage endommagé</t>
  </si>
  <si>
    <t>26577
26578
26579</t>
  </si>
  <si>
    <t xml:space="preserve"> - Changement des galet du paletiseur
 - Changement des galets du tiroir
 - Changement de la tôle du malaxeur</t>
  </si>
  <si>
    <t>Réducteur endommagé</t>
  </si>
  <si>
    <t>Changement d'un roulement endommagé</t>
  </si>
  <si>
    <t>Changement d'une lame de coupe</t>
  </si>
  <si>
    <t>Lame de coupe endommagée</t>
  </si>
  <si>
    <t>Rupture d'une courroie 2800</t>
  </si>
  <si>
    <t>Changement d'une courroie endommagée</t>
  </si>
  <si>
    <t>Réducteur endommagée</t>
  </si>
  <si>
    <t>Changement d'un pignon confectionné</t>
  </si>
  <si>
    <t>Tremie</t>
  </si>
  <si>
    <t>Verin de la trabe endommagé</t>
  </si>
  <si>
    <t>Changement d'un vérin pneumatique et mise en marche</t>
  </si>
  <si>
    <t>Défaut pied de malaxage</t>
  </si>
  <si>
    <t>Réajustement de pieds de malaxage et mise en marche</t>
  </si>
  <si>
    <t>Défaut moteur</t>
  </si>
  <si>
    <t>Elimination d'un manque de phase montage et mise en marche</t>
  </si>
  <si>
    <t xml:space="preserve">Rupture du cable de commande </t>
  </si>
  <si>
    <t>Changement de lapartie endommagée du cable et mise en marche</t>
  </si>
  <si>
    <t>Danseur 3</t>
  </si>
  <si>
    <t>Changement de deux galets guide fil endommagés (d30x60mm Roulement 6000) ZZ</t>
  </si>
  <si>
    <t>Changement de 6 roulements conique 32008</t>
  </si>
  <si>
    <t>Arbre bobinoir endommagé</t>
  </si>
  <si>
    <t>Changement d'un arbre d20x70</t>
  </si>
  <si>
    <t>Danseur 4</t>
  </si>
  <si>
    <t>Changement de 2 galets guide fil</t>
  </si>
  <si>
    <t>Cabestan 3</t>
  </si>
  <si>
    <t>Démontage et chargement de surface et mise en marche</t>
  </si>
  <si>
    <t>Changement de 6 roulements endommagés + zoomage</t>
  </si>
  <si>
    <t>Cavitation</t>
  </si>
  <si>
    <t>Purge de la pompe et mise en marche</t>
  </si>
  <si>
    <t>Soudage de la partie endommagé</t>
  </si>
  <si>
    <t>Vis de fixation du mécanisme endommagé</t>
  </si>
  <si>
    <t>extraction de la vis changement et fixation du mecanisme</t>
  </si>
  <si>
    <t>Frein endommagé</t>
  </si>
  <si>
    <t>Garniture d'un disque de frein et mise en marche</t>
  </si>
  <si>
    <t>Changement des roulements endommagés et mise en marche</t>
  </si>
  <si>
    <t>Défaut de freinage ( fuite d'air</t>
  </si>
  <si>
    <t>Chnagement d'un raccord / elimination de la fuite et mise en marche</t>
  </si>
  <si>
    <t>Distributeur bloqué</t>
  </si>
  <si>
    <t>Entretien du distributeur montage et mise en marche</t>
  </si>
  <si>
    <t>Distributeur de galet de tirage obstrué</t>
  </si>
  <si>
    <t>Nettoyage et entretien du distributeur et mise en marche</t>
  </si>
  <si>
    <t>Vis de fixation d'electrode endommagé</t>
  </si>
  <si>
    <t>Extraction d'une vis et changement d'une vis</t>
  </si>
  <si>
    <t>Garniture moteur usée</t>
  </si>
  <si>
    <t>Changement garniture et mise en marche</t>
  </si>
  <si>
    <t>cisaille</t>
  </si>
  <si>
    <t>Fuite interne au niveau du distributeur hydraulique</t>
  </si>
  <si>
    <t>Rupture des courroies d'entrainement</t>
  </si>
  <si>
    <t>Changement de trois courroies endommagées</t>
  </si>
  <si>
    <t>Fuite d'eau sur pompe d'alimentation</t>
  </si>
  <si>
    <t>Changement de la presse etoupe endomagée</t>
  </si>
  <si>
    <t>Soudure de la partie endommagée et mise en marche</t>
  </si>
  <si>
    <t>Changement des roulements enodommagés</t>
  </si>
  <si>
    <t>PB sur variateur (rupture cable moteur</t>
  </si>
  <si>
    <t xml:space="preserve">Changement de la partie endommagée du cable </t>
  </si>
  <si>
    <t>Surchauffe variateur</t>
  </si>
  <si>
    <t>Changement d'un ventilateur endommagé</t>
  </si>
  <si>
    <t>Pont Roulant</t>
  </si>
  <si>
    <t>Défaut cable d'alimentation</t>
  </si>
  <si>
    <t>Réparation du cable et mise en marche</t>
  </si>
  <si>
    <t>Changement du capteur et mise en marche</t>
  </si>
  <si>
    <t>Relais statique endommagé</t>
  </si>
  <si>
    <t>Changement d'un relais statique</t>
  </si>
  <si>
    <t>Détecteur de proximité translation endommagé</t>
  </si>
  <si>
    <t>Court circuit au niveau du cable moteur</t>
  </si>
  <si>
    <t>Elimination du court circuit et mise en marche</t>
  </si>
  <si>
    <t>Relais d'urgence</t>
  </si>
  <si>
    <t>Blocage relais d'urgence</t>
  </si>
  <si>
    <t>Cchangement du contact et mise en marche</t>
  </si>
  <si>
    <t>Défaut sur boutton</t>
  </si>
  <si>
    <t>Changemnt d'un bouton endommagé</t>
  </si>
  <si>
    <t>Défaut sur commutateur MAN/AUTO</t>
  </si>
  <si>
    <t>Changement d'un commutateur 3 position</t>
  </si>
  <si>
    <t>Défaut d'alimention</t>
  </si>
  <si>
    <t>Changement de la partie endommagée du cable d'alimentation</t>
  </si>
  <si>
    <t>Changement du moteur endommagé</t>
  </si>
  <si>
    <t>Changement d'un capteur endommagé</t>
  </si>
  <si>
    <t>Changement du cable d'alimentation de la pince</t>
  </si>
  <si>
    <t>Cable porte securité endommagé</t>
  </si>
  <si>
    <t>Changement de la partie endommagée et mise en marche</t>
  </si>
  <si>
    <t>Sortie automate endommagée</t>
  </si>
  <si>
    <t>Changement d'une adresse sur programme</t>
  </si>
  <si>
    <t>Prévoir la mise en place de relais electromécaniques pour proteger les I/O</t>
  </si>
  <si>
    <t>Chariot Porte cable</t>
  </si>
  <si>
    <t>Fixation cable d'alimentation endommagé</t>
  </si>
  <si>
    <t>Réparation de la rail et et PDR de chariot porte cable</t>
  </si>
  <si>
    <t xml:space="preserve">Chute de pression d'eau </t>
  </si>
  <si>
    <t>Défaut ballon d'eau</t>
  </si>
  <si>
    <t>Changement du ballon d'eau et mise en marche</t>
  </si>
  <si>
    <t>Serrage des bornes de cable de commande</t>
  </si>
  <si>
    <t>Pompe de lubrification</t>
  </si>
  <si>
    <t>Alimentation generale</t>
  </si>
  <si>
    <t>Absence de courant ( disjoncteur HS)</t>
  </si>
  <si>
    <t>Changement du disjoncteur</t>
  </si>
  <si>
    <t xml:space="preserve">Défaut de freinage </t>
  </si>
  <si>
    <t>Défaut sur cable</t>
  </si>
  <si>
    <t>Changement de la parite endommagée du cable et mise en marche</t>
  </si>
  <si>
    <t>Defaut variateur</t>
  </si>
  <si>
    <t>Réglage de position des danseur et mise en marche</t>
  </si>
  <si>
    <t>Cassette d3,6</t>
  </si>
  <si>
    <t>Roulements endommagé</t>
  </si>
  <si>
    <t>Boulon de fixation endommagé</t>
  </si>
  <si>
    <t>Extraction de la vis Serrage d'une vis M8x100 pour fixation frein</t>
  </si>
  <si>
    <t>Changement de 6 roulements 32008 et zoomage de la cassette</t>
  </si>
  <si>
    <t>Guide fil danseur</t>
  </si>
  <si>
    <t>Surface galet usée</t>
  </si>
  <si>
    <t>Chargement à la soudure et mise en marche</t>
  </si>
  <si>
    <t>Défaut de tirage moteur</t>
  </si>
  <si>
    <t>Consultation EVG / Réparation des vérins de compensation et mise en marche</t>
  </si>
  <si>
    <t>23102021800001</t>
  </si>
  <si>
    <t>*</t>
  </si>
  <si>
    <t>Echeance vidange</t>
  </si>
  <si>
    <t xml:space="preserve"> - Vidange du groupe hydraulique
- Changement des filtres aspiration / retour /pression</t>
  </si>
  <si>
    <t>Magasin FT</t>
  </si>
  <si>
    <t>Vidange réducteur</t>
  </si>
  <si>
    <t>Vidange du groupe hydraulique</t>
  </si>
  <si>
    <t>vidange de la table vibrante</t>
  </si>
  <si>
    <t>Vidange du reducteur</t>
  </si>
  <si>
    <t>skip</t>
  </si>
  <si>
    <t>Vidange du réducteur</t>
  </si>
  <si>
    <t>Vidange du groupe hydraulique / et changement des filtres aspiration / pression / retour</t>
  </si>
  <si>
    <t>Tabke vibrante</t>
  </si>
  <si>
    <t>Vidante du réducteur du tambour du skip</t>
  </si>
  <si>
    <t>Vidange du réducteur du malaxeur</t>
  </si>
  <si>
    <t>Vidange du groupe hydrauque avec changemlent des filtres ( pression aspiration retour)</t>
  </si>
  <si>
    <t>Vidange du reducteur du tambour du skip</t>
  </si>
  <si>
    <t>Varitateur</t>
  </si>
  <si>
    <t>Fixation encodeur endommagée</t>
  </si>
  <si>
    <t>Defaut sur pompe de graissage</t>
  </si>
  <si>
    <t>Debouchage du circuit d'air comprimé et mise en marche</t>
  </si>
  <si>
    <t>Démontage du cabestan chargement de surface et mise en marche</t>
  </si>
  <si>
    <t>s</t>
  </si>
  <si>
    <t>Défaut d'eclairage</t>
  </si>
  <si>
    <t>Changement d'une amppoule endommagée</t>
  </si>
  <si>
    <t>Suivie continu du magasin pour la réalimentation du  stock de câbles antigiratoires</t>
  </si>
  <si>
    <t>M1017926</t>
  </si>
  <si>
    <t>MAchine</t>
  </si>
  <si>
    <t>Diagnostic general</t>
  </si>
  <si>
    <t>Diagnosit</t>
  </si>
  <si>
    <t>Intervention d'un technicien EVG pour la résolution du probleme d'endommagement des transformateurs</t>
  </si>
  <si>
    <t xml:space="preserve">PDR à vérifier et  à valider avec la DG ( liste reçu le 2/09/2022 </t>
  </si>
  <si>
    <t xml:space="preserve">Reprogrammation du variateur </t>
  </si>
  <si>
    <t>Défaut sur variateur ( prog effacé)</t>
  </si>
  <si>
    <t xml:space="preserve"> - Intervention de socar béton sans succès
- Attente solution de chez EUROLLS</t>
  </si>
  <si>
    <t xml:space="preserve">Chengement des roulemments serrage </t>
  </si>
  <si>
    <t xml:space="preserve">Surcharge eletrique au niveau du moteur de la savonniere </t>
  </si>
  <si>
    <t>Rearmement  du disjoncteur et mise en marche</t>
  </si>
  <si>
    <t>Intervention OMS</t>
  </si>
  <si>
    <t>Intervention OMS pour entretien general des cercleuses</t>
  </si>
  <si>
    <t>Intervention technicien OMS en cours</t>
  </si>
  <si>
    <t>OMS</t>
  </si>
  <si>
    <t xml:space="preserve">Jeu sur galet guide fil </t>
  </si>
  <si>
    <t>Resserage elimination du jeu et nettoyage du circuit d'air comprimé</t>
  </si>
  <si>
    <t>Soudage de la partie usée et mise en marche</t>
  </si>
  <si>
    <t xml:space="preserve">Panne réducteur </t>
  </si>
  <si>
    <t>Changement d'un réducteur et mise en marche</t>
  </si>
  <si>
    <t>Fissure du tiroir</t>
  </si>
  <si>
    <t>Soudage de la partie fissurée et mise en marche</t>
  </si>
  <si>
    <t>Bande pesante</t>
  </si>
  <si>
    <t>Automate HS</t>
  </si>
  <si>
    <t>Changement de l'automate HS et mise en marche</t>
  </si>
  <si>
    <t>système de tirage</t>
  </si>
  <si>
    <t>Dégaut sur galet guide fil</t>
  </si>
  <si>
    <t>Elimination du jeu et mise en marche</t>
  </si>
  <si>
    <t>Pression air faible</t>
  </si>
  <si>
    <t>Purge du circuit d'air comprimé et mise en marche</t>
  </si>
  <si>
    <t>Goulotte malaxeur usée</t>
  </si>
  <si>
    <t>Changement de la goulotte et mise en marche</t>
  </si>
  <si>
    <t>Changement du cadre glissant et mise en marche</t>
  </si>
  <si>
    <t>Motoréducteur d'agitation</t>
  </si>
  <si>
    <t>Flecion d'un axe plongeur</t>
  </si>
  <si>
    <t>Extraction et changement de l'axe plongeur endommagé</t>
  </si>
  <si>
    <t>Variateur HS</t>
  </si>
  <si>
    <t>Changement d'un variateur Micromaster</t>
  </si>
  <si>
    <t>Courroie d'entrainement endommagée</t>
  </si>
  <si>
    <t>Défaut général de courant</t>
  </si>
  <si>
    <t xml:space="preserve"> Diagnostic et elimination d'un court circuit</t>
  </si>
  <si>
    <t>Système d'entrainement usé</t>
  </si>
  <si>
    <t>Changement de l'arbre et palier d'agitation</t>
  </si>
  <si>
    <t>Convoyeur de planche</t>
  </si>
  <si>
    <t>Entretien general du tiroir</t>
  </si>
  <si>
    <t>Réparation de l'axe de guidage et grille d'agitation</t>
  </si>
  <si>
    <t>Armoire electrique</t>
  </si>
  <si>
    <t>Chariot de sauterelle</t>
  </si>
  <si>
    <t>Cardre du chariot usé</t>
  </si>
  <si>
    <t>Rechargement à la soudure du chariot et mise en marche</t>
  </si>
  <si>
    <t>Panne savonniere</t>
  </si>
  <si>
    <t>Réhaussement des helices de l'arbe et mise en marche</t>
  </si>
  <si>
    <t>Ridelles bloquées</t>
  </si>
  <si>
    <t>Defaut sur frein bobinoir</t>
  </si>
  <si>
    <t>Changement d'un arbre endommagé</t>
  </si>
  <si>
    <t>Jeu sur masselote</t>
  </si>
  <si>
    <t>Tiroir endommagé</t>
  </si>
  <si>
    <t>Changement du tiroir par un tiroir confectionné chez tourneur</t>
  </si>
  <si>
    <t>Elimination d'une surcharge et lmise en marche</t>
  </si>
  <si>
    <t>tole et cadre glissant usés</t>
  </si>
  <si>
    <t>Changement de la tole et du cadre glissant du tiroir</t>
  </si>
  <si>
    <t>Convoyeur à béton</t>
  </si>
  <si>
    <t>Changement d'un roulement endommagé au niveau du reducteur et mise en marche</t>
  </si>
  <si>
    <t>Rupture d'une courroie 1760</t>
  </si>
  <si>
    <t>Changement de la courroie 1760 et mise en marche</t>
  </si>
  <si>
    <t>Fuite d'huile sur poulie masselotte à cause d'un arrêt d'huile de mauvaise qualité</t>
  </si>
  <si>
    <t>Changement de l'arrêt d'huile remontage de la table et mise en marche</t>
  </si>
  <si>
    <t>Changement d'une bobine d'electrovanne endommagée</t>
  </si>
  <si>
    <t>Danseur usé</t>
  </si>
  <si>
    <t>Rebagage du danseur et confections des axes usés / montage et mise en marche</t>
  </si>
  <si>
    <t>Décalage de l'ascensseur</t>
  </si>
  <si>
    <t>Réglage de l'ascensseur et mise en marche</t>
  </si>
  <si>
    <t>Changement de la courroie 2800 et mise en marche</t>
  </si>
  <si>
    <t>Elimination d'un defaut d'isolement et mise en marche</t>
  </si>
  <si>
    <t>Motoreducteur HS</t>
  </si>
  <si>
    <t>Reinitialisation du variateur et mise en marche</t>
  </si>
  <si>
    <t>Programme</t>
  </si>
  <si>
    <t>Défaut de parametrage</t>
  </si>
  <si>
    <t>Restauration du sytème et mise en marche</t>
  </si>
  <si>
    <t>Changement d'un boutton endommagé et mise en marche</t>
  </si>
  <si>
    <t>panne cisaille</t>
  </si>
  <si>
    <t>Remontage d'un accouplement desseré et mise en marche</t>
  </si>
  <si>
    <t>defaut alignement axes plongeurs</t>
  </si>
  <si>
    <t>Elimination de mauvais contacts au niveau des E/S et mise en marche</t>
  </si>
  <si>
    <t>Changement des roulements E207 callage de la table</t>
  </si>
  <si>
    <t>Entretien de la table vibrante</t>
  </si>
  <si>
    <t>Changement d'un roulement 2210 - roulement 207E - Roulement NJ313 EC3 Montage d'une courroie 1760 et calage de la table</t>
  </si>
  <si>
    <t>Cmpresseur D'air</t>
  </si>
  <si>
    <t>Entretien et vidange compresseur</t>
  </si>
  <si>
    <t>Changement d'un roulement E207</t>
  </si>
  <si>
    <t>Usure des rail transbordeur et galets convoyeur</t>
  </si>
  <si>
    <t>Soudage de la partie usée des rails et changement des galets du convoyeur</t>
  </si>
  <si>
    <t>Entretien de la pompe et mise en marche</t>
  </si>
  <si>
    <t>Pousse Planche</t>
  </si>
  <si>
    <t>Changement du vérin et mise en marche</t>
  </si>
  <si>
    <t>Données machine supprimées</t>
  </si>
  <si>
    <t>Restauration des données systèmes et mise en marche</t>
  </si>
  <si>
    <t>Réglage de la grille et soudage de la partie fissurée</t>
  </si>
  <si>
    <t>Soudage de la partie fissurée - Soudage des supports de tiroir changement des cales du tiroir</t>
  </si>
  <si>
    <t>Nettoyage de la tete de cerclage et mise en marche</t>
  </si>
  <si>
    <t>Support de fixation vérin tiroir endommagé</t>
  </si>
  <si>
    <t>Flexibl moule endommagé</t>
  </si>
  <si>
    <t>Changement du flexible et mise en marche</t>
  </si>
  <si>
    <t>Changement de la poulie endommagée et calage de la table</t>
  </si>
  <si>
    <t>Panne dispositif guide fil</t>
  </si>
  <si>
    <t>Démontage extraction des vis endommagés dressage du guide fil et montage</t>
  </si>
  <si>
    <t>Galet et arbre réducteur endommagé</t>
  </si>
  <si>
    <t>Confection de galet montage et mise en marcue</t>
  </si>
  <si>
    <t>Tremie béton</t>
  </si>
  <si>
    <t>Panne moteur rouleau à béton</t>
  </si>
  <si>
    <t>Changement d'un moteur 1,5kW</t>
  </si>
  <si>
    <t>Descenceur</t>
  </si>
  <si>
    <t>Décalage de et cisaillement de la chaine</t>
  </si>
  <si>
    <t>Réglache de la chaine réparation d'un tendeur de chaine B16 et mise en marche</t>
  </si>
  <si>
    <t>Panne de table elevatrice de l'empileur</t>
  </si>
  <si>
    <t>Panne de guide fil</t>
  </si>
  <si>
    <t>Circuit d'alimentation</t>
  </si>
  <si>
    <t>Changement d'un chariot collecteur et mise en marche</t>
  </si>
  <si>
    <t>Panne de dispositif de ridelles d'empileur</t>
  </si>
  <si>
    <t>Changement des silent blox endommagés et mise en marche</t>
  </si>
  <si>
    <t>Frein bloqué</t>
  </si>
  <si>
    <t>Deblocage du frein et mise en marche</t>
  </si>
  <si>
    <t>Panne poulie guide fil</t>
  </si>
  <si>
    <t>Changement de 2 roulements à billes 6206 remontage des poulies et mise en marche</t>
  </si>
  <si>
    <t>Teton de fixation teton endommagés</t>
  </si>
  <si>
    <t>Répration</t>
  </si>
  <si>
    <t>Changement des tetons endommagés et mise en marche</t>
  </si>
  <si>
    <t>Changement du cable antigiratoire et mise en marche</t>
  </si>
  <si>
    <t>Dispositif de trames</t>
  </si>
  <si>
    <t>Blocage vérin</t>
  </si>
  <si>
    <t>démontage et nettoyage du vérin montage et mise en marche</t>
  </si>
  <si>
    <t>Blocage mécanique</t>
  </si>
  <si>
    <t>Changement de roulements et mise en marche</t>
  </si>
  <si>
    <t>Défaillance module de sécurité</t>
  </si>
  <si>
    <t>Changement du maodule et mise en marche</t>
  </si>
  <si>
    <t>Panne de rouleau d'avance</t>
  </si>
  <si>
    <t>Changement d'un rouleau endommagé et mise en marche</t>
  </si>
  <si>
    <t>Blocage du reducteur de la savonniere</t>
  </si>
  <si>
    <t>Deblocage du réducteur changement de la chaine B10 et mise en marche</t>
  </si>
  <si>
    <t>Blocage de guide fil</t>
  </si>
  <si>
    <t>Deblocage et réglage de la lame de guide fil</t>
  </si>
  <si>
    <t>Changement de roulements endommagés et mise en marche</t>
  </si>
  <si>
    <t>usure de surface</t>
  </si>
  <si>
    <t>Circuit de commande</t>
  </si>
  <si>
    <t>module d'entrée siemens endommagée</t>
  </si>
  <si>
    <t>Changement d'un module d'entrée et mise en marche</t>
  </si>
  <si>
    <t>Dressage de la lame de guidage et mis en marche</t>
  </si>
  <si>
    <t>Axe de poulie de renvoie endommagés</t>
  </si>
  <si>
    <t>Entretien général du mécanisme de vibration</t>
  </si>
  <si>
    <t>Panne sur tachimetre</t>
  </si>
  <si>
    <t>Confection d'un accouplement montage et mise en marche</t>
  </si>
  <si>
    <t>Panne vérin bobinoir</t>
  </si>
  <si>
    <t>Confection d'un chappe de vérin montage et mise en marche</t>
  </si>
  <si>
    <t>Table vibration</t>
  </si>
  <si>
    <t>Panne de table d'alignement</t>
  </si>
  <si>
    <t>Nettoyage vérin montage et mise en marche</t>
  </si>
  <si>
    <t>Changement de 2 roulements à bille remontage galets et mise en marche</t>
  </si>
  <si>
    <t>Entrainement</t>
  </si>
  <si>
    <t>Courroies endommagées</t>
  </si>
  <si>
    <t>Changement des courroies et mise marche</t>
  </si>
  <si>
    <t>Changement du cable et mise en marche</t>
  </si>
  <si>
    <t>Resserrage des vis de fixation du frein et mise en marche</t>
  </si>
  <si>
    <t>Changement de deux roulement galets natr n32</t>
  </si>
  <si>
    <t xml:space="preserve">Panne de ridelles </t>
  </si>
  <si>
    <t>Dressage des ridelles graissage et mise en marche</t>
  </si>
  <si>
    <t xml:space="preserve">Panne cassette d4,6 </t>
  </si>
  <si>
    <t xml:space="preserve">Changement d'un galet lisse changement de 6 roulements 32008 remontage cassette </t>
  </si>
  <si>
    <t>Axe de fixation tendeurs table vibrante endommagés</t>
  </si>
  <si>
    <t>Confection de nouveau axes et mise en marche</t>
  </si>
  <si>
    <t>Distributeur HS</t>
  </si>
  <si>
    <t>Chnagement du distributeur et mise en marche</t>
  </si>
  <si>
    <t>Démontage changement de roulements arrêt d'huile mpontage et mise en marche</t>
  </si>
  <si>
    <t>Objectif dsp</t>
  </si>
  <si>
    <t>Objectif MTBF</t>
  </si>
  <si>
    <t>Objectif MTTR</t>
  </si>
  <si>
    <t>Localisation</t>
  </si>
  <si>
    <t>Sommier</t>
  </si>
  <si>
    <t>Chariot de translation</t>
  </si>
  <si>
    <t>Treuil de levage</t>
  </si>
  <si>
    <t>Fin de course</t>
  </si>
  <si>
    <t>Freinage</t>
  </si>
  <si>
    <t xml:space="preserve">Fin de course </t>
  </si>
  <si>
    <t>Fin de Course</t>
  </si>
  <si>
    <t>Capacité</t>
  </si>
  <si>
    <t>10T</t>
  </si>
  <si>
    <t>PTS Droite</t>
  </si>
  <si>
    <t>PTS Milieu</t>
  </si>
  <si>
    <t>PTS Gauche</t>
  </si>
  <si>
    <t>5T</t>
  </si>
  <si>
    <t>Sans fin de course</t>
  </si>
  <si>
    <t>Sans frein</t>
  </si>
  <si>
    <t>Avec frein</t>
  </si>
  <si>
    <t xml:space="preserve">Avec frein </t>
  </si>
  <si>
    <t>3,5T</t>
  </si>
  <si>
    <t>3,2T</t>
  </si>
  <si>
    <t>PNGauche</t>
  </si>
  <si>
    <t>PN Droite</t>
  </si>
  <si>
    <t>TR Gauche</t>
  </si>
  <si>
    <t>TR Droite</t>
  </si>
  <si>
    <t>Enrobage MAN</t>
  </si>
  <si>
    <t>Arrêts</t>
  </si>
  <si>
    <t>Tout le mois</t>
  </si>
  <si>
    <t>5 jours</t>
  </si>
  <si>
    <t>2 jours</t>
  </si>
  <si>
    <t>Etat des ponts roulants</t>
  </si>
  <si>
    <t>11/08//2022</t>
  </si>
  <si>
    <t>Colonne1</t>
  </si>
  <si>
    <t>Colonne2</t>
  </si>
  <si>
    <t>Problèmes fréquent ( relachement des vis de réglage du frein)</t>
  </si>
  <si>
    <t>Chnagement du moteur et du réducteur de la pince</t>
  </si>
  <si>
    <t>Usure des pied de malaxeur</t>
  </si>
  <si>
    <t>Changement des pales de pattes et mise en marche</t>
  </si>
  <si>
    <t>Galets tiroir  usées</t>
  </si>
  <si>
    <t>Changement des galet du tiroir et soudage des pattes du malaxeur</t>
  </si>
  <si>
    <t>PB sur galets du tiroir</t>
  </si>
  <si>
    <t>Changement de roulements 6208</t>
  </si>
  <si>
    <t>Changement de courroies A50</t>
  </si>
  <si>
    <t>Défaut au niveau du dispositif de mesure</t>
  </si>
  <si>
    <t>Réglage de la rail et mise en marche</t>
  </si>
  <si>
    <t>Défaut sur rail de guidage</t>
  </si>
  <si>
    <t>Changement du cable de la boite à commande</t>
  </si>
  <si>
    <t>Tremie sable de mer</t>
  </si>
  <si>
    <t>Changement motoreducteur et mise en marche</t>
  </si>
  <si>
    <t>Chaine usée</t>
  </si>
  <si>
    <t>Changement des vis de fixation et mise en marche</t>
  </si>
  <si>
    <t>Motoréducteur endommagé</t>
  </si>
  <si>
    <t>Changement du motoreducteur et mise en marche</t>
  </si>
  <si>
    <t>Vis de fixation palier roue endommagé</t>
  </si>
  <si>
    <t>Changement des vis et mise en marche</t>
  </si>
  <si>
    <t>Changement du reducteur et mise en marche</t>
  </si>
  <si>
    <t>Fixation pattes malaxeur endommagé</t>
  </si>
  <si>
    <t xml:space="preserve">Changement des vis de fixation </t>
  </si>
  <si>
    <t>Caisse de tiroir endommagé</t>
  </si>
  <si>
    <t>Vis de fixation frein moteur endommagés</t>
  </si>
  <si>
    <t>Soudage des parties endommagées et mise en marche</t>
  </si>
  <si>
    <t>Rupture de lacourroie 1760</t>
  </si>
  <si>
    <t>Changement de la courroie réglage et calage de la table</t>
  </si>
  <si>
    <t>Changement de l'ensemble caisse tiroir et mise en marche</t>
  </si>
  <si>
    <t xml:space="preserve"> - Changement du cable electrique transbordeur
- Changement des la chaine du descensseur
- Changement des guide de chaine du descensseur
- Soudage de la tole du convoyeur à agregats</t>
  </si>
  <si>
    <t>Cercleuse n°6</t>
  </si>
  <si>
    <t>Coincement feuillard</t>
  </si>
  <si>
    <t>Celcleuse n°6</t>
  </si>
  <si>
    <t xml:space="preserve">Changement tendeur courroie </t>
  </si>
  <si>
    <t>Usure des pattes de malaxeur</t>
  </si>
  <si>
    <t>Changement des pattes usées</t>
  </si>
  <si>
    <t>Malaxedur</t>
  </si>
  <si>
    <t>Réparation role malaxeur</t>
  </si>
  <si>
    <t>Reparation tole malaxeur</t>
  </si>
  <si>
    <t>PB sur verin pilon</t>
  </si>
  <si>
    <t>Changement du vérin du support des vessies et d'un clapet antiretour</t>
  </si>
  <si>
    <t>Vis support endommagé</t>
  </si>
  <si>
    <t xml:space="preserve">Changement des vis endommagés </t>
  </si>
  <si>
    <t>Changement d'une courroie pj1270</t>
  </si>
  <si>
    <t>Silent bloc usés</t>
  </si>
  <si>
    <t>Changement de 16 silents blocs vidange et callage de la table vibrante</t>
  </si>
  <si>
    <t>Changement de la chaine et mise en marche</t>
  </si>
  <si>
    <t>Réparation du support de fixation et mise en marche</t>
  </si>
  <si>
    <t>Changement du palier et mise en marche</t>
  </si>
  <si>
    <t>Support le lame de soudage endommagé</t>
  </si>
  <si>
    <t>Changement du support de lame et mise en marche</t>
  </si>
  <si>
    <t xml:space="preserve">Tiroir chargeur </t>
  </si>
  <si>
    <t>Axe exentrique endommagé</t>
  </si>
  <si>
    <t>Chanegement de l'axe et mise en marche</t>
  </si>
  <si>
    <t>Guide lame de soudage endommagé</t>
  </si>
  <si>
    <t>Changement guide de lame nettoyage de la tete et mise en marche</t>
  </si>
  <si>
    <t>Changement d'un roulement nj205 changement courroie callage et mise en marche</t>
  </si>
  <si>
    <t>Fixation endommagée</t>
  </si>
  <si>
    <t>Soudage et remise en marche</t>
  </si>
  <si>
    <t>Courroie moteur endommagée 1850</t>
  </si>
  <si>
    <t>panne tresse de soudage</t>
  </si>
  <si>
    <t>entretien des fixation et mise en marche</t>
  </si>
  <si>
    <t>Changemtn de l'axe plongeur et mise en marche</t>
  </si>
  <si>
    <t>Vidange malaxeur</t>
  </si>
  <si>
    <t xml:space="preserve">Système d'entrainement </t>
  </si>
  <si>
    <t>Boulon d'entrainement endommagé</t>
  </si>
  <si>
    <t>Changement du boulon d'entrainement et mise en marche</t>
  </si>
  <si>
    <t>Panne pneumatique</t>
  </si>
  <si>
    <t>Demontage nettoyage edu distributeur et mise en marche</t>
  </si>
  <si>
    <t>galet rouleau d'avance usés</t>
  </si>
  <si>
    <t>variateur endommagé</t>
  </si>
  <si>
    <t>Reparation chez cielec</t>
  </si>
  <si>
    <t xml:space="preserve">Changement guide fil </t>
  </si>
  <si>
    <t>Alimentation air comprimé</t>
  </si>
  <si>
    <t>Guite d'huile</t>
  </si>
  <si>
    <t>Entretien compresseur air comprimé</t>
  </si>
  <si>
    <t>Elimination d'une fuite et mise au point du niveau d'huile</t>
  </si>
  <si>
    <t>Absence syst refroidissement</t>
  </si>
  <si>
    <t>Montage du système de refroidissement</t>
  </si>
  <si>
    <t>Surface Cabestan usée</t>
  </si>
  <si>
    <t>Rectification de surface à la soudure et mise marche</t>
  </si>
  <si>
    <t>Changement de deux roulement 6206 et montage poulie</t>
  </si>
  <si>
    <t>Ecrou d'assemblage bobinoir usé</t>
  </si>
  <si>
    <t>Changement de deux ecrous bobinoir usés</t>
  </si>
  <si>
    <t>PB au niveau de l'aspiration de la pompe - crépine endommagée</t>
  </si>
  <si>
    <t>Changement de la crépine et mise en marche</t>
  </si>
  <si>
    <t>Convoyeur entrée presse</t>
  </si>
  <si>
    <t>Changement de la chaine b12 et mise en marche</t>
  </si>
  <si>
    <t>malaxeur</t>
  </si>
  <si>
    <t>Réparartion</t>
  </si>
  <si>
    <t>Changement des pattes et mise en marche</t>
  </si>
  <si>
    <t>Pb soudage feuillard</t>
  </si>
  <si>
    <t>Reglage de la lame de soudage et mise en marche</t>
  </si>
  <si>
    <t>Fuite interne sur verin moule</t>
  </si>
  <si>
    <t>Roulements galet endommagés</t>
  </si>
  <si>
    <t xml:space="preserve">Ajout d'une rondelle entre galet transbordeur et palier f212 </t>
  </si>
  <si>
    <t xml:space="preserve"> - Changement des toles du malaxeur et mise en marche
- Changement du tiroir complet</t>
  </si>
  <si>
    <t>Entretien malaxeur et tiroir chargeur</t>
  </si>
  <si>
    <t>Fuite d'huile sur verin tiroir</t>
  </si>
  <si>
    <t>Changement du flexible de verin et mise en marche</t>
  </si>
  <si>
    <t>Chape de verin endommagée</t>
  </si>
  <si>
    <t>changement de la chappe du verin de la porte et mise en marche</t>
  </si>
  <si>
    <t>Changement du moteur et de 4 courroies A38</t>
  </si>
  <si>
    <t>Toles rouleau à beton usée</t>
  </si>
  <si>
    <t>Réparationa</t>
  </si>
  <si>
    <t>Changement des toles et mise en marche</t>
  </si>
  <si>
    <t>Roulement poulie contrepoid endommagé</t>
  </si>
  <si>
    <t>Changement des poulies et mise en marche</t>
  </si>
  <si>
    <t>Desserage de l'ecrou de reglage hauteur</t>
  </si>
  <si>
    <t>Serrage de l'ecrou et mise en marche</t>
  </si>
  <si>
    <t>Panne vibreur</t>
  </si>
  <si>
    <t>Changement des roulement du vibreur et mise en marche</t>
  </si>
  <si>
    <t>PB pression pilon</t>
  </si>
  <si>
    <t>Changemen,t d'un clapet antiretour endommagé et mise en marche</t>
  </si>
  <si>
    <t>Pression accumulateur 0 bar</t>
  </si>
  <si>
    <t>Changement de l'acumulateur et mise en marche</t>
  </si>
  <si>
    <t>Clavetage et alesage arbre galet endommagés</t>
  </si>
  <si>
    <t>Changement de deux galets et un arbre et mise en marche</t>
  </si>
  <si>
    <t>Changement d'une courroie 1760 calage et mise en marche</t>
  </si>
  <si>
    <t>clavetage roue d'entrainement usé</t>
  </si>
  <si>
    <t>Changement de la roue reglage de soudage et mise en marche</t>
  </si>
  <si>
    <t>Extraction des vis endommagés changement des vis et mise en marche</t>
  </si>
  <si>
    <t>Usure des ventouses du moules</t>
  </si>
  <si>
    <t>Changement des ventouse et mise en marche</t>
  </si>
  <si>
    <t>Demontage cabestan set chargement de surface</t>
  </si>
  <si>
    <t>Teton de blocage endommagé</t>
  </si>
  <si>
    <t>Soudage de teton neufs et mise en marche</t>
  </si>
  <si>
    <t>Pb de refoulement de la pompe à eau</t>
  </si>
  <si>
    <t>Casette PR7</t>
  </si>
  <si>
    <t>Circtui de refroidissement bouché</t>
  </si>
  <si>
    <t>Debouchage du circuit d'eau et mise en marche</t>
  </si>
  <si>
    <t>Poulie guide fil usée</t>
  </si>
  <si>
    <t>Demontage chargement de surface et mise en marche</t>
  </si>
  <si>
    <t>Echauffement servomoteur</t>
  </si>
  <si>
    <t>Changement du servomoteur et mise en marche</t>
  </si>
  <si>
    <t>Changement des roulement du rotor changement d'une poulie endommagée changement des courroies</t>
  </si>
  <si>
    <t>Changement ddes courroies et mise en marche</t>
  </si>
  <si>
    <t>Chaine de pliage</t>
  </si>
  <si>
    <t>chargement de surface et mise en marche</t>
  </si>
  <si>
    <t>Defaut machoires de serrage</t>
  </si>
  <si>
    <t>Changement des goupilles et rectification d'un couteau de coupe</t>
  </si>
  <si>
    <t>roulements endommagés</t>
  </si>
  <si>
    <t>cassette 3,4</t>
  </si>
  <si>
    <t xml:space="preserve">Defaut de zommage </t>
  </si>
  <si>
    <t>cassette 3,8</t>
  </si>
  <si>
    <t>Changement des roulements et mise en marche</t>
  </si>
  <si>
    <t xml:space="preserve">cabestan </t>
  </si>
  <si>
    <t>chargement de surface à la soudure et mise en marche</t>
  </si>
  <si>
    <t>guide fil</t>
  </si>
  <si>
    <t>roulemens usés</t>
  </si>
  <si>
    <t>cassette d8</t>
  </si>
  <si>
    <t xml:space="preserve">roulements endommagés </t>
  </si>
  <si>
    <t>Cabesant</t>
  </si>
  <si>
    <t>Surface poulie guide fil usée</t>
  </si>
  <si>
    <t>Chargement de surface à la soudure et mise en marche</t>
  </si>
  <si>
    <t>Fixation tete de cerclage endomagée</t>
  </si>
  <si>
    <t>Fuite interne au niveau du verin pneumatique</t>
  </si>
  <si>
    <t>Clavetage arbre et bielle de transmission endommagé</t>
  </si>
  <si>
    <t>Changement de l'arbre et de la bielle et mise en marche</t>
  </si>
  <si>
    <t>Defaut regulateur de pression pneumatique</t>
  </si>
  <si>
    <t>Réparation du régulateur et mise en marche</t>
  </si>
  <si>
    <t>Fuite verin pilon</t>
  </si>
  <si>
    <t>Changement du verin du pilon et mise en marche</t>
  </si>
  <si>
    <t>Rupture courroie 2800</t>
  </si>
  <si>
    <t>Changement de la courroie et mise en marche</t>
  </si>
  <si>
    <t>Clapet eau colmaté</t>
  </si>
  <si>
    <t>Changement du clapet endommagé et mise en marche</t>
  </si>
  <si>
    <t>Fin de course endommagé</t>
  </si>
  <si>
    <t>Changement de la fin de course et mise en marche</t>
  </si>
  <si>
    <t>Panne verin malaxeur</t>
  </si>
  <si>
    <t>Fuite interne verin pneumatique</t>
  </si>
  <si>
    <t>Courroie de recuperation endommagée</t>
  </si>
  <si>
    <t>Aptte de malaxeur usés</t>
  </si>
  <si>
    <t>Changement des pates de malaxeur et mise en march</t>
  </si>
  <si>
    <t>Guide de transbordeur endommagé</t>
  </si>
  <si>
    <t>soudure de la partie endommagée et mise en marche</t>
  </si>
  <si>
    <t>Guide fil inferieur endommagé</t>
  </si>
  <si>
    <t>Changement du guide fil inferieur</t>
  </si>
  <si>
    <t>Presse de soudage usée</t>
  </si>
  <si>
    <t>Chargement à la soudure de la presse et mise en marche</t>
  </si>
  <si>
    <t>Pont roulant</t>
  </si>
  <si>
    <t>Changement du cable du pont roulant</t>
  </si>
  <si>
    <t>Changelent du cable du pont roulant et mise en marche</t>
  </si>
  <si>
    <t xml:space="preserve">Chaine de pliage </t>
  </si>
  <si>
    <t>usure de la chaine</t>
  </si>
  <si>
    <t>Changement de la chaine de pliage et mise en marche</t>
  </si>
  <si>
    <t>Support de porte electrode</t>
  </si>
  <si>
    <t>Usure du support de porte electgrode</t>
  </si>
  <si>
    <t>Changement du support de porte electrode</t>
  </si>
  <si>
    <t>Fixation verin endommagée</t>
  </si>
  <si>
    <t>Soudure de la partie usée et mise en marche</t>
  </si>
  <si>
    <t>Defaut d'alignement du guide fil</t>
  </si>
  <si>
    <t>Fixation du verin pneumatique endommagé</t>
  </si>
  <si>
    <t>Demontage soudage de la partie en endommagée montage et mise en marche</t>
  </si>
  <si>
    <t>Vitari 4</t>
  </si>
  <si>
    <t>Demontage et nettoyage du distributeur pneumatique</t>
  </si>
  <si>
    <t>Blocage des griffes d'empileur</t>
  </si>
  <si>
    <t>Entretien du distributeur deblocage et mise en marche</t>
  </si>
  <si>
    <t>Fuite au niveau du verin pousse planche</t>
  </si>
  <si>
    <t>Changement du verin et mise en marche</t>
  </si>
  <si>
    <t xml:space="preserve">Defaut au niveau de la came </t>
  </si>
  <si>
    <t>Demontage nettoyage de la came ajustement de la roue et mise en marche</t>
  </si>
  <si>
    <t>Bras de la grille d'agitation endommagés</t>
  </si>
  <si>
    <t>Réparation et soudage du bras de la grille d'agitation - changement des pattes du malaxeur</t>
  </si>
  <si>
    <t>Convoyeur à beton</t>
  </si>
  <si>
    <t>Réparation du tendeur et changement des courroies</t>
  </si>
  <si>
    <t>Cable skip usé</t>
  </si>
  <si>
    <t>Changement du cable du skip et mise en marche</t>
  </si>
  <si>
    <t>Changement du flexible hydraulique du pilon et mise en marche</t>
  </si>
  <si>
    <t>Changement des pattes du malaxeur et du verin pneumatique de la trape - réparation du guide chaine du descensseur</t>
  </si>
  <si>
    <t>Fixation des bras d'agitation endommagée</t>
  </si>
  <si>
    <t>Soudage de la fixation et mise en marche</t>
  </si>
  <si>
    <t>Roulement masselottes usés</t>
  </si>
  <si>
    <t>Changement des roulements entretien de la table et mise en marche</t>
  </si>
  <si>
    <t>Blocage vis à ciment</t>
  </si>
  <si>
    <t>Liberation de la vis et mise en marche</t>
  </si>
  <si>
    <t>)=*-/</t>
  </si>
  <si>
    <t>Usure de la tôle et du cadre glissant</t>
  </si>
  <si>
    <t>Changement de la tôle du tiroir et reparation du cadre glissant</t>
  </si>
  <si>
    <t>Roulements du moteur vibreur endommagés</t>
  </si>
  <si>
    <t>Changement du moteur vibreur et mise en marche</t>
  </si>
  <si>
    <t>Probleme au niveau de la lance</t>
  </si>
  <si>
    <t>Réglage et fixation de la lance</t>
  </si>
  <si>
    <t>Fuite d'huile au niveau du verin de transfert</t>
  </si>
  <si>
    <t>Changement du verin et mise en arche</t>
  </si>
  <si>
    <t>patte moteur endommagés</t>
  </si>
  <si>
    <t>Chsoudage des pattes du moteur et mise en marche</t>
  </si>
  <si>
    <t>Fissure des rails de transbordeur</t>
  </si>
  <si>
    <t>Coincement de la porte du malaxeur</t>
  </si>
  <si>
    <t>Réglage de la porte et mise en marche</t>
  </si>
  <si>
    <t>Fuite d'adjuvant du malaxeur</t>
  </si>
  <si>
    <t>Modifcation pour hourdis 70cm à plancher réticulé</t>
  </si>
  <si>
    <t>Changement du verin du tiroir par un autre de course plus grande</t>
  </si>
  <si>
    <t>Decalage de la table vibrante</t>
  </si>
  <si>
    <t>Reglage du calage et mise en marche</t>
  </si>
  <si>
    <t>Usure des pignons du reducteur</t>
  </si>
  <si>
    <t>Bielle d'entraitenement endommagé</t>
  </si>
  <si>
    <t>Soudage de la partie endomaggée changemnt d'une clavette et mise en marche</t>
  </si>
  <si>
    <t>Fixation verin de soudage endommagé</t>
  </si>
  <si>
    <t>Changement De la fixation et mise en marche</t>
  </si>
  <si>
    <t>Panne moteur</t>
  </si>
  <si>
    <t>Bloc de sou</t>
  </si>
  <si>
    <t>Changement de l'axe plongeur et mise en marche</t>
  </si>
  <si>
    <t>Rouelements usés</t>
  </si>
  <si>
    <t>Changement des roulements du redresseur et mise en marche</t>
  </si>
  <si>
    <t>Extraction des vis changement et mise en marche</t>
  </si>
  <si>
    <t>Pannes dispositifi ridelle d'empileur</t>
  </si>
  <si>
    <t>Changement des silents bloc et mise en marche</t>
  </si>
  <si>
    <t>EVG</t>
  </si>
  <si>
    <t>Defaut mode automatique empileur</t>
  </si>
  <si>
    <t>Telemaintenance EVG pour résolution du probleme - résultat : Absence de courant au niveau des bouttons du pupitre de commande</t>
  </si>
  <si>
    <t>Cielec</t>
  </si>
  <si>
    <t xml:space="preserve">Cabestan N 3 </t>
  </si>
  <si>
    <t>Intervention de cielec pour modification variateur et mise en place d'un variateur à communication Fireware ( 130 Kw) en attentant arrivée d'un variateur 55kw conforme à l'origine</t>
  </si>
  <si>
    <t>Dépannage avec variateur 130 Kw en attendant réception d'un variateur 55 KW conforme à l'origine de la part de cielec</t>
  </si>
  <si>
    <t xml:space="preserve">Temps de livraison longs </t>
  </si>
  <si>
    <t>panne electrique</t>
  </si>
  <si>
    <t xml:space="preserve">changement fussible </t>
  </si>
  <si>
    <t>Temps d'arrêts ( min)</t>
  </si>
  <si>
    <t>changement silent blov</t>
  </si>
  <si>
    <t xml:space="preserve">panne courroie </t>
  </si>
  <si>
    <t xml:space="preserve">changement courroie </t>
  </si>
  <si>
    <t xml:space="preserve">panne cassete </t>
  </si>
  <si>
    <t xml:space="preserve">changement roulement </t>
  </si>
  <si>
    <t xml:space="preserve">changement tige </t>
  </si>
  <si>
    <t xml:space="preserve">changemement roulement conique </t>
  </si>
  <si>
    <t xml:space="preserve">panne roulement </t>
  </si>
  <si>
    <t>changement roulement csk252rs</t>
  </si>
  <si>
    <t>changement roulement QJ206ACAGE</t>
  </si>
  <si>
    <t>pannne flexible 3/4</t>
  </si>
  <si>
    <t>changement fliexible 3/4</t>
  </si>
  <si>
    <t xml:space="preserve">panne roulement fuite d'huile </t>
  </si>
  <si>
    <t>changemen,t flexible 3/4</t>
  </si>
  <si>
    <t xml:space="preserve">panne fuite d'huile au niveau de pompe </t>
  </si>
  <si>
    <t xml:space="preserve">alimentation fuite d'huile </t>
  </si>
  <si>
    <t xml:space="preserve">changement isolant </t>
  </si>
  <si>
    <t>changement roulement a bille 6006 2Z/3</t>
  </si>
  <si>
    <t xml:space="preserve">changement flexible </t>
  </si>
  <si>
    <t xml:space="preserve">rouleau de pression </t>
  </si>
  <si>
    <t xml:space="preserve">deplacement amortisseur </t>
  </si>
  <si>
    <t xml:space="preserve">panneau mecanique </t>
  </si>
  <si>
    <t>changement roulement QJ206A</t>
  </si>
  <si>
    <t xml:space="preserve">changement cart </t>
  </si>
  <si>
    <t xml:space="preserve">panne flexible hydraulique </t>
  </si>
  <si>
    <t>changement mamelon 1/8</t>
  </si>
  <si>
    <t xml:space="preserve">panne flexible d'eau </t>
  </si>
  <si>
    <t xml:space="preserve">changement flexible d'eau </t>
  </si>
  <si>
    <t>panne fuite d'huile courroie granté 9,5*1575</t>
  </si>
  <si>
    <t>installation lampe 220V/60CM LED</t>
  </si>
  <si>
    <t>Panne cable antigène DEMAGO9</t>
  </si>
  <si>
    <t>Changement cable O9</t>
  </si>
  <si>
    <t xml:space="preserve"> deplacemetn disjoncteur 16AP 
changement cable electrique </t>
  </si>
  <si>
    <t xml:space="preserve">panne cassette PR 3,20 </t>
  </si>
  <si>
    <t>deplacement galet granté 3,20 et moyeu 82*15*25</t>
  </si>
  <si>
    <t>changement pierre meuleuse 150*20*320</t>
  </si>
  <si>
    <t>²</t>
  </si>
  <si>
    <t>panne cassette O8</t>
  </si>
  <si>
    <t>changement roulement 32008*1q</t>
  </si>
  <si>
    <t>deplacement goupe de centrage droite UR00</t>
  </si>
  <si>
    <t xml:space="preserve">changement distributeuur </t>
  </si>
  <si>
    <t>panne sur la chaine 12B</t>
  </si>
  <si>
    <t xml:space="preserve">reparation de la chaine attache </t>
  </si>
  <si>
    <t xml:space="preserve">panne pompe d'eau </t>
  </si>
  <si>
    <t>changement pompe d'eau 
ballon complet 100L 
pressosta 200V</t>
  </si>
  <si>
    <t>changement cosse sertis 2,5V</t>
  </si>
  <si>
    <t xml:space="preserve">panne detecteur </t>
  </si>
  <si>
    <t xml:space="preserve">reparation detecteur </t>
  </si>
  <si>
    <t xml:space="preserve">panne mecanique reducteur </t>
  </si>
  <si>
    <t>changement roulement a bille 6007 2RS /C3</t>
  </si>
  <si>
    <t xml:space="preserve">panne roulement redresseur </t>
  </si>
  <si>
    <t>changement roulemetn a bille 6002/22</t>
  </si>
  <si>
    <t>changement rouleau ATORODE 085*45MM</t>
  </si>
  <si>
    <t xml:space="preserve">panne galet de dressage </t>
  </si>
  <si>
    <t xml:space="preserve">changement flexible d'huile </t>
  </si>
  <si>
    <t xml:space="preserve">panne ventilateur du moteur </t>
  </si>
  <si>
    <t xml:space="preserve">changement ventilateur moteur </t>
  </si>
  <si>
    <t xml:space="preserve">Panne moteur </t>
  </si>
  <si>
    <t xml:space="preserve">reparation ventilateur moteur </t>
  </si>
  <si>
    <t xml:space="preserve">pannne hydraulique </t>
  </si>
  <si>
    <t xml:space="preserve">reparation circuit d'huile </t>
  </si>
  <si>
    <t xml:space="preserve">panne au niveau de tuyau refroidisseur d'eau </t>
  </si>
  <si>
    <t xml:space="preserve">changement de tuyau </t>
  </si>
  <si>
    <t xml:space="preserve">panne en roue </t>
  </si>
  <si>
    <t>changement de roue caoutchouc</t>
  </si>
  <si>
    <t xml:space="preserve">panne cable pont roulant </t>
  </si>
  <si>
    <t xml:space="preserve">changement du cable antigiratoire </t>
  </si>
  <si>
    <t xml:space="preserve">panne moteur chaine de pliage </t>
  </si>
  <si>
    <t xml:space="preserve">changement d"encodeur </t>
  </si>
  <si>
    <t>panne de cassette 3,40</t>
  </si>
  <si>
    <t xml:space="preserve">nettoyage du cassette </t>
  </si>
  <si>
    <t xml:space="preserve">panne fuite d'huile </t>
  </si>
  <si>
    <t xml:space="preserve">panne mecanique / electrique </t>
  </si>
  <si>
    <t xml:space="preserve">reparation diisjoncteur </t>
  </si>
  <si>
    <t xml:space="preserve">reparation cable </t>
  </si>
  <si>
    <t>changement presstotat</t>
  </si>
  <si>
    <t xml:space="preserve">panne flexible </t>
  </si>
  <si>
    <t xml:space="preserve">changement flexiblie hydraulique </t>
  </si>
  <si>
    <t>changement flexible 3/4</t>
  </si>
  <si>
    <t xml:space="preserve">changement boite a boutons </t>
  </si>
  <si>
    <t xml:space="preserve">changement relais </t>
  </si>
  <si>
    <t xml:space="preserve">changement TE rapide d'air 10 </t>
  </si>
  <si>
    <t xml:space="preserve">changement d'huile </t>
  </si>
  <si>
    <t>changement du detecteur PROXIM xs63081</t>
  </si>
  <si>
    <t xml:space="preserve">changement roue en caoutchouc </t>
  </si>
  <si>
    <t xml:space="preserve">changement rouleau </t>
  </si>
  <si>
    <t xml:space="preserve">panne encodeur moteur </t>
  </si>
  <si>
    <t xml:space="preserve">changement d'encodeur </t>
  </si>
  <si>
    <t xml:space="preserve">changement du contacteur </t>
  </si>
  <si>
    <t xml:space="preserve">changement du commutateur </t>
  </si>
  <si>
    <t xml:space="preserve">panne roulement cassette </t>
  </si>
  <si>
    <t>changement roulement 32008x/0</t>
  </si>
  <si>
    <t xml:space="preserve">panne du cassete </t>
  </si>
  <si>
    <t>changement flexible d'eau 
changement roulement 32008*Q</t>
  </si>
  <si>
    <t xml:space="preserve">panne detecteur pilon </t>
  </si>
  <si>
    <t xml:space="preserve">changement detecteur </t>
  </si>
  <si>
    <t xml:space="preserve">panne cercleuse </t>
  </si>
  <si>
    <t xml:space="preserve">changement vis 8*40 et nettoyage </t>
  </si>
  <si>
    <t xml:space="preserve">panne fixation verin tiroir </t>
  </si>
  <si>
    <t xml:space="preserve">changement vis 18*70 et serrage verin </t>
  </si>
  <si>
    <t xml:space="preserve">panne moteur a frein  APITE </t>
  </si>
  <si>
    <t xml:space="preserve">changement  du frein de moteur </t>
  </si>
  <si>
    <t xml:space="preserve">panne injecteur </t>
  </si>
  <si>
    <t xml:space="preserve">changement reducteur </t>
  </si>
  <si>
    <t xml:space="preserve">panne pompe  a eau </t>
  </si>
  <si>
    <t xml:space="preserve">changement du pompe </t>
  </si>
  <si>
    <t xml:space="preserve">panne empileur mecanique </t>
  </si>
  <si>
    <t>changement roulement NATR25</t>
  </si>
  <si>
    <t xml:space="preserve">panne suppor poulie cable </t>
  </si>
  <si>
    <t>changement du vis support poulie cable (M6*20)</t>
  </si>
  <si>
    <t>panne axe galet cassete 0*10</t>
  </si>
  <si>
    <t xml:space="preserve">changement axe galet </t>
  </si>
  <si>
    <t>changement poulie guide fil</t>
  </si>
  <si>
    <t xml:space="preserve">panne guide fil </t>
  </si>
  <si>
    <t xml:space="preserve">deplacement transmetteur signal </t>
  </si>
  <si>
    <t xml:space="preserve">panne support porte electrode </t>
  </si>
  <si>
    <t xml:space="preserve">changement support </t>
  </si>
  <si>
    <t xml:space="preserve">panne dispositif de tirage </t>
  </si>
  <si>
    <t xml:space="preserve">changement mochoir de tirage </t>
  </si>
  <si>
    <t xml:space="preserve">attache chaine empileur </t>
  </si>
  <si>
    <t xml:space="preserve">changement roue empileur </t>
  </si>
  <si>
    <t xml:space="preserve">panne relais niveau d'huile </t>
  </si>
  <si>
    <t xml:space="preserve">panne souder de poutrelles </t>
  </si>
  <si>
    <t xml:space="preserve">changement support porte electrade </t>
  </si>
  <si>
    <t xml:space="preserve">changement silent bloc </t>
  </si>
  <si>
    <t xml:space="preserve">panne cisaille machine </t>
  </si>
  <si>
    <t xml:space="preserve">changement </t>
  </si>
  <si>
    <t>panne guide fil</t>
  </si>
  <si>
    <t>changement roulement polie</t>
  </si>
  <si>
    <t xml:space="preserve">panne dispositif de dresssage </t>
  </si>
  <si>
    <t xml:space="preserve">changement galet dresseur </t>
  </si>
  <si>
    <t xml:space="preserve">panne roue empileur </t>
  </si>
  <si>
    <t>changement de roue</t>
  </si>
  <si>
    <t>changement roulement a bille 6006</t>
  </si>
  <si>
    <t xml:space="preserve">panne redresseur </t>
  </si>
  <si>
    <t xml:space="preserve">graine redresseur </t>
  </si>
  <si>
    <t xml:space="preserve">changement galet  </t>
  </si>
  <si>
    <t xml:space="preserve">changement commutateur </t>
  </si>
  <si>
    <t>changement courroie A45</t>
  </si>
  <si>
    <t xml:space="preserve">changement d'huile reducteur et graissage </t>
  </si>
  <si>
    <t xml:space="preserve">panne de support reducteur du  transporteur </t>
  </si>
  <si>
    <t xml:space="preserve">changement tige er vis </t>
  </si>
  <si>
    <t xml:space="preserve">deplacement photo signal </t>
  </si>
  <si>
    <t xml:space="preserve">panne moteur reducteur d'agitation </t>
  </si>
  <si>
    <t xml:space="preserve">changement du vis + ecrou </t>
  </si>
  <si>
    <t xml:space="preserve">panne pompe hydraulique </t>
  </si>
  <si>
    <t xml:space="preserve">panne porte aciment </t>
  </si>
  <si>
    <t xml:space="preserve">demontage pompe </t>
  </si>
  <si>
    <t xml:space="preserve">changement verin actionneur </t>
  </si>
  <si>
    <t xml:space="preserve">changement relais broches </t>
  </si>
  <si>
    <t xml:space="preserve">panne malaxeur </t>
  </si>
  <si>
    <t xml:space="preserve">changement electrovanne </t>
  </si>
  <si>
    <t xml:space="preserve">panne pince </t>
  </si>
  <si>
    <t xml:space="preserve">changement de la chaine double </t>
  </si>
  <si>
    <t xml:space="preserve">fhangement fusible de la machine </t>
  </si>
  <si>
    <t>reparation cable fin de course</t>
  </si>
  <si>
    <t>reparation cable commonde</t>
  </si>
  <si>
    <t>Changement du cable electrique</t>
  </si>
  <si>
    <t>changement du courroie</t>
  </si>
  <si>
    <t xml:space="preserve">panne moteur reducteur </t>
  </si>
  <si>
    <t xml:space="preserve">reparation reducteur </t>
  </si>
  <si>
    <t xml:space="preserve">changement du porte douille </t>
  </si>
  <si>
    <t xml:space="preserve">changement disjoncteur moteur </t>
  </si>
  <si>
    <t xml:space="preserve">changement moteur redresseur </t>
  </si>
  <si>
    <t xml:space="preserve">changement distributeur </t>
  </si>
  <si>
    <t>changement roulement et arret d'huile</t>
  </si>
  <si>
    <t>changement du roue en caoutchouc</t>
  </si>
  <si>
    <t xml:space="preserve">changement du transmetteur signal </t>
  </si>
  <si>
    <t xml:space="preserve">changement verin pneumatique </t>
  </si>
  <si>
    <t xml:space="preserve">panne empileur de poutrelles </t>
  </si>
  <si>
    <t xml:space="preserve">changes des vis </t>
  </si>
  <si>
    <t xml:space="preserve">changement disjoncteur moteur + bloc contact </t>
  </si>
  <si>
    <t>panne cassette 3,20</t>
  </si>
  <si>
    <t>changement raccord a embout</t>
  </si>
  <si>
    <t xml:space="preserve">panne circuit d'eau </t>
  </si>
  <si>
    <t>changement du circuit d'eau PVC</t>
  </si>
  <si>
    <t xml:space="preserve">changement ecrou </t>
  </si>
  <si>
    <t xml:space="preserve">changement du roulement conique 30204 </t>
  </si>
  <si>
    <t xml:space="preserve">panne huile </t>
  </si>
  <si>
    <t>panne hydraulique cisaille</t>
  </si>
  <si>
    <t>changement d'huile AW68</t>
  </si>
  <si>
    <t xml:space="preserve">changement du courroie </t>
  </si>
  <si>
    <t>changement roulement 620322</t>
  </si>
  <si>
    <t xml:space="preserve">changement de tuyau distributeur </t>
  </si>
  <si>
    <t>changement des vis 16*25</t>
  </si>
  <si>
    <t xml:space="preserve">panne pilon </t>
  </si>
  <si>
    <t xml:space="preserve">changement detecteur verin pilon </t>
  </si>
  <si>
    <t xml:space="preserve">changement raccord rapide </t>
  </si>
  <si>
    <t>13/03/2/2024</t>
  </si>
  <si>
    <t xml:space="preserve">changement regulateur de pression </t>
  </si>
  <si>
    <t xml:space="preserve">panne tirroire monobloc </t>
  </si>
  <si>
    <t xml:space="preserve">changement galet tirroir </t>
  </si>
  <si>
    <t xml:space="preserve">changement VIS+ECROU </t>
  </si>
  <si>
    <t xml:space="preserve">panne table vibrante </t>
  </si>
  <si>
    <t xml:space="preserve">panne electrique / mecanique </t>
  </si>
  <si>
    <t>changement roulement et courroie</t>
  </si>
  <si>
    <t xml:space="preserve">panne variateur de vitesse </t>
  </si>
  <si>
    <t xml:space="preserve">changement du variateur et reparation cable </t>
  </si>
  <si>
    <t xml:space="preserve">panne convoyeur </t>
  </si>
  <si>
    <t>changement bandes</t>
  </si>
  <si>
    <t>changement courroie 
changement bride fixation verin</t>
  </si>
  <si>
    <t xml:space="preserve">panne palier transbordeur </t>
  </si>
  <si>
    <t>changement palier 1</t>
  </si>
  <si>
    <t xml:space="preserve">panne refroidisseur </t>
  </si>
  <si>
    <t xml:space="preserve">manque d'eau </t>
  </si>
  <si>
    <t>panne guid de fil</t>
  </si>
  <si>
    <t xml:space="preserve"> changement roulement a bille </t>
  </si>
  <si>
    <t xml:space="preserve">panne cassette </t>
  </si>
  <si>
    <t xml:space="preserve">changement roulement conique et changement axe de galet </t>
  </si>
  <si>
    <t xml:space="preserve">panne empileur </t>
  </si>
  <si>
    <t xml:space="preserve">panne bobinaire </t>
  </si>
  <si>
    <t xml:space="preserve">changement bobinoire </t>
  </si>
  <si>
    <t xml:space="preserve">panne armoire electrique </t>
  </si>
  <si>
    <t>changement du contacteur et reparation cable n</t>
  </si>
  <si>
    <t xml:space="preserve">panne galet </t>
  </si>
  <si>
    <t xml:space="preserve">panne  mecanique </t>
  </si>
  <si>
    <t xml:space="preserve">changement chariot collecteur et reparation guid fil </t>
  </si>
  <si>
    <t xml:space="preserve">panne frein bobinoire </t>
  </si>
  <si>
    <t xml:space="preserve">reparation machoir de frein </t>
  </si>
</sst>
</file>

<file path=xl/styles.xml><?xml version="1.0" encoding="utf-8"?>
<styleSheet xmlns="http://schemas.openxmlformats.org/spreadsheetml/2006/main">
  <numFmts count="10">
    <numFmt numFmtId="43" formatCode="_-* #,##0.00\ _D_H_-;\-* #,##0.00\ _D_H_-;_-* &quot;-&quot;??\ _D_H_-;_-@_-"/>
    <numFmt numFmtId="164" formatCode="[$-F400]h:mm:ss\ AM/PM"/>
    <numFmt numFmtId="165" formatCode="h:mm;@"/>
    <numFmt numFmtId="166" formatCode="_-* #,##0\ _D_H_-;\-* #,##0\ _D_H_-;_-* &quot;-&quot;??\ _D_H_-;_-@_-"/>
    <numFmt numFmtId="167" formatCode="_-* #,##0.0\ _D_H_-;\-* #,##0.0\ _D_H_-;_-* &quot;-&quot;??\ _D_H_-;_-@_-"/>
    <numFmt numFmtId="168" formatCode="_-* #,##0.000\ _D_H_-;\-* #,##0.000\ _D_H_-;_-* &quot;-&quot;??\ _D_H_-;_-@_-"/>
    <numFmt numFmtId="169" formatCode="_-* #,##0.0000\ _D_H_-;\-* #,##0.0000\ _D_H_-;_-* &quot;-&quot;??\ _D_H_-;_-@_-"/>
    <numFmt numFmtId="170" formatCode="[&lt;=999]000;[&lt;=9999]000\-00;000\-0000"/>
    <numFmt numFmtId="171" formatCode="yyyy\-mm\-dd;@"/>
    <numFmt numFmtId="172" formatCode="0.000"/>
  </numFmts>
  <fonts count="4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Arial"/>
      <family val="2"/>
    </font>
    <font>
      <sz val="11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Arial"/>
      <family val="2"/>
    </font>
    <font>
      <sz val="11"/>
      <color theme="9"/>
      <name val="Arial"/>
      <family val="2"/>
    </font>
    <font>
      <b/>
      <sz val="20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scheme val="minor"/>
    </font>
    <font>
      <sz val="11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000000"/>
      <name val="Arial"/>
      <family val="2"/>
    </font>
    <font>
      <sz val="11"/>
      <color rgb="FF00000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11"/>
      <color rgb="FFFF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theme="1"/>
      </bottom>
      <diagonal/>
    </border>
    <border>
      <left/>
      <right/>
      <top/>
      <bottom style="thin">
        <color theme="4" tint="0.3999755851924192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0" fontId="5" fillId="10" borderId="0" applyNumberFormat="0" applyBorder="0" applyAlignment="0" applyProtection="0"/>
  </cellStyleXfs>
  <cellXfs count="364">
    <xf numFmtId="0" fontId="0" fillId="0" borderId="0" xfId="0"/>
    <xf numFmtId="0" fontId="2" fillId="0" borderId="4" xfId="0" applyFont="1" applyBorder="1" applyAlignment="1">
      <alignment horizontal="left" vertical="center" shrinkToFit="1"/>
    </xf>
    <xf numFmtId="0" fontId="2" fillId="0" borderId="5" xfId="0" applyFont="1" applyBorder="1" applyAlignment="1">
      <alignment horizontal="left" vertical="center" shrinkToFit="1"/>
    </xf>
    <xf numFmtId="0" fontId="2" fillId="0" borderId="6" xfId="0" applyFont="1" applyBorder="1" applyAlignment="1">
      <alignment horizontal="left" vertical="center" shrinkToFit="1"/>
    </xf>
    <xf numFmtId="0" fontId="0" fillId="0" borderId="0" xfId="0" applyAlignment="1">
      <alignment shrinkToFit="1"/>
    </xf>
    <xf numFmtId="14" fontId="3" fillId="0" borderId="2" xfId="0" applyNumberFormat="1" applyFont="1" applyBorder="1" applyAlignment="1">
      <alignment vertical="center" shrinkToFit="1"/>
    </xf>
    <xf numFmtId="0" fontId="3" fillId="0" borderId="1" xfId="0" applyFont="1" applyBorder="1" applyAlignment="1">
      <alignment vertical="center" shrinkToFit="1"/>
    </xf>
    <xf numFmtId="0" fontId="3" fillId="0" borderId="3" xfId="0" applyFont="1" applyBorder="1" applyAlignment="1">
      <alignment vertical="center" shrinkToFit="1"/>
    </xf>
    <xf numFmtId="0" fontId="3" fillId="0" borderId="1" xfId="0" applyFont="1" applyBorder="1" applyAlignment="1">
      <alignment horizontal="left" vertical="center" shrinkToFit="1"/>
    </xf>
    <xf numFmtId="0" fontId="3" fillId="0" borderId="1" xfId="0" applyFont="1" applyBorder="1" applyAlignment="1">
      <alignment horizontal="right" vertical="center" shrinkToFit="1"/>
    </xf>
    <xf numFmtId="0" fontId="3" fillId="3" borderId="1" xfId="0" applyFont="1" applyFill="1" applyBorder="1" applyAlignment="1">
      <alignment vertical="center" shrinkToFit="1"/>
    </xf>
    <xf numFmtId="14" fontId="3" fillId="0" borderId="7" xfId="0" applyNumberFormat="1" applyFont="1" applyBorder="1" applyAlignment="1">
      <alignment vertical="center" shrinkToFit="1"/>
    </xf>
    <xf numFmtId="0" fontId="3" fillId="0" borderId="8" xfId="0" applyFont="1" applyBorder="1" applyAlignment="1">
      <alignment vertical="center" shrinkToFit="1"/>
    </xf>
    <xf numFmtId="0" fontId="3" fillId="0" borderId="9" xfId="0" applyFont="1" applyBorder="1" applyAlignment="1">
      <alignment vertical="center" shrinkToFit="1"/>
    </xf>
    <xf numFmtId="164" fontId="3" fillId="0" borderId="3" xfId="0" applyNumberFormat="1" applyFont="1" applyBorder="1" applyAlignment="1">
      <alignment vertical="center" shrinkToFit="1"/>
    </xf>
    <xf numFmtId="164" fontId="3" fillId="0" borderId="3" xfId="0" applyNumberFormat="1" applyFont="1" applyBorder="1" applyAlignment="1">
      <alignment horizontal="left" vertical="center" shrinkToFit="1"/>
    </xf>
    <xf numFmtId="164" fontId="3" fillId="0" borderId="9" xfId="0" applyNumberFormat="1" applyFont="1" applyBorder="1" applyAlignment="1">
      <alignment vertical="center" shrinkToFit="1"/>
    </xf>
    <xf numFmtId="0" fontId="3" fillId="2" borderId="9" xfId="0" applyFont="1" applyFill="1" applyBorder="1" applyAlignment="1">
      <alignment vertical="center" shrinkToFit="1"/>
    </xf>
    <xf numFmtId="0" fontId="3" fillId="2" borderId="3" xfId="0" applyFont="1" applyFill="1" applyBorder="1" applyAlignment="1">
      <alignment vertical="center" shrinkToFit="1"/>
    </xf>
    <xf numFmtId="165" fontId="3" fillId="0" borderId="9" xfId="0" applyNumberFormat="1" applyFont="1" applyBorder="1" applyAlignment="1">
      <alignment vertical="center" shrinkToFit="1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shrinkToFi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left" vertical="center"/>
    </xf>
    <xf numFmtId="0" fontId="0" fillId="5" borderId="0" xfId="0" applyFill="1" applyAlignment="1">
      <alignment shrinkToFit="1"/>
    </xf>
    <xf numFmtId="0" fontId="0" fillId="5" borderId="0" xfId="0" applyFill="1" applyAlignment="1">
      <alignment horizontal="left" shrinkToFit="1"/>
    </xf>
    <xf numFmtId="14" fontId="0" fillId="0" borderId="0" xfId="0" applyNumberFormat="1" applyAlignment="1">
      <alignment shrinkToFit="1"/>
    </xf>
    <xf numFmtId="0" fontId="0" fillId="5" borderId="0" xfId="0" applyFill="1" applyAlignment="1">
      <alignment horizontal="center" shrinkToFit="1"/>
    </xf>
    <xf numFmtId="0" fontId="0" fillId="0" borderId="0" xfId="0" applyAlignment="1">
      <alignment horizontal="center" shrinkToFit="1"/>
    </xf>
    <xf numFmtId="14" fontId="0" fillId="5" borderId="0" xfId="0" applyNumberFormat="1" applyFill="1" applyAlignment="1">
      <alignment shrinkToFit="1"/>
    </xf>
    <xf numFmtId="0" fontId="3" fillId="0" borderId="0" xfId="0" applyFont="1" applyAlignment="1">
      <alignment vertical="center" wrapText="1"/>
    </xf>
    <xf numFmtId="0" fontId="16" fillId="0" borderId="0" xfId="0" applyFont="1" applyAlignment="1">
      <alignment vertical="center"/>
    </xf>
    <xf numFmtId="0" fontId="17" fillId="0" borderId="0" xfId="0" applyFont="1"/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 wrapText="1"/>
    </xf>
    <xf numFmtId="166" fontId="0" fillId="0" borderId="0" xfId="0" applyNumberFormat="1" applyAlignment="1">
      <alignment horizontal="left"/>
    </xf>
    <xf numFmtId="0" fontId="14" fillId="6" borderId="12" xfId="0" applyFont="1" applyFill="1" applyBorder="1" applyAlignment="1">
      <alignment horizontal="center"/>
    </xf>
    <xf numFmtId="2" fontId="0" fillId="0" borderId="0" xfId="0" applyNumberFormat="1"/>
    <xf numFmtId="0" fontId="14" fillId="6" borderId="0" xfId="0" applyFont="1" applyFill="1" applyAlignment="1">
      <alignment horizontal="center"/>
    </xf>
    <xf numFmtId="0" fontId="14" fillId="6" borderId="12" xfId="0" applyFont="1" applyFill="1" applyBorder="1"/>
    <xf numFmtId="0" fontId="26" fillId="0" borderId="11" xfId="0" applyFont="1" applyBorder="1"/>
    <xf numFmtId="0" fontId="26" fillId="0" borderId="0" xfId="0" applyFont="1"/>
    <xf numFmtId="0" fontId="6" fillId="0" borderId="11" xfId="0" applyFont="1" applyBorder="1" applyAlignment="1">
      <alignment horizontal="center" vertical="center"/>
    </xf>
    <xf numFmtId="0" fontId="6" fillId="0" borderId="11" xfId="0" applyFont="1" applyBorder="1" applyAlignment="1">
      <alignment horizontal="left" vertical="center"/>
    </xf>
    <xf numFmtId="0" fontId="28" fillId="0" borderId="0" xfId="0" applyFont="1"/>
    <xf numFmtId="0" fontId="0" fillId="0" borderId="0" xfId="0" applyAlignment="1">
      <alignment horizontal="right"/>
    </xf>
    <xf numFmtId="0" fontId="6" fillId="0" borderId="0" xfId="0" applyFont="1" applyAlignment="1">
      <alignment horizontal="right" vertical="center"/>
    </xf>
    <xf numFmtId="4" fontId="0" fillId="0" borderId="0" xfId="0" applyNumberFormat="1"/>
    <xf numFmtId="4" fontId="0" fillId="0" borderId="0" xfId="0" applyNumberFormat="1" applyAlignment="1">
      <alignment horizontal="right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21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23" fillId="0" borderId="0" xfId="0" applyFont="1" applyAlignment="1">
      <alignment vertical="center" wrapText="1"/>
    </xf>
    <xf numFmtId="0" fontId="2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14" fontId="3" fillId="0" borderId="0" xfId="0" applyNumberFormat="1" applyFont="1" applyAlignment="1">
      <alignment vertical="center" wrapText="1"/>
    </xf>
    <xf numFmtId="0" fontId="30" fillId="0" borderId="0" xfId="0" applyFont="1" applyAlignment="1">
      <alignment vertical="center" wrapText="1"/>
    </xf>
    <xf numFmtId="14" fontId="30" fillId="0" borderId="0" xfId="0" applyNumberFormat="1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 wrapText="1" shrinkToFit="1"/>
    </xf>
    <xf numFmtId="0" fontId="0" fillId="11" borderId="0" xfId="0" applyFill="1"/>
    <xf numFmtId="0" fontId="31" fillId="0" borderId="0" xfId="0" applyFont="1"/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 wrapText="1"/>
    </xf>
    <xf numFmtId="0" fontId="31" fillId="0" borderId="0" xfId="2" applyNumberFormat="1" applyFont="1" applyFill="1" applyBorder="1" applyAlignment="1">
      <alignment horizontal="center" vertical="center" wrapText="1"/>
    </xf>
    <xf numFmtId="14" fontId="31" fillId="0" borderId="0" xfId="2" applyNumberFormat="1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horizontal="left" vertical="center"/>
    </xf>
    <xf numFmtId="11" fontId="31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/>
    </xf>
    <xf numFmtId="20" fontId="31" fillId="0" borderId="21" xfId="0" applyNumberFormat="1" applyFont="1" applyBorder="1" applyAlignment="1">
      <alignment horizontal="center" vertical="center" wrapText="1"/>
    </xf>
    <xf numFmtId="20" fontId="31" fillId="0" borderId="22" xfId="0" applyNumberFormat="1" applyFont="1" applyBorder="1" applyAlignment="1">
      <alignment horizontal="center" vertical="center" wrapText="1"/>
    </xf>
    <xf numFmtId="20" fontId="31" fillId="0" borderId="0" xfId="0" applyNumberFormat="1" applyFont="1" applyAlignment="1">
      <alignment horizontal="center" vertical="center" wrapText="1"/>
    </xf>
    <xf numFmtId="0" fontId="31" fillId="7" borderId="0" xfId="0" applyFont="1" applyFill="1"/>
    <xf numFmtId="0" fontId="31" fillId="7" borderId="0" xfId="0" applyFont="1" applyFill="1" applyAlignment="1">
      <alignment horizontal="center" vertical="center"/>
    </xf>
    <xf numFmtId="0" fontId="31" fillId="7" borderId="0" xfId="0" applyFont="1" applyFill="1" applyAlignment="1">
      <alignment vertical="center"/>
    </xf>
    <xf numFmtId="0" fontId="0" fillId="0" borderId="0" xfId="0" applyAlignment="1">
      <alignment wrapText="1"/>
    </xf>
    <xf numFmtId="0" fontId="0" fillId="0" borderId="0" xfId="0" pivotButton="1" applyAlignment="1">
      <alignment wrapText="1"/>
    </xf>
    <xf numFmtId="0" fontId="0" fillId="0" borderId="0" xfId="0" pivotButton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pivotButton="1" applyAlignment="1">
      <alignment vertical="center" wrapText="1"/>
    </xf>
    <xf numFmtId="14" fontId="3" fillId="0" borderId="0" xfId="0" applyNumberFormat="1" applyFont="1" applyAlignment="1">
      <alignment vertical="center" wrapText="1" shrinkToFi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166" fontId="3" fillId="0" borderId="0" xfId="1" applyNumberFormat="1" applyFont="1" applyFill="1" applyBorder="1" applyAlignment="1">
      <alignment vertical="center" wrapText="1"/>
    </xf>
    <xf numFmtId="166" fontId="3" fillId="0" borderId="0" xfId="0" applyNumberFormat="1" applyFont="1" applyAlignment="1">
      <alignment vertical="center" wrapText="1"/>
    </xf>
    <xf numFmtId="0" fontId="3" fillId="2" borderId="0" xfId="0" applyFont="1" applyFill="1" applyAlignment="1">
      <alignment vertical="center" wrapText="1"/>
    </xf>
    <xf numFmtId="14" fontId="4" fillId="0" borderId="0" xfId="0" applyNumberFormat="1" applyFont="1" applyAlignment="1">
      <alignment vertical="center" wrapText="1" shrinkToFit="1"/>
    </xf>
    <xf numFmtId="0" fontId="4" fillId="0" borderId="0" xfId="0" applyFont="1" applyAlignment="1">
      <alignment horizontal="center" vertical="center" wrapText="1"/>
    </xf>
    <xf numFmtId="14" fontId="4" fillId="0" borderId="0" xfId="0" applyNumberFormat="1" applyFont="1" applyAlignment="1">
      <alignment vertical="center" wrapText="1"/>
    </xf>
    <xf numFmtId="1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14" fontId="7" fillId="0" borderId="0" xfId="0" applyNumberFormat="1" applyFont="1" applyAlignment="1">
      <alignment vertical="center" wrapText="1" shrinkToFit="1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8" fillId="4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vertical="center" wrapText="1"/>
    </xf>
    <xf numFmtId="166" fontId="7" fillId="0" borderId="0" xfId="0" applyNumberFormat="1" applyFont="1" applyAlignment="1">
      <alignment vertical="center" wrapText="1"/>
    </xf>
    <xf numFmtId="169" fontId="7" fillId="0" borderId="0" xfId="1" applyNumberFormat="1" applyFont="1" applyFill="1" applyBorder="1" applyAlignment="1">
      <alignment vertical="center" wrapText="1"/>
    </xf>
    <xf numFmtId="14" fontId="3" fillId="0" borderId="0" xfId="0" applyNumberFormat="1" applyFont="1" applyAlignment="1">
      <alignment horizontal="right" vertical="center" wrapText="1"/>
    </xf>
    <xf numFmtId="14" fontId="4" fillId="0" borderId="0" xfId="0" applyNumberFormat="1" applyFont="1" applyAlignment="1">
      <alignment horizontal="right" vertical="center" wrapText="1"/>
    </xf>
    <xf numFmtId="14" fontId="7" fillId="0" borderId="0" xfId="0" applyNumberFormat="1" applyFont="1" applyAlignment="1">
      <alignment vertical="center" wrapText="1"/>
    </xf>
    <xf numFmtId="0" fontId="7" fillId="4" borderId="0" xfId="0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167" fontId="7" fillId="0" borderId="0" xfId="1" applyNumberFormat="1" applyFont="1" applyFill="1" applyBorder="1" applyAlignment="1">
      <alignment vertical="center" wrapText="1"/>
    </xf>
    <xf numFmtId="169" fontId="3" fillId="0" borderId="0" xfId="1" applyNumberFormat="1" applyFont="1" applyFill="1" applyBorder="1" applyAlignment="1">
      <alignment vertical="center" wrapText="1"/>
    </xf>
    <xf numFmtId="14" fontId="10" fillId="0" borderId="0" xfId="0" applyNumberFormat="1" applyFont="1" applyAlignment="1">
      <alignment vertical="center" wrapText="1" shrinkToFit="1"/>
    </xf>
    <xf numFmtId="0" fontId="10" fillId="0" borderId="0" xfId="0" applyFont="1" applyAlignment="1">
      <alignment horizontal="left" vertical="center" wrapText="1"/>
    </xf>
    <xf numFmtId="166" fontId="10" fillId="0" borderId="0" xfId="1" applyNumberFormat="1" applyFont="1" applyFill="1" applyBorder="1" applyAlignment="1">
      <alignment vertical="center" wrapText="1"/>
    </xf>
    <xf numFmtId="166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vertical="center" wrapText="1"/>
    </xf>
    <xf numFmtId="14" fontId="11" fillId="0" borderId="0" xfId="0" applyNumberFormat="1" applyFont="1" applyAlignment="1">
      <alignment vertical="center" wrapText="1" shrinkToFit="1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left" vertical="center" wrapText="1"/>
    </xf>
    <xf numFmtId="14" fontId="11" fillId="0" borderId="0" xfId="0" applyNumberFormat="1" applyFont="1" applyAlignment="1">
      <alignment vertical="center" wrapText="1"/>
    </xf>
    <xf numFmtId="166" fontId="11" fillId="0" borderId="0" xfId="1" applyNumberFormat="1" applyFont="1" applyFill="1" applyAlignment="1">
      <alignment vertical="center" wrapText="1"/>
    </xf>
    <xf numFmtId="166" fontId="11" fillId="0" borderId="0" xfId="0" applyNumberFormat="1" applyFont="1" applyAlignment="1">
      <alignment vertical="center" wrapText="1"/>
    </xf>
    <xf numFmtId="166" fontId="3" fillId="0" borderId="0" xfId="1" applyNumberFormat="1" applyFont="1" applyFill="1" applyAlignment="1">
      <alignment vertical="center" wrapText="1"/>
    </xf>
    <xf numFmtId="14" fontId="12" fillId="0" borderId="0" xfId="0" applyNumberFormat="1" applyFont="1" applyAlignment="1">
      <alignment vertical="center" wrapText="1" shrinkToFi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left" vertical="center" wrapText="1"/>
    </xf>
    <xf numFmtId="14" fontId="12" fillId="0" borderId="0" xfId="0" applyNumberFormat="1" applyFont="1" applyAlignment="1">
      <alignment vertical="center" wrapText="1"/>
    </xf>
    <xf numFmtId="166" fontId="12" fillId="0" borderId="0" xfId="1" applyNumberFormat="1" applyFont="1" applyFill="1" applyAlignment="1">
      <alignment vertical="center" wrapText="1"/>
    </xf>
    <xf numFmtId="166" fontId="12" fillId="0" borderId="0" xfId="0" applyNumberFormat="1" applyFont="1" applyAlignment="1">
      <alignment vertical="center" wrapText="1"/>
    </xf>
    <xf numFmtId="14" fontId="13" fillId="0" borderId="0" xfId="0" applyNumberFormat="1" applyFont="1" applyAlignment="1">
      <alignment vertical="center" wrapText="1" shrinkToFit="1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14" fontId="13" fillId="0" borderId="0" xfId="0" applyNumberFormat="1" applyFont="1" applyAlignment="1">
      <alignment vertical="center" wrapText="1"/>
    </xf>
    <xf numFmtId="166" fontId="13" fillId="0" borderId="0" xfId="1" applyNumberFormat="1" applyFont="1" applyFill="1" applyAlignment="1">
      <alignment vertical="center" wrapText="1"/>
    </xf>
    <xf numFmtId="166" fontId="13" fillId="0" borderId="0" xfId="0" applyNumberFormat="1" applyFont="1" applyAlignment="1">
      <alignment vertical="center" wrapText="1"/>
    </xf>
    <xf numFmtId="168" fontId="3" fillId="0" borderId="0" xfId="1" applyNumberFormat="1" applyFont="1" applyFill="1" applyAlignment="1">
      <alignment vertical="center" wrapText="1"/>
    </xf>
    <xf numFmtId="14" fontId="15" fillId="0" borderId="0" xfId="0" applyNumberFormat="1" applyFont="1" applyAlignment="1">
      <alignment vertical="center" wrapText="1" shrinkToFit="1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14" fontId="15" fillId="0" borderId="0" xfId="0" applyNumberFormat="1" applyFont="1" applyAlignment="1">
      <alignment vertical="center" wrapText="1"/>
    </xf>
    <xf numFmtId="166" fontId="15" fillId="0" borderId="0" xfId="0" applyNumberFormat="1" applyFont="1" applyAlignment="1">
      <alignment vertical="center" wrapText="1"/>
    </xf>
    <xf numFmtId="166" fontId="15" fillId="0" borderId="0" xfId="1" applyNumberFormat="1" applyFont="1" applyFill="1" applyAlignment="1">
      <alignment vertical="center" wrapText="1"/>
    </xf>
    <xf numFmtId="0" fontId="15" fillId="0" borderId="0" xfId="1" applyNumberFormat="1" applyFont="1" applyFill="1" applyAlignment="1">
      <alignment vertical="center" wrapText="1"/>
    </xf>
    <xf numFmtId="14" fontId="16" fillId="0" borderId="0" xfId="0" applyNumberFormat="1" applyFont="1" applyAlignment="1">
      <alignment vertical="center" wrapText="1" shrinkToFi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14" fontId="16" fillId="0" borderId="0" xfId="0" applyNumberFormat="1" applyFont="1" applyAlignment="1">
      <alignment vertical="center" wrapText="1"/>
    </xf>
    <xf numFmtId="166" fontId="16" fillId="0" borderId="0" xfId="1" applyNumberFormat="1" applyFont="1" applyFill="1" applyAlignment="1">
      <alignment vertical="center" wrapText="1"/>
    </xf>
    <xf numFmtId="166" fontId="16" fillId="0" borderId="0" xfId="0" applyNumberFormat="1" applyFont="1" applyAlignment="1">
      <alignment vertical="center" wrapText="1"/>
    </xf>
    <xf numFmtId="14" fontId="18" fillId="0" borderId="0" xfId="0" applyNumberFormat="1" applyFont="1" applyAlignment="1">
      <alignment vertical="center" wrapText="1" shrinkToFi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14" fontId="18" fillId="0" borderId="0" xfId="0" applyNumberFormat="1" applyFont="1" applyAlignment="1">
      <alignment vertical="center" wrapText="1"/>
    </xf>
    <xf numFmtId="166" fontId="18" fillId="0" borderId="0" xfId="1" applyNumberFormat="1" applyFont="1" applyFill="1" applyAlignment="1">
      <alignment vertical="center" wrapText="1"/>
    </xf>
    <xf numFmtId="166" fontId="18" fillId="0" borderId="0" xfId="0" applyNumberFormat="1" applyFont="1" applyAlignment="1">
      <alignment vertical="center" wrapText="1"/>
    </xf>
    <xf numFmtId="164" fontId="16" fillId="0" borderId="0" xfId="0" applyNumberFormat="1" applyFont="1" applyAlignment="1">
      <alignment vertical="center" wrapText="1"/>
    </xf>
    <xf numFmtId="14" fontId="19" fillId="0" borderId="0" xfId="0" applyNumberFormat="1" applyFont="1" applyAlignment="1">
      <alignment vertical="center" wrapText="1" shrinkToFit="1"/>
    </xf>
    <xf numFmtId="0" fontId="19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14" fontId="19" fillId="0" borderId="0" xfId="0" applyNumberFormat="1" applyFont="1" applyAlignment="1">
      <alignment vertical="center" wrapText="1"/>
    </xf>
    <xf numFmtId="166" fontId="19" fillId="0" borderId="0" xfId="1" applyNumberFormat="1" applyFont="1" applyFill="1" applyAlignment="1">
      <alignment vertical="center" wrapText="1"/>
    </xf>
    <xf numFmtId="166" fontId="19" fillId="0" borderId="0" xfId="0" applyNumberFormat="1" applyFont="1" applyAlignment="1">
      <alignment vertical="center" wrapText="1"/>
    </xf>
    <xf numFmtId="14" fontId="29" fillId="0" borderId="0" xfId="0" applyNumberFormat="1" applyFont="1" applyAlignment="1">
      <alignment vertical="center" wrapText="1" shrinkToFi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horizontal="left" vertical="center" wrapText="1"/>
    </xf>
    <xf numFmtId="0" fontId="29" fillId="0" borderId="0" xfId="0" applyFont="1" applyAlignment="1">
      <alignment vertical="center" wrapText="1"/>
    </xf>
    <xf numFmtId="14" fontId="29" fillId="0" borderId="0" xfId="0" applyNumberFormat="1" applyFont="1" applyAlignment="1">
      <alignment vertical="center" wrapText="1"/>
    </xf>
    <xf numFmtId="166" fontId="29" fillId="0" borderId="0" xfId="0" applyNumberFormat="1" applyFont="1" applyAlignment="1">
      <alignment vertical="center" wrapText="1"/>
    </xf>
    <xf numFmtId="14" fontId="20" fillId="0" borderId="0" xfId="0" applyNumberFormat="1" applyFont="1" applyAlignment="1">
      <alignment vertical="center" wrapText="1" shrinkToFi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left" vertical="center" wrapText="1"/>
    </xf>
    <xf numFmtId="14" fontId="20" fillId="0" borderId="0" xfId="0" applyNumberFormat="1" applyFont="1" applyAlignment="1">
      <alignment vertical="center" wrapText="1"/>
    </xf>
    <xf numFmtId="166" fontId="20" fillId="0" borderId="0" xfId="1" applyNumberFormat="1" applyFont="1" applyFill="1" applyAlignment="1">
      <alignment vertical="center" wrapText="1"/>
    </xf>
    <xf numFmtId="166" fontId="20" fillId="0" borderId="0" xfId="0" applyNumberFormat="1" applyFont="1" applyAlignment="1">
      <alignment vertical="center" wrapText="1"/>
    </xf>
    <xf numFmtId="14" fontId="21" fillId="0" borderId="0" xfId="0" applyNumberFormat="1" applyFont="1" applyAlignment="1">
      <alignment vertical="center" wrapText="1" shrinkToFit="1"/>
    </xf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14" fontId="21" fillId="0" borderId="0" xfId="0" applyNumberFormat="1" applyFont="1" applyAlignment="1">
      <alignment vertical="center" wrapText="1"/>
    </xf>
    <xf numFmtId="166" fontId="21" fillId="0" borderId="0" xfId="1" applyNumberFormat="1" applyFont="1" applyFill="1" applyAlignment="1">
      <alignment vertical="center" wrapText="1"/>
    </xf>
    <xf numFmtId="166" fontId="21" fillId="0" borderId="0" xfId="0" applyNumberFormat="1" applyFont="1" applyAlignment="1">
      <alignment vertical="center" wrapText="1"/>
    </xf>
    <xf numFmtId="14" fontId="22" fillId="0" borderId="0" xfId="0" applyNumberFormat="1" applyFont="1" applyAlignment="1">
      <alignment vertical="center" wrapText="1" shrinkToFit="1"/>
    </xf>
    <xf numFmtId="0" fontId="22" fillId="0" borderId="0" xfId="0" applyFont="1" applyAlignment="1">
      <alignment horizontal="center" vertical="center" wrapText="1"/>
    </xf>
    <xf numFmtId="0" fontId="22" fillId="0" borderId="0" xfId="0" applyFont="1" applyAlignment="1">
      <alignment horizontal="left" vertical="center" wrapText="1"/>
    </xf>
    <xf numFmtId="14" fontId="22" fillId="0" borderId="0" xfId="0" applyNumberFormat="1" applyFont="1" applyAlignment="1">
      <alignment vertical="center" wrapText="1"/>
    </xf>
    <xf numFmtId="166" fontId="22" fillId="0" borderId="0" xfId="1" applyNumberFormat="1" applyFont="1" applyFill="1" applyAlignment="1">
      <alignment vertical="center" wrapText="1"/>
    </xf>
    <xf numFmtId="166" fontId="22" fillId="0" borderId="0" xfId="0" applyNumberFormat="1" applyFont="1" applyAlignment="1">
      <alignment vertical="center" wrapText="1"/>
    </xf>
    <xf numFmtId="14" fontId="22" fillId="0" borderId="0" xfId="0" applyNumberFormat="1" applyFont="1" applyAlignment="1">
      <alignment horizontal="right" vertical="center" wrapText="1" shrinkToFit="1"/>
    </xf>
    <xf numFmtId="14" fontId="0" fillId="0" borderId="0" xfId="0" applyNumberFormat="1" applyAlignment="1">
      <alignment wrapText="1" shrinkToFit="1"/>
    </xf>
    <xf numFmtId="14" fontId="23" fillId="0" borderId="0" xfId="0" applyNumberFormat="1" applyFont="1" applyAlignment="1">
      <alignment vertical="center" wrapText="1" shrinkToFit="1"/>
    </xf>
    <xf numFmtId="0" fontId="23" fillId="0" borderId="0" xfId="0" applyFont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14" fontId="23" fillId="0" borderId="0" xfId="0" applyNumberFormat="1" applyFont="1" applyAlignment="1">
      <alignment vertical="center" wrapText="1"/>
    </xf>
    <xf numFmtId="166" fontId="23" fillId="0" borderId="0" xfId="0" applyNumberFormat="1" applyFont="1" applyAlignment="1">
      <alignment vertical="center" wrapText="1"/>
    </xf>
    <xf numFmtId="14" fontId="23" fillId="0" borderId="0" xfId="0" applyNumberFormat="1" applyFont="1" applyAlignment="1">
      <alignment horizontal="right" vertical="center" wrapText="1"/>
    </xf>
    <xf numFmtId="14" fontId="25" fillId="0" borderId="0" xfId="0" applyNumberFormat="1" applyFont="1" applyAlignment="1">
      <alignment vertical="center" wrapText="1" shrinkToFit="1"/>
    </xf>
    <xf numFmtId="0" fontId="25" fillId="0" borderId="0" xfId="0" applyFont="1" applyAlignment="1">
      <alignment horizontal="center" vertical="center" wrapText="1"/>
    </xf>
    <xf numFmtId="14" fontId="25" fillId="0" borderId="0" xfId="0" applyNumberFormat="1" applyFont="1" applyAlignment="1">
      <alignment vertical="center" wrapText="1"/>
    </xf>
    <xf numFmtId="166" fontId="25" fillId="0" borderId="0" xfId="0" applyNumberFormat="1" applyFont="1" applyAlignment="1">
      <alignment vertical="center" wrapText="1"/>
    </xf>
    <xf numFmtId="14" fontId="29" fillId="0" borderId="0" xfId="0" applyNumberFormat="1" applyFont="1" applyAlignment="1">
      <alignment horizontal="right" vertical="center" wrapText="1"/>
    </xf>
    <xf numFmtId="14" fontId="30" fillId="0" borderId="0" xfId="0" applyNumberFormat="1" applyFont="1" applyAlignment="1">
      <alignment vertical="center" wrapText="1" shrinkToFi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horizontal="left" vertical="center" wrapText="1"/>
    </xf>
    <xf numFmtId="166" fontId="30" fillId="0" borderId="0" xfId="0" applyNumberFormat="1" applyFont="1" applyAlignment="1">
      <alignment vertical="center" wrapText="1"/>
    </xf>
    <xf numFmtId="0" fontId="33" fillId="0" borderId="0" xfId="0" applyFont="1" applyAlignment="1">
      <alignment wrapText="1"/>
    </xf>
    <xf numFmtId="14" fontId="1" fillId="0" borderId="23" xfId="0" applyNumberFormat="1" applyFont="1" applyBorder="1"/>
    <xf numFmtId="0" fontId="0" fillId="0" borderId="23" xfId="0" applyBorder="1" applyAlignment="1">
      <alignment horizontal="center"/>
    </xf>
    <xf numFmtId="0" fontId="14" fillId="11" borderId="23" xfId="0" applyFont="1" applyFill="1" applyBorder="1"/>
    <xf numFmtId="0" fontId="32" fillId="11" borderId="23" xfId="0" applyFont="1" applyFill="1" applyBorder="1"/>
    <xf numFmtId="14" fontId="0" fillId="0" borderId="0" xfId="0" applyNumberFormat="1" applyAlignment="1">
      <alignment vertical="center" wrapText="1"/>
    </xf>
    <xf numFmtId="170" fontId="0" fillId="0" borderId="0" xfId="1" applyNumberFormat="1" applyFont="1" applyAlignment="1">
      <alignment vertical="center" wrapText="1"/>
    </xf>
    <xf numFmtId="0" fontId="0" fillId="0" borderId="23" xfId="0" applyBorder="1" applyAlignment="1">
      <alignment horizontal="right"/>
    </xf>
    <xf numFmtId="171" fontId="0" fillId="0" borderId="23" xfId="0" applyNumberFormat="1" applyBorder="1" applyAlignment="1">
      <alignment horizontal="center"/>
    </xf>
    <xf numFmtId="0" fontId="14" fillId="11" borderId="23" xfId="0" applyFont="1" applyFill="1" applyBorder="1" applyAlignment="1">
      <alignment horizontal="left"/>
    </xf>
    <xf numFmtId="14" fontId="35" fillId="0" borderId="0" xfId="0" applyNumberFormat="1" applyFont="1" applyAlignment="1">
      <alignment vertical="center" wrapText="1" shrinkToFit="1"/>
    </xf>
    <xf numFmtId="0" fontId="35" fillId="0" borderId="0" xfId="0" applyFont="1" applyAlignment="1">
      <alignment horizontal="center" vertical="center" wrapText="1"/>
    </xf>
    <xf numFmtId="0" fontId="35" fillId="0" borderId="0" xfId="0" applyFont="1" applyAlignment="1">
      <alignment horizontal="left" vertical="center" wrapText="1"/>
    </xf>
    <xf numFmtId="0" fontId="35" fillId="0" borderId="0" xfId="0" applyFont="1" applyAlignment="1">
      <alignment vertical="center" wrapText="1"/>
    </xf>
    <xf numFmtId="14" fontId="35" fillId="0" borderId="0" xfId="0" applyNumberFormat="1" applyFont="1" applyAlignment="1">
      <alignment vertical="center" wrapText="1"/>
    </xf>
    <xf numFmtId="166" fontId="35" fillId="0" borderId="0" xfId="0" applyNumberFormat="1" applyFont="1" applyAlignment="1">
      <alignment vertical="center" wrapText="1"/>
    </xf>
    <xf numFmtId="14" fontId="36" fillId="0" borderId="0" xfId="0" applyNumberFormat="1" applyFont="1" applyAlignment="1">
      <alignment vertical="center" wrapText="1" shrinkToFit="1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left" vertical="center" wrapText="1"/>
    </xf>
    <xf numFmtId="0" fontId="36" fillId="0" borderId="0" xfId="0" applyFont="1" applyAlignment="1">
      <alignment vertical="center" wrapText="1"/>
    </xf>
    <xf numFmtId="14" fontId="36" fillId="0" borderId="0" xfId="0" applyNumberFormat="1" applyFont="1" applyAlignment="1">
      <alignment vertical="center" wrapText="1"/>
    </xf>
    <xf numFmtId="166" fontId="36" fillId="0" borderId="0" xfId="0" applyNumberFormat="1" applyFont="1" applyAlignment="1">
      <alignment vertical="center" wrapText="1"/>
    </xf>
    <xf numFmtId="0" fontId="0" fillId="5" borderId="0" xfId="0" applyFill="1" applyAlignment="1">
      <alignment wrapText="1" shrinkToFit="1"/>
    </xf>
    <xf numFmtId="0" fontId="0" fillId="0" borderId="0" xfId="0" applyAlignment="1">
      <alignment wrapText="1" shrinkToFit="1"/>
    </xf>
    <xf numFmtId="0" fontId="0" fillId="5" borderId="0" xfId="0" applyFill="1" applyAlignment="1">
      <alignment vertical="center" shrinkToFit="1"/>
    </xf>
    <xf numFmtId="0" fontId="0" fillId="0" borderId="0" xfId="0" applyAlignment="1">
      <alignment vertical="center" shrinkToFit="1"/>
    </xf>
    <xf numFmtId="0" fontId="4" fillId="0" borderId="0" xfId="0" applyFont="1" applyAlignment="1">
      <alignment horizontal="left" vertical="center" wrapText="1"/>
    </xf>
    <xf numFmtId="14" fontId="36" fillId="0" borderId="0" xfId="0" applyNumberFormat="1" applyFont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14" fontId="29" fillId="0" borderId="0" xfId="0" applyNumberFormat="1" applyFont="1" applyAlignment="1">
      <alignment horizontal="left" vertical="center" wrapText="1"/>
    </xf>
    <xf numFmtId="14" fontId="3" fillId="0" borderId="0" xfId="0" applyNumberFormat="1" applyFont="1" applyAlignment="1">
      <alignment horizontal="left" vertical="center" wrapText="1"/>
    </xf>
    <xf numFmtId="14" fontId="30" fillId="0" borderId="0" xfId="0" applyNumberFormat="1" applyFont="1" applyAlignment="1">
      <alignment horizontal="left" vertical="center" wrapText="1"/>
    </xf>
    <xf numFmtId="14" fontId="35" fillId="0" borderId="0" xfId="0" applyNumberFormat="1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9" fillId="5" borderId="0" xfId="0" applyFont="1" applyFill="1"/>
    <xf numFmtId="0" fontId="0" fillId="0" borderId="23" xfId="0" applyBorder="1" applyAlignment="1">
      <alignment horizontal="center" vertical="center"/>
    </xf>
    <xf numFmtId="0" fontId="0" fillId="0" borderId="0" xfId="0" pivotButton="1" applyAlignment="1">
      <alignment horizontal="left"/>
    </xf>
    <xf numFmtId="0" fontId="14" fillId="0" borderId="0" xfId="0" applyFont="1"/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0" fontId="37" fillId="0" borderId="11" xfId="0" applyFont="1" applyBorder="1"/>
    <xf numFmtId="0" fontId="1" fillId="0" borderId="23" xfId="0" applyFont="1" applyBorder="1" applyAlignment="1">
      <alignment horizontal="center" vertical="center"/>
    </xf>
    <xf numFmtId="0" fontId="39" fillId="5" borderId="23" xfId="0" applyFont="1" applyFill="1" applyBorder="1" applyAlignment="1">
      <alignment horizontal="center" vertical="center"/>
    </xf>
    <xf numFmtId="0" fontId="39" fillId="14" borderId="23" xfId="0" applyFont="1" applyFill="1" applyBorder="1" applyAlignment="1">
      <alignment horizontal="center" vertical="center"/>
    </xf>
    <xf numFmtId="0" fontId="39" fillId="15" borderId="23" xfId="0" applyFont="1" applyFill="1" applyBorder="1" applyAlignment="1">
      <alignment horizontal="center" vertical="center"/>
    </xf>
    <xf numFmtId="0" fontId="39" fillId="19" borderId="0" xfId="0" applyFont="1" applyFill="1" applyAlignment="1">
      <alignment horizontal="center" vertical="center"/>
    </xf>
    <xf numFmtId="172" fontId="0" fillId="0" borderId="0" xfId="0" applyNumberFormat="1"/>
    <xf numFmtId="17" fontId="1" fillId="0" borderId="0" xfId="0" applyNumberFormat="1" applyFont="1" applyAlignment="1">
      <alignment horizontal="center" vertical="center"/>
    </xf>
    <xf numFmtId="0" fontId="1" fillId="16" borderId="23" xfId="0" applyFont="1" applyFill="1" applyBorder="1" applyAlignment="1">
      <alignment horizontal="center" vertical="center"/>
    </xf>
    <xf numFmtId="0" fontId="1" fillId="20" borderId="23" xfId="0" applyFont="1" applyFill="1" applyBorder="1" applyAlignment="1">
      <alignment horizontal="center" vertical="center"/>
    </xf>
    <xf numFmtId="0" fontId="1" fillId="19" borderId="23" xfId="0" applyFont="1" applyFill="1" applyBorder="1" applyAlignment="1">
      <alignment horizontal="center" vertical="center"/>
    </xf>
    <xf numFmtId="0" fontId="1" fillId="17" borderId="23" xfId="0" applyFont="1" applyFill="1" applyBorder="1" applyAlignment="1">
      <alignment horizontal="center" vertical="center"/>
    </xf>
    <xf numFmtId="0" fontId="1" fillId="18" borderId="23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3" borderId="23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38" fillId="12" borderId="23" xfId="0" applyFont="1" applyFill="1" applyBorder="1" applyAlignment="1">
      <alignment horizontal="center" vertical="center"/>
    </xf>
    <xf numFmtId="0" fontId="38" fillId="12" borderId="31" xfId="0" applyFont="1" applyFill="1" applyBorder="1" applyAlignment="1">
      <alignment horizontal="center" vertical="center"/>
    </xf>
    <xf numFmtId="0" fontId="1" fillId="0" borderId="23" xfId="0" applyFont="1" applyBorder="1" applyAlignment="1">
      <alignment vertical="center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left" vertical="center" wrapText="1"/>
    </xf>
    <xf numFmtId="14" fontId="41" fillId="0" borderId="0" xfId="2" applyNumberFormat="1" applyFont="1" applyFill="1" applyBorder="1" applyAlignment="1">
      <alignment horizontal="center" vertical="center" wrapText="1"/>
    </xf>
    <xf numFmtId="0" fontId="41" fillId="0" borderId="0" xfId="2" applyNumberFormat="1" applyFont="1" applyFill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 wrapText="1"/>
    </xf>
    <xf numFmtId="0" fontId="41" fillId="0" borderId="0" xfId="0" applyFont="1" applyAlignment="1">
      <alignment horizontal="left" vertical="top" wrapText="1"/>
    </xf>
    <xf numFmtId="0" fontId="41" fillId="0" borderId="0" xfId="0" applyFont="1"/>
    <xf numFmtId="0" fontId="42" fillId="0" borderId="0" xfId="0" applyFont="1" applyAlignment="1">
      <alignment horizontal="center" vertical="center" wrapText="1"/>
    </xf>
    <xf numFmtId="0" fontId="41" fillId="0" borderId="8" xfId="0" applyFont="1" applyBorder="1" applyAlignment="1">
      <alignment horizontal="center" vertical="center" wrapText="1"/>
    </xf>
    <xf numFmtId="0" fontId="43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/>
    </xf>
    <xf numFmtId="14" fontId="44" fillId="0" borderId="0" xfId="0" applyNumberFormat="1" applyFont="1" applyFill="1" applyAlignment="1">
      <alignment vertical="center" wrapText="1" shrinkToFit="1"/>
    </xf>
    <xf numFmtId="0" fontId="44" fillId="0" borderId="0" xfId="0" applyNumberFormat="1" applyFont="1" applyFill="1" applyAlignment="1">
      <alignment horizontal="center" vertical="center" wrapText="1"/>
    </xf>
    <xf numFmtId="0" fontId="44" fillId="0" borderId="0" xfId="0" applyNumberFormat="1" applyFont="1" applyFill="1" applyAlignment="1">
      <alignment horizontal="left" vertical="center" wrapText="1"/>
    </xf>
    <xf numFmtId="0" fontId="44" fillId="0" borderId="0" xfId="0" applyNumberFormat="1" applyFont="1" applyFill="1" applyAlignment="1">
      <alignment vertical="center" wrapText="1"/>
    </xf>
    <xf numFmtId="0" fontId="44" fillId="0" borderId="0" xfId="0" applyFont="1" applyFill="1" applyAlignment="1">
      <alignment horizontal="center" vertical="center" wrapText="1"/>
    </xf>
    <xf numFmtId="0" fontId="44" fillId="0" borderId="0" xfId="0" applyFont="1" applyFill="1" applyAlignment="1">
      <alignment vertical="center" wrapText="1"/>
    </xf>
    <xf numFmtId="14" fontId="44" fillId="0" borderId="0" xfId="0" applyNumberFormat="1" applyFont="1" applyFill="1" applyAlignment="1">
      <alignment horizontal="left" vertical="center" wrapText="1"/>
    </xf>
    <xf numFmtId="14" fontId="44" fillId="0" borderId="0" xfId="0" applyNumberFormat="1" applyFont="1" applyFill="1" applyAlignment="1">
      <alignment vertical="center" wrapText="1"/>
    </xf>
    <xf numFmtId="166" fontId="44" fillId="0" borderId="0" xfId="0" applyNumberFormat="1" applyFont="1" applyFill="1" applyAlignment="1">
      <alignment vertical="center" wrapText="1"/>
    </xf>
    <xf numFmtId="14" fontId="44" fillId="0" borderId="0" xfId="0" applyNumberFormat="1" applyFont="1" applyFill="1" applyAlignment="1">
      <alignment horizontal="right" vertical="center" wrapText="1" shrinkToFit="1"/>
    </xf>
    <xf numFmtId="14" fontId="44" fillId="0" borderId="0" xfId="0" applyNumberFormat="1" applyFont="1" applyFill="1" applyAlignment="1">
      <alignment horizontal="right" vertical="center" wrapText="1"/>
    </xf>
    <xf numFmtId="14" fontId="44" fillId="21" borderId="0" xfId="0" applyNumberFormat="1" applyFont="1" applyFill="1" applyAlignment="1">
      <alignment vertical="center" wrapText="1" shrinkToFit="1"/>
    </xf>
    <xf numFmtId="0" fontId="44" fillId="21" borderId="0" xfId="0" applyNumberFormat="1" applyFont="1" applyFill="1" applyAlignment="1">
      <alignment horizontal="center" vertical="center" wrapText="1"/>
    </xf>
    <xf numFmtId="0" fontId="3" fillId="21" borderId="0" xfId="0" applyFont="1" applyFill="1" applyAlignment="1">
      <alignment horizontal="left" vertical="center" wrapText="1"/>
    </xf>
    <xf numFmtId="0" fontId="3" fillId="21" borderId="0" xfId="0" applyFont="1" applyFill="1" applyAlignment="1">
      <alignment vertical="center" wrapText="1"/>
    </xf>
    <xf numFmtId="0" fontId="44" fillId="21" borderId="0" xfId="0" applyFont="1" applyFill="1" applyAlignment="1">
      <alignment horizontal="center" vertical="center" wrapText="1"/>
    </xf>
    <xf numFmtId="0" fontId="44" fillId="21" borderId="0" xfId="0" applyNumberFormat="1" applyFont="1" applyFill="1" applyAlignment="1">
      <alignment vertical="center" wrapText="1"/>
    </xf>
    <xf numFmtId="0" fontId="36" fillId="21" borderId="0" xfId="0" applyFont="1" applyFill="1" applyAlignment="1">
      <alignment vertical="center" wrapText="1"/>
    </xf>
    <xf numFmtId="0" fontId="44" fillId="21" borderId="0" xfId="0" applyFont="1" applyFill="1" applyAlignment="1">
      <alignment vertical="center" wrapText="1"/>
    </xf>
    <xf numFmtId="14" fontId="44" fillId="21" borderId="0" xfId="0" applyNumberFormat="1" applyFont="1" applyFill="1" applyAlignment="1">
      <alignment horizontal="left" vertical="center" wrapText="1"/>
    </xf>
    <xf numFmtId="14" fontId="44" fillId="21" borderId="0" xfId="0" applyNumberFormat="1" applyFont="1" applyFill="1" applyAlignment="1">
      <alignment vertical="center" wrapText="1"/>
    </xf>
    <xf numFmtId="166" fontId="44" fillId="21" borderId="0" xfId="0" applyNumberFormat="1" applyFont="1" applyFill="1" applyAlignment="1">
      <alignment vertical="center" wrapText="1"/>
    </xf>
    <xf numFmtId="0" fontId="0" fillId="21" borderId="0" xfId="0" applyFill="1" applyAlignment="1">
      <alignment shrinkToFit="1"/>
    </xf>
    <xf numFmtId="14" fontId="45" fillId="19" borderId="0" xfId="0" applyNumberFormat="1" applyFont="1" applyFill="1" applyAlignment="1">
      <alignment horizontal="left" vertical="center" wrapText="1"/>
    </xf>
    <xf numFmtId="14" fontId="3" fillId="0" borderId="0" xfId="0" applyNumberFormat="1" applyFont="1" applyFill="1" applyAlignment="1">
      <alignment vertical="center" wrapText="1" shrinkToFit="1"/>
    </xf>
    <xf numFmtId="0" fontId="3" fillId="0" borderId="0" xfId="0" applyNumberFormat="1" applyFont="1" applyFill="1" applyAlignment="1">
      <alignment horizontal="center" vertical="center" wrapText="1"/>
    </xf>
    <xf numFmtId="0" fontId="3" fillId="0" borderId="0" xfId="0" applyNumberFormat="1" applyFont="1" applyFill="1" applyAlignment="1">
      <alignment horizontal="left" vertical="center" wrapText="1"/>
    </xf>
    <xf numFmtId="0" fontId="3" fillId="0" borderId="0" xfId="0" applyNumberFormat="1" applyFont="1" applyFill="1" applyAlignment="1">
      <alignment vertical="center" wrapText="1"/>
    </xf>
    <xf numFmtId="0" fontId="3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vertical="center" wrapText="1"/>
    </xf>
    <xf numFmtId="14" fontId="3" fillId="0" borderId="0" xfId="0" applyNumberFormat="1" applyFont="1" applyFill="1" applyAlignment="1">
      <alignment horizontal="left" vertical="center" wrapText="1"/>
    </xf>
    <xf numFmtId="14" fontId="3" fillId="0" borderId="0" xfId="0" applyNumberFormat="1" applyFont="1" applyFill="1" applyAlignment="1">
      <alignment vertical="center" wrapText="1"/>
    </xf>
    <xf numFmtId="166" fontId="3" fillId="0" borderId="0" xfId="0" applyNumberFormat="1" applyFont="1" applyFill="1" applyAlignment="1">
      <alignment vertical="center" wrapText="1"/>
    </xf>
    <xf numFmtId="14" fontId="3" fillId="19" borderId="0" xfId="0" applyNumberFormat="1" applyFont="1" applyFill="1" applyAlignment="1">
      <alignment horizontal="left" vertical="center" wrapText="1"/>
    </xf>
    <xf numFmtId="0" fontId="9" fillId="5" borderId="0" xfId="0" applyFont="1" applyFill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0" borderId="16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20" xfId="0" applyFont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0" borderId="23" xfId="0" applyBorder="1" applyAlignment="1">
      <alignment horizontal="center"/>
    </xf>
    <xf numFmtId="0" fontId="0" fillId="0" borderId="23" xfId="0" applyBorder="1" applyAlignment="1">
      <alignment horizontal="left" vertical="center" wrapText="1"/>
    </xf>
    <xf numFmtId="0" fontId="34" fillId="0" borderId="25" xfId="0" applyFont="1" applyBorder="1" applyAlignment="1">
      <alignment horizontal="center" vertical="top" wrapText="1"/>
    </xf>
    <xf numFmtId="0" fontId="34" fillId="0" borderId="0" xfId="0" applyFont="1" applyAlignment="1">
      <alignment horizontal="center" vertical="top" wrapText="1"/>
    </xf>
    <xf numFmtId="0" fontId="32" fillId="11" borderId="23" xfId="0" applyFont="1" applyFill="1" applyBorder="1" applyAlignment="1">
      <alignment horizontal="left" vertical="center"/>
    </xf>
    <xf numFmtId="0" fontId="14" fillId="11" borderId="31" xfId="0" applyFont="1" applyFill="1" applyBorder="1" applyAlignment="1">
      <alignment horizontal="left" vertical="center"/>
    </xf>
    <xf numFmtId="0" fontId="14" fillId="11" borderId="32" xfId="0" applyFont="1" applyFill="1" applyBorder="1" applyAlignment="1">
      <alignment horizontal="left" vertical="center"/>
    </xf>
    <xf numFmtId="0" fontId="14" fillId="11" borderId="33" xfId="0" applyFont="1" applyFill="1" applyBorder="1" applyAlignment="1">
      <alignment horizontal="left" vertical="center"/>
    </xf>
    <xf numFmtId="0" fontId="14" fillId="11" borderId="23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0" fillId="0" borderId="27" xfId="0" applyBorder="1" applyAlignment="1">
      <alignment horizontal="left" vertical="center" wrapText="1"/>
    </xf>
    <xf numFmtId="0" fontId="0" fillId="0" borderId="2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24" xfId="0" applyBorder="1" applyAlignment="1">
      <alignment horizontal="left" vertical="center" wrapText="1"/>
    </xf>
    <xf numFmtId="0" fontId="0" fillId="0" borderId="28" xfId="0" applyBorder="1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0" fontId="0" fillId="0" borderId="30" xfId="0" applyBorder="1" applyAlignment="1">
      <alignment horizontal="left" vertical="center" wrapText="1"/>
    </xf>
    <xf numFmtId="0" fontId="14" fillId="0" borderId="23" xfId="0" applyFont="1" applyBorder="1" applyAlignment="1">
      <alignment horizontal="center"/>
    </xf>
    <xf numFmtId="0" fontId="1" fillId="0" borderId="23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/>
    </xf>
    <xf numFmtId="0" fontId="40" fillId="0" borderId="0" xfId="0" applyFont="1" applyAlignment="1">
      <alignment horizontal="center" vertical="center"/>
    </xf>
    <xf numFmtId="0" fontId="39" fillId="5" borderId="23" xfId="0" applyFont="1" applyFill="1" applyBorder="1" applyAlignment="1">
      <alignment horizontal="center" vertical="center"/>
    </xf>
    <xf numFmtId="0" fontId="39" fillId="14" borderId="23" xfId="0" applyFont="1" applyFill="1" applyBorder="1" applyAlignment="1">
      <alignment horizontal="center" vertical="center"/>
    </xf>
    <xf numFmtId="0" fontId="39" fillId="15" borderId="23" xfId="0" applyFont="1" applyFill="1" applyBorder="1" applyAlignment="1">
      <alignment horizontal="center" vertical="center"/>
    </xf>
  </cellXfs>
  <cellStyles count="3">
    <cellStyle name="40 % - Accent1 2" xfId="2"/>
    <cellStyle name="Milliers" xfId="1" builtinId="3"/>
    <cellStyle name="Normal" xfId="0" builtinId="0"/>
  </cellStyles>
  <dxfs count="251">
    <dxf>
      <alignment horizontal="general" vertical="center" textRotation="0" wrapText="1" indent="0" relativeIndent="255" justifyLastLine="0" shrinkToFit="0" readingOrder="0"/>
    </dxf>
    <dxf>
      <alignment horizontal="general" vertical="center" textRotation="0" wrapText="1" indent="0" relativeIndent="255" justifyLastLine="0" shrinkToFit="0" readingOrder="0"/>
    </dxf>
    <dxf>
      <alignment horizontal="general" vertical="center" textRotation="0" wrapText="1" indent="0" relativeIndent="255" justifyLastLine="0" shrinkToFit="0" readingOrder="0"/>
    </dxf>
    <dxf>
      <alignment horizontal="general" vertical="center" textRotation="0" wrapText="1" indent="0" relativeIndent="255" justifyLastLine="0" shrinkToFit="0" readingOrder="0"/>
    </dxf>
    <dxf>
      <alignment horizontal="general" vertical="center" textRotation="0" wrapText="1" indent="0" relativeIndent="255" justifyLastLine="0" shrinkToFit="0" readingOrder="0"/>
    </dxf>
    <dxf>
      <numFmt numFmtId="0" formatCode="General"/>
      <alignment horizontal="general" vertical="center" textRotation="0" wrapText="1" indent="0" relativeIndent="255" justifyLastLine="0" shrinkToFit="0" readingOrder="0"/>
    </dxf>
    <dxf>
      <alignment horizontal="general" vertical="center" textRotation="0" wrapText="1" indent="0" relativeIndent="255" justifyLastLine="0" shrinkToFit="0" readingOrder="0"/>
    </dxf>
    <dxf>
      <alignment horizontal="general" vertical="center" textRotation="0" wrapText="1" indent="0" relativeIndent="255" justifyLastLine="0" shrinkToFit="0" readingOrder="0"/>
    </dxf>
    <dxf>
      <numFmt numFmtId="0" formatCode="General"/>
      <alignment horizontal="general" vertical="center" textRotation="0" wrapText="1" indent="0" relativeIndent="255" justifyLastLine="0" shrinkToFit="0" readingOrder="0"/>
    </dxf>
    <dxf>
      <numFmt numFmtId="0" formatCode="General"/>
      <alignment horizontal="general" vertical="center" textRotation="0" wrapText="1" indent="0" relativeIndent="255" justifyLastLine="0" shrinkToFit="0" readingOrder="0"/>
    </dxf>
    <dxf>
      <numFmt numFmtId="0" formatCode="General"/>
      <alignment horizontal="general" vertical="center" textRotation="0" wrapText="1" indent="0" relativeIndent="255" justifyLastLine="0" shrinkToFit="0" readingOrder="0"/>
    </dxf>
    <dxf>
      <numFmt numFmtId="0" formatCode="General"/>
      <alignment horizontal="general" vertical="center" textRotation="0" wrapText="1" indent="0" relativeIndent="255" justifyLastLine="0" shrinkToFit="0" readingOrder="0"/>
    </dxf>
    <dxf>
      <numFmt numFmtId="19" formatCode="dd/mm/yyyy"/>
      <alignment horizontal="general" vertical="center" textRotation="0" wrapText="1" indent="0" relativeIndent="255" justifyLastLine="0" shrinkToFit="0" readingOrder="0"/>
    </dxf>
    <dxf>
      <numFmt numFmtId="0" formatCode="General"/>
      <alignment horizontal="general" vertical="center" textRotation="0" wrapText="1" indent="0" relativeIndent="255" justifyLastLine="0" shrinkToFit="0" readingOrder="0"/>
    </dxf>
    <dxf>
      <alignment horizontal="general" vertical="center" textRotation="0" wrapText="1" indent="0" relativeIndent="255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relativeIndent="255" justifyLastLine="0" shrinkToFit="0" readingOrder="0"/>
      <border outline="0">
        <left/>
        <right style="medium">
          <color indexed="64"/>
        </right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relativeIndent="255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25" formatCode="hh:mm"/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C00000"/>
        </patternFill>
      </fill>
    </dxf>
    <dxf>
      <fill>
        <patternFill>
          <bgColor theme="6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alignment vertical="center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border>
        <left/>
        <right/>
        <top/>
        <bottom/>
      </border>
    </dxf>
    <dxf>
      <alignment horizontal="left" readingOrder="0"/>
    </dxf>
    <dxf>
      <font>
        <b/>
      </font>
    </dxf>
    <dxf>
      <font>
        <sz val="11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4" formatCode="#,##0.00"/>
      <fill>
        <patternFill patternType="none">
          <fgColor indexed="64"/>
          <bgColor auto="1"/>
        </patternFill>
      </fill>
    </dxf>
    <dxf>
      <numFmt numFmtId="4" formatCode="#,##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4" formatCode="#,##0.00"/>
      <fill>
        <patternFill patternType="none">
          <fgColor indexed="64"/>
          <bgColor indexed="65"/>
        </patternFill>
      </fill>
    </dxf>
    <dxf>
      <numFmt numFmtId="4" formatCode="#,##0.00"/>
      <fill>
        <patternFill patternType="none">
          <fgColor indexed="64"/>
          <bgColor indexed="65"/>
        </patternFill>
      </fill>
    </dxf>
    <dxf>
      <numFmt numFmtId="4" formatCode="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relativeIndent="255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4" formatCode="#,##0.00"/>
      <fill>
        <patternFill patternType="none">
          <bgColor auto="1"/>
        </patternFill>
      </fill>
    </dxf>
    <dxf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255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255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relativeIndent="255" justifyLastLine="0" shrinkToFit="0" readingOrder="0"/>
    </dxf>
    <dxf>
      <numFmt numFmtId="0" formatCode="General"/>
      <fill>
        <patternFill patternType="none">
          <bgColor auto="1"/>
        </patternFill>
      </fill>
      <alignment horizontal="right" vertical="bottom" textRotation="0" wrapText="0" indent="0" relativeIndent="255" justifyLastLine="0" shrinkToFit="0" readingOrder="0"/>
    </dxf>
    <dxf>
      <numFmt numFmtId="0" formatCode="General"/>
      <fill>
        <patternFill patternType="none">
          <bgColor auto="1"/>
        </patternFill>
      </fill>
      <alignment horizontal="right" vertical="bottom" textRotation="0" wrapText="0" indent="0" relativeIndent="255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bottom style="medium">
          <color theme="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4" formatCode="#,##0.00"/>
      <fill>
        <patternFill patternType="none">
          <fgColor indexed="64"/>
          <bgColor auto="1"/>
        </patternFill>
      </fill>
    </dxf>
    <dxf>
      <numFmt numFmtId="4" formatCode="#,##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4" formatCode="#,##0.00"/>
      <fill>
        <patternFill patternType="none">
          <fgColor indexed="64"/>
          <bgColor auto="1"/>
        </patternFill>
      </fill>
    </dxf>
    <dxf>
      <numFmt numFmtId="4" formatCode="#,##0.00"/>
      <fill>
        <patternFill patternType="none">
          <fgColor indexed="64"/>
          <bgColor indexed="65"/>
        </patternFill>
      </fill>
    </dxf>
    <dxf>
      <numFmt numFmtId="4" formatCode="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ck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66" formatCode="_-* #,##0\ _D_H_-;\-* #,##0\ _D_H_-;_-* &quot;-&quot;??\ _D_H_-;_-@_-"/>
      <fill>
        <patternFill patternType="none">
          <fgColor rgb="FF000000"/>
          <bgColor auto="1"/>
        </patternFill>
      </fill>
      <alignment horizontal="general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66" formatCode="_-* #,##0\ _D_H_-;\-* #,##0\ _D_H_-;_-* &quot;-&quot;??\ _D_H_-;_-@_-"/>
      <fill>
        <patternFill patternType="none">
          <fgColor rgb="FF000000"/>
          <bgColor auto="1"/>
        </patternFill>
      </fill>
      <alignment horizontal="general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66" formatCode="_-* #,##0\ _D_H_-;\-* #,##0\ _D_H_-;_-* &quot;-&quot;??\ _D_H_-;_-@_-"/>
      <fill>
        <patternFill patternType="none">
          <fgColor rgb="FF000000"/>
          <bgColor auto="1"/>
        </patternFill>
      </fill>
      <alignment horizontal="general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rgb="FF000000"/>
          <bgColor auto="1"/>
        </patternFill>
      </fill>
      <alignment vertical="center" textRotation="0" wrapText="1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color theme="1"/>
      </font>
      <fill>
        <patternFill>
          <bgColor theme="9" tint="-0.24994659260841701"/>
        </patternFill>
      </fill>
    </dxf>
    <dxf>
      <font>
        <color rgb="FF006100"/>
      </font>
      <fill>
        <patternFill>
          <bgColor theme="9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0" readingOrder="0"/>
    </dxf>
    <dxf>
      <border outline="0"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0" readingOrder="0"/>
    </dxf>
    <dxf>
      <border outline="0">
        <bottom style="medium">
          <color theme="1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64" formatCode="[$-F400]h:mm:ss\ AM/PM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medium">
          <color indexed="64"/>
        </left>
        <right/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1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general" vertical="center" textRotation="0" wrapText="0" indent="0" relativeIndent="255" justifyLastLine="0" shrinkToFit="1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none">
          <fgColor indexed="64"/>
          <bgColor auto="1"/>
        </patternFill>
      </fill>
      <alignment textRotation="0" wrapText="0" indent="0" relativeIndent="255" justifyLastLine="0" shrinkToFit="1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relativeIndent="255" justifyLastLine="0" shrinkToFit="1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ont>
        <color theme="1"/>
      </font>
      <fill>
        <patternFill>
          <bgColor theme="9" tint="-0.24994659260841701"/>
        </patternFill>
      </fill>
    </dxf>
    <dxf>
      <font>
        <color rgb="FF006100"/>
      </font>
      <fill>
        <patternFill>
          <bgColor theme="9" tint="-0.24994659260841701"/>
        </patternFill>
      </fill>
    </dxf>
  </dxfs>
  <tableStyles count="0" defaultTableStyle="TableStyleMedium2" defaultPivotStyle="PivotStyleLight16"/>
  <colors>
    <mruColors>
      <color rgb="FF00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Disponibilité Service Acier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col"/>
        <c:grouping val="clustered"/>
        <c:ser>
          <c:idx val="0"/>
          <c:order val="0"/>
          <c:tx>
            <c:v>Disponiblité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'KPI Maintenance'!$A$144:$B$161</c:f>
              <c:multiLvlStrCache>
                <c:ptCount val="9"/>
                <c:lvl>
                  <c:pt idx="0">
                    <c:v>Schlatter</c:v>
                  </c:pt>
                  <c:pt idx="1">
                    <c:v>EVG GE12</c:v>
                  </c:pt>
                  <c:pt idx="2">
                    <c:v>Sigmatic</c:v>
                  </c:pt>
                  <c:pt idx="3">
                    <c:v>EVG PN 1</c:v>
                  </c:pt>
                  <c:pt idx="4">
                    <c:v>Techno Impiante</c:v>
                  </c:pt>
                  <c:pt idx="5">
                    <c:v>Teurema 1</c:v>
                  </c:pt>
                  <c:pt idx="6">
                    <c:v>Teurema 2</c:v>
                  </c:pt>
                  <c:pt idx="7">
                    <c:v>Teurema 3</c:v>
                  </c:pt>
                  <c:pt idx="8">
                    <c:v>EVG PN 2</c:v>
                  </c:pt>
                </c:lvl>
                <c:lvl>
                  <c:pt idx="0">
                    <c:v>560</c:v>
                  </c:pt>
                  <c:pt idx="1">
                    <c:v>565</c:v>
                  </c:pt>
                  <c:pt idx="2">
                    <c:v>570</c:v>
                  </c:pt>
                  <c:pt idx="3">
                    <c:v>571</c:v>
                  </c:pt>
                  <c:pt idx="4">
                    <c:v>580</c:v>
                  </c:pt>
                  <c:pt idx="5">
                    <c:v>581</c:v>
                  </c:pt>
                  <c:pt idx="6">
                    <c:v>582</c:v>
                  </c:pt>
                  <c:pt idx="7">
                    <c:v>590</c:v>
                  </c:pt>
                  <c:pt idx="8">
                    <c:v>620</c:v>
                  </c:pt>
                </c:lvl>
              </c:multiLvlStrCache>
            </c:multiLvlStrRef>
          </c:cat>
          <c:val>
            <c:numRef>
              <c:f>'KPI Maintenance'!$H$144:$H$161</c:f>
              <c:numCache>
                <c:formatCode>#,##0.00</c:formatCode>
                <c:ptCount val="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02E-4716-8F27-930EE39337DC}"/>
            </c:ext>
          </c:extLst>
        </c:ser>
        <c:gapWidth val="80"/>
        <c:axId val="152715264"/>
        <c:axId val="152716800"/>
      </c:barChart>
      <c:lineChart>
        <c:grouping val="standard"/>
        <c:ser>
          <c:idx val="1"/>
          <c:order val="1"/>
          <c:tx>
            <c:v>Objectif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'KPI Maintenance'!$I$144:$I$161</c:f>
              <c:numCache>
                <c:formatCode>General</c:formatCode>
                <c:ptCount val="9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02E-4716-8F27-930EE39337DC}"/>
            </c:ext>
          </c:extLst>
        </c:ser>
        <c:marker val="1"/>
        <c:axId val="152715264"/>
        <c:axId val="152716800"/>
      </c:lineChart>
      <c:catAx>
        <c:axId val="152715264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2716800"/>
        <c:crosses val="autoZero"/>
        <c:auto val="1"/>
        <c:lblAlgn val="ctr"/>
        <c:lblOffset val="100"/>
      </c:catAx>
      <c:valAx>
        <c:axId val="152716800"/>
        <c:scaling>
          <c:orientation val="minMax"/>
          <c:max val="100"/>
          <c:min val="5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271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4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MTBF Service Acier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bar"/>
        <c:grouping val="clustered"/>
        <c:ser>
          <c:idx val="0"/>
          <c:order val="0"/>
          <c:tx>
            <c:v>MTBF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'KPI Maintenance'!$A$144:$B$161</c:f>
              <c:multiLvlStrCache>
                <c:ptCount val="9"/>
                <c:lvl>
                  <c:pt idx="0">
                    <c:v>Schlatter</c:v>
                  </c:pt>
                  <c:pt idx="1">
                    <c:v>EVG GE12</c:v>
                  </c:pt>
                  <c:pt idx="2">
                    <c:v>Sigmatic</c:v>
                  </c:pt>
                  <c:pt idx="3">
                    <c:v>EVG PN 1</c:v>
                  </c:pt>
                  <c:pt idx="4">
                    <c:v>Techno Impiante</c:v>
                  </c:pt>
                  <c:pt idx="5">
                    <c:v>Teurema 1</c:v>
                  </c:pt>
                  <c:pt idx="6">
                    <c:v>Teurema 2</c:v>
                  </c:pt>
                  <c:pt idx="7">
                    <c:v>Teurema 3</c:v>
                  </c:pt>
                  <c:pt idx="8">
                    <c:v>EVG PN 2</c:v>
                  </c:pt>
                </c:lvl>
                <c:lvl>
                  <c:pt idx="0">
                    <c:v>560</c:v>
                  </c:pt>
                  <c:pt idx="1">
                    <c:v>565</c:v>
                  </c:pt>
                  <c:pt idx="2">
                    <c:v>570</c:v>
                  </c:pt>
                  <c:pt idx="3">
                    <c:v>571</c:v>
                  </c:pt>
                  <c:pt idx="4">
                    <c:v>580</c:v>
                  </c:pt>
                  <c:pt idx="5">
                    <c:v>581</c:v>
                  </c:pt>
                  <c:pt idx="6">
                    <c:v>582</c:v>
                  </c:pt>
                  <c:pt idx="7">
                    <c:v>590</c:v>
                  </c:pt>
                  <c:pt idx="8">
                    <c:v>620</c:v>
                  </c:pt>
                </c:lvl>
              </c:multiLvlStrCache>
            </c:multiLvlStrRef>
          </c:cat>
          <c:val>
            <c:numRef>
              <c:f>'KPI Maintenance'!$F$144:$F$161</c:f>
              <c:numCache>
                <c:formatCode>#,##0.00</c:formatCode>
                <c:ptCount val="9"/>
                <c:pt idx="0">
                  <c:v>24960</c:v>
                </c:pt>
                <c:pt idx="1">
                  <c:v>12480</c:v>
                </c:pt>
                <c:pt idx="2">
                  <c:v>12480</c:v>
                </c:pt>
                <c:pt idx="3">
                  <c:v>12480</c:v>
                </c:pt>
                <c:pt idx="4">
                  <c:v>12480</c:v>
                </c:pt>
                <c:pt idx="5">
                  <c:v>12480</c:v>
                </c:pt>
                <c:pt idx="6">
                  <c:v>12480</c:v>
                </c:pt>
                <c:pt idx="7">
                  <c:v>24960</c:v>
                </c:pt>
                <c:pt idx="8">
                  <c:v>12480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5B-4F90-A538-E434DF611948}"/>
            </c:ext>
          </c:extLst>
        </c:ser>
        <c:ser>
          <c:idx val="1"/>
          <c:order val="1"/>
          <c:tx>
            <c:v>objectif mtbf</c:v>
          </c:tx>
          <c:spPr>
            <a:solidFill>
              <a:schemeClr val="bg1">
                <a:alpha val="0"/>
              </a:schemeClr>
            </a:solidFill>
            <a:ln>
              <a:solidFill>
                <a:srgbClr val="C00000">
                  <a:alpha val="0"/>
                </a:srgbClr>
              </a:solidFill>
            </a:ln>
          </c:spPr>
          <c:trendline>
            <c:spPr>
              <a:ln w="34925">
                <a:solidFill>
                  <a:srgbClr val="C00000"/>
                </a:solidFill>
              </a:ln>
            </c:spPr>
            <c:trendlineType val="linear"/>
          </c:trendline>
          <c:val>
            <c:numRef>
              <c:f>'KPI Maintenance'!$J$144:$J$161</c:f>
              <c:numCache>
                <c:formatCode>#,##0.00</c:formatCode>
                <c:ptCount val="9"/>
                <c:pt idx="0">
                  <c:v>5760</c:v>
                </c:pt>
                <c:pt idx="1">
                  <c:v>5760</c:v>
                </c:pt>
                <c:pt idx="2">
                  <c:v>5760</c:v>
                </c:pt>
                <c:pt idx="3">
                  <c:v>5760</c:v>
                </c:pt>
                <c:pt idx="4">
                  <c:v>5760</c:v>
                </c:pt>
                <c:pt idx="5">
                  <c:v>5760</c:v>
                </c:pt>
                <c:pt idx="6">
                  <c:v>5760</c:v>
                </c:pt>
                <c:pt idx="7">
                  <c:v>5760</c:v>
                </c:pt>
                <c:pt idx="8">
                  <c:v>5760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65B-4CA1-835E-AAD693078A5E}"/>
            </c:ext>
          </c:extLst>
        </c:ser>
        <c:gapWidth val="65"/>
        <c:axId val="153641344"/>
        <c:axId val="153642880"/>
      </c:barChart>
      <c:catAx>
        <c:axId val="153641344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642880"/>
        <c:crosses val="autoZero"/>
        <c:auto val="1"/>
        <c:lblAlgn val="ctr"/>
        <c:lblOffset val="100"/>
      </c:catAx>
      <c:valAx>
        <c:axId val="153642880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64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fr-FR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MTBF Service Béton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bar"/>
        <c:grouping val="clustered"/>
        <c:ser>
          <c:idx val="0"/>
          <c:order val="0"/>
          <c:tx>
            <c:v>MTTR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'KPI Maintenance'!$A$166:$B$167</c:f>
              <c:multiLvlStrCache>
                <c:ptCount val="2"/>
                <c:lvl>
                  <c:pt idx="0">
                    <c:v>Poyatos 1</c:v>
                  </c:pt>
                  <c:pt idx="1">
                    <c:v>Poyatos 2</c:v>
                  </c:pt>
                </c:lvl>
                <c:lvl>
                  <c:pt idx="0">
                    <c:v>700</c:v>
                  </c:pt>
                  <c:pt idx="1">
                    <c:v>800</c:v>
                  </c:pt>
                </c:lvl>
              </c:multiLvlStrCache>
            </c:multiLvlStrRef>
          </c:cat>
          <c:val>
            <c:numRef>
              <c:f>'KPI Maintenance'!$F$166:$F$167</c:f>
              <c:numCache>
                <c:formatCode>#,##0.00</c:formatCode>
                <c:ptCount val="2"/>
                <c:pt idx="0">
                  <c:v>24960</c:v>
                </c:pt>
                <c:pt idx="1">
                  <c:v>24960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DCF-4386-927E-A5E4AF77FFB4}"/>
            </c:ext>
          </c:extLst>
        </c:ser>
        <c:ser>
          <c:idx val="1"/>
          <c:order val="1"/>
          <c:tx>
            <c:v>object mtbf</c:v>
          </c:tx>
          <c:spPr>
            <a:noFill/>
          </c:spPr>
          <c:trendline>
            <c:spPr>
              <a:ln w="63500">
                <a:solidFill>
                  <a:srgbClr val="C00000"/>
                </a:solidFill>
              </a:ln>
            </c:spPr>
            <c:trendlineType val="linear"/>
          </c:trendline>
          <c:val>
            <c:numRef>
              <c:f>'KPI Maintenance'!$J$166:$J$167</c:f>
              <c:numCache>
                <c:formatCode>#,##0.00</c:formatCode>
                <c:ptCount val="2"/>
                <c:pt idx="0">
                  <c:v>5760</c:v>
                </c:pt>
                <c:pt idx="1">
                  <c:v>5760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C64-4513-A2B4-981D86256EF6}"/>
            </c:ext>
          </c:extLst>
        </c:ser>
        <c:gapWidth val="182"/>
        <c:axId val="153673728"/>
        <c:axId val="153675264"/>
      </c:barChart>
      <c:catAx>
        <c:axId val="153673728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675264"/>
        <c:crosses val="autoZero"/>
        <c:auto val="1"/>
        <c:lblAlgn val="ctr"/>
        <c:lblOffset val="100"/>
      </c:catAx>
      <c:valAx>
        <c:axId val="153675264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67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fr-FR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MTTR Service Béton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bar"/>
        <c:grouping val="clustered"/>
        <c:ser>
          <c:idx val="0"/>
          <c:order val="0"/>
          <c:tx>
            <c:v>MTTR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'KPI Maintenance'!$A$166:$B$167</c:f>
              <c:multiLvlStrCache>
                <c:ptCount val="2"/>
                <c:lvl>
                  <c:pt idx="0">
                    <c:v>Poyatos 1</c:v>
                  </c:pt>
                  <c:pt idx="1">
                    <c:v>Poyatos 2</c:v>
                  </c:pt>
                </c:lvl>
                <c:lvl>
                  <c:pt idx="0">
                    <c:v>700</c:v>
                  </c:pt>
                  <c:pt idx="1">
                    <c:v>800</c:v>
                  </c:pt>
                </c:lvl>
              </c:multiLvlStrCache>
            </c:multiLvlStrRef>
          </c:cat>
          <c:val>
            <c:numRef>
              <c:f>'KPI Maintenance'!$G$166:$G$167</c:f>
              <c:numCache>
                <c:formatCode>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E1E-4E54-8D57-E403C21B971F}"/>
            </c:ext>
          </c:extLst>
        </c:ser>
        <c:ser>
          <c:idx val="1"/>
          <c:order val="1"/>
          <c:tx>
            <c:v>MTTRobject</c:v>
          </c:tx>
          <c:spPr>
            <a:noFill/>
          </c:spPr>
          <c:trendline>
            <c:spPr>
              <a:ln w="63500">
                <a:solidFill>
                  <a:srgbClr val="C00000"/>
                </a:solidFill>
              </a:ln>
            </c:spPr>
            <c:trendlineType val="linear"/>
          </c:trendline>
          <c:val>
            <c:numRef>
              <c:f>'KPI Maintenance'!$K$166:$K$167</c:f>
              <c:numCache>
                <c:formatCode>#,##0.00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EDD-4170-96D7-EF680BF0E5A6}"/>
            </c:ext>
          </c:extLst>
        </c:ser>
        <c:gapWidth val="182"/>
        <c:axId val="153587072"/>
        <c:axId val="153605248"/>
      </c:barChart>
      <c:catAx>
        <c:axId val="153587072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605248"/>
        <c:crosses val="autoZero"/>
        <c:auto val="1"/>
        <c:lblAlgn val="ctr"/>
        <c:lblOffset val="100"/>
      </c:catAx>
      <c:valAx>
        <c:axId val="15360524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58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92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Disponibilité Service Béton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col"/>
        <c:grouping val="clustered"/>
        <c:ser>
          <c:idx val="0"/>
          <c:order val="0"/>
          <c:tx>
            <c:v>Disponibilité</c:v>
          </c:tx>
          <c:spPr>
            <a:solidFill>
              <a:schemeClr val="accent1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'KPI Maintenance'!$A$166:$B$167</c:f>
              <c:multiLvlStrCache>
                <c:ptCount val="2"/>
                <c:lvl>
                  <c:pt idx="0">
                    <c:v>Poyatos 1</c:v>
                  </c:pt>
                  <c:pt idx="1">
                    <c:v>Poyatos 2</c:v>
                  </c:pt>
                </c:lvl>
                <c:lvl>
                  <c:pt idx="0">
                    <c:v>700</c:v>
                  </c:pt>
                  <c:pt idx="1">
                    <c:v>800</c:v>
                  </c:pt>
                </c:lvl>
              </c:multiLvlStrCache>
            </c:multiLvlStrRef>
          </c:cat>
          <c:val>
            <c:numRef>
              <c:f>'KPI Maintenance'!$H$166:$H$167</c:f>
              <c:numCache>
                <c:formatCode>#,##0.00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A86-40C5-A409-5C9B4AA5273C}"/>
            </c:ext>
          </c:extLst>
        </c:ser>
        <c:gapWidth val="219"/>
        <c:axId val="153840640"/>
        <c:axId val="153846528"/>
      </c:barChart>
      <c:lineChart>
        <c:grouping val="standard"/>
        <c:ser>
          <c:idx val="1"/>
          <c:order val="1"/>
          <c:tx>
            <c:v>Objectif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'KPI Maintenance'!$I$166:$I$167</c:f>
              <c:numCache>
                <c:formatCode>General</c:formatCode>
                <c:ptCount val="2"/>
                <c:pt idx="0">
                  <c:v>95</c:v>
                </c:pt>
                <c:pt idx="1">
                  <c:v>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A86-40C5-A409-5C9B4AA5273C}"/>
            </c:ext>
          </c:extLst>
        </c:ser>
        <c:marker val="1"/>
        <c:axId val="153840640"/>
        <c:axId val="153846528"/>
      </c:lineChart>
      <c:catAx>
        <c:axId val="153840640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846528"/>
        <c:crosses val="autoZero"/>
        <c:auto val="1"/>
        <c:lblAlgn val="ctr"/>
        <c:lblOffset val="100"/>
      </c:catAx>
      <c:valAx>
        <c:axId val="153846528"/>
        <c:scaling>
          <c:orientation val="minMax"/>
          <c:max val="100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84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6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/>
      <c:barChart>
        <c:barDir val="bar"/>
        <c:grouping val="clustered"/>
        <c:ser>
          <c:idx val="0"/>
          <c:order val="0"/>
          <c:tx>
            <c:v>MTBF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'KPI Maintenance'!$A$186:$B$187</c:f>
              <c:multiLvlStrCache>
                <c:ptCount val="2"/>
                <c:lvl>
                  <c:pt idx="0">
                    <c:v>CAROSSEL</c:v>
                  </c:pt>
                  <c:pt idx="1">
                    <c:v>ELKON 2</c:v>
                  </c:pt>
                </c:lvl>
                <c:lvl>
                  <c:pt idx="0">
                    <c:v>533</c:v>
                  </c:pt>
                  <c:pt idx="1">
                    <c:v>534</c:v>
                  </c:pt>
                </c:lvl>
              </c:multiLvlStrCache>
            </c:multiLvlStrRef>
          </c:cat>
          <c:val>
            <c:numRef>
              <c:f>'KPI Maintenance'!$F$186:$F$187</c:f>
              <c:numCache>
                <c:formatCode>#,##0.00</c:formatCode>
                <c:ptCount val="2"/>
                <c:pt idx="0">
                  <c:v>12480</c:v>
                </c:pt>
                <c:pt idx="1">
                  <c:v>12480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E90-40F2-812C-99E771648EF6}"/>
            </c:ext>
          </c:extLst>
        </c:ser>
        <c:ser>
          <c:idx val="1"/>
          <c:order val="1"/>
          <c:tx>
            <c:v>obj mtbf</c:v>
          </c:tx>
          <c:spPr>
            <a:noFill/>
            <a:ln>
              <a:noFill/>
            </a:ln>
          </c:spPr>
          <c:trendline>
            <c:spPr>
              <a:ln w="63500">
                <a:solidFill>
                  <a:srgbClr val="FF0000"/>
                </a:solidFill>
                <a:headEnd type="diamond"/>
                <a:tailEnd type="diamond"/>
              </a:ln>
            </c:spPr>
            <c:trendlineType val="linear"/>
          </c:trendline>
          <c:val>
            <c:numRef>
              <c:f>'KPI Maintenance'!$J$186:$J$187</c:f>
              <c:numCache>
                <c:formatCode>General</c:formatCode>
                <c:ptCount val="2"/>
                <c:pt idx="0">
                  <c:v>5760</c:v>
                </c:pt>
                <c:pt idx="1">
                  <c:v>5760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7CD-4372-8E63-4365B4CA8DB9}"/>
            </c:ext>
          </c:extLst>
        </c:ser>
        <c:gapWidth val="219"/>
        <c:axId val="153880832"/>
        <c:axId val="153899008"/>
      </c:barChart>
      <c:catAx>
        <c:axId val="153880832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899008"/>
        <c:crosses val="autoZero"/>
        <c:auto val="1"/>
        <c:lblAlgn val="ctr"/>
        <c:lblOffset val="100"/>
      </c:catAx>
      <c:valAx>
        <c:axId val="15389900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88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6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4"/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92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plotArea>
      <c:layout/>
      <c:barChart>
        <c:barDir val="bar"/>
        <c:grouping val="clustered"/>
        <c:ser>
          <c:idx val="0"/>
          <c:order val="0"/>
          <c:tx>
            <c:v>MTTR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cat>
            <c:multiLvlStrRef>
              <c:f>'KPI Maintenance'!$A$186:$B$187</c:f>
              <c:multiLvlStrCache>
                <c:ptCount val="2"/>
                <c:lvl>
                  <c:pt idx="0">
                    <c:v>CAROSSEL</c:v>
                  </c:pt>
                  <c:pt idx="1">
                    <c:v>ELKON 2</c:v>
                  </c:pt>
                </c:lvl>
                <c:lvl>
                  <c:pt idx="0">
                    <c:v>533</c:v>
                  </c:pt>
                  <c:pt idx="1">
                    <c:v>534</c:v>
                  </c:pt>
                </c:lvl>
              </c:multiLvlStrCache>
            </c:multiLvlStrRef>
          </c:cat>
          <c:val>
            <c:numRef>
              <c:f>'KPI Maintenance'!$G$186:$G$187</c:f>
              <c:numCache>
                <c:formatCode>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AF2-42FF-A213-ED5CCC3AFDCC}"/>
            </c:ext>
          </c:extLst>
        </c:ser>
        <c:gapWidth val="100"/>
        <c:axId val="153922944"/>
        <c:axId val="153941120"/>
      </c:barChart>
      <c:catAx>
        <c:axId val="153922944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941120"/>
        <c:crosses val="autoZero"/>
        <c:auto val="1"/>
        <c:lblAlgn val="ctr"/>
        <c:lblOffset val="100"/>
      </c:catAx>
      <c:valAx>
        <c:axId val="153941120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92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 algn="ctr">
        <a:defRPr lang="en-US" sz="16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92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Disponibilité Service Enrobage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col"/>
        <c:grouping val="clustered"/>
        <c:ser>
          <c:idx val="0"/>
          <c:order val="0"/>
          <c:tx>
            <c:v>Disponibilité</c:v>
          </c:tx>
          <c:spPr>
            <a:solidFill>
              <a:schemeClr val="accent1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'KPI Maintenance'!$A$186:$B$187</c:f>
              <c:multiLvlStrCache>
                <c:ptCount val="2"/>
                <c:lvl>
                  <c:pt idx="0">
                    <c:v>CAROSSEL</c:v>
                  </c:pt>
                  <c:pt idx="1">
                    <c:v>ELKON 2</c:v>
                  </c:pt>
                </c:lvl>
                <c:lvl>
                  <c:pt idx="0">
                    <c:v>533</c:v>
                  </c:pt>
                  <c:pt idx="1">
                    <c:v>534</c:v>
                  </c:pt>
                </c:lvl>
              </c:multiLvlStrCache>
            </c:multiLvlStrRef>
          </c:cat>
          <c:val>
            <c:numRef>
              <c:f>'KPI Maintenance'!$H$186:$H$187</c:f>
              <c:numCache>
                <c:formatCode>#,##0.00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F00-46D3-9EF7-0C6B9A6D0519}"/>
            </c:ext>
          </c:extLst>
        </c:ser>
        <c:gapWidth val="219"/>
        <c:axId val="153979904"/>
        <c:axId val="153993984"/>
      </c:barChart>
      <c:lineChart>
        <c:grouping val="standard"/>
        <c:ser>
          <c:idx val="1"/>
          <c:order val="1"/>
          <c:tx>
            <c:v>Objectif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'KPI Maintenance'!$I$186:$I$187</c:f>
              <c:numCache>
                <c:formatCode>General</c:formatCode>
                <c:ptCount val="2"/>
                <c:pt idx="0">
                  <c:v>95</c:v>
                </c:pt>
                <c:pt idx="1">
                  <c:v>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F00-46D3-9EF7-0C6B9A6D0519}"/>
            </c:ext>
          </c:extLst>
        </c:ser>
        <c:marker val="1"/>
        <c:axId val="153979904"/>
        <c:axId val="153993984"/>
      </c:lineChart>
      <c:catAx>
        <c:axId val="153979904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993984"/>
        <c:crosses val="autoZero"/>
        <c:auto val="1"/>
        <c:lblAlgn val="ctr"/>
        <c:lblOffset val="100"/>
      </c:catAx>
      <c:valAx>
        <c:axId val="153993984"/>
        <c:scaling>
          <c:orientation val="minMax"/>
          <c:max val="100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979904"/>
        <c:crosses val="autoZero"/>
        <c:crossBetween val="between"/>
      </c:valAx>
      <c:spPr>
        <a:noFill/>
        <a:ln w="38100"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6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8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MTTR Service Acier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bar"/>
        <c:grouping val="clustered"/>
        <c:ser>
          <c:idx val="0"/>
          <c:order val="0"/>
          <c:tx>
            <c:v>MTTR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cat>
            <c:multiLvlStrRef>
              <c:f>'KPI Maintenance'!$A$144:$B$161</c:f>
              <c:multiLvlStrCache>
                <c:ptCount val="9"/>
                <c:lvl>
                  <c:pt idx="0">
                    <c:v>Schlatter</c:v>
                  </c:pt>
                  <c:pt idx="1">
                    <c:v>EVG GE12</c:v>
                  </c:pt>
                  <c:pt idx="2">
                    <c:v>Sigmatic</c:v>
                  </c:pt>
                  <c:pt idx="3">
                    <c:v>EVG PN 1</c:v>
                  </c:pt>
                  <c:pt idx="4">
                    <c:v>Techno Impiante</c:v>
                  </c:pt>
                  <c:pt idx="5">
                    <c:v>Teurema 1</c:v>
                  </c:pt>
                  <c:pt idx="6">
                    <c:v>Teurema 2</c:v>
                  </c:pt>
                  <c:pt idx="7">
                    <c:v>Teurema 3</c:v>
                  </c:pt>
                  <c:pt idx="8">
                    <c:v>EVG PN 2</c:v>
                  </c:pt>
                </c:lvl>
                <c:lvl>
                  <c:pt idx="0">
                    <c:v>560</c:v>
                  </c:pt>
                  <c:pt idx="1">
                    <c:v>565</c:v>
                  </c:pt>
                  <c:pt idx="2">
                    <c:v>570</c:v>
                  </c:pt>
                  <c:pt idx="3">
                    <c:v>571</c:v>
                  </c:pt>
                  <c:pt idx="4">
                    <c:v>580</c:v>
                  </c:pt>
                  <c:pt idx="5">
                    <c:v>581</c:v>
                  </c:pt>
                  <c:pt idx="6">
                    <c:v>582</c:v>
                  </c:pt>
                  <c:pt idx="7">
                    <c:v>590</c:v>
                  </c:pt>
                  <c:pt idx="8">
                    <c:v>620</c:v>
                  </c:pt>
                </c:lvl>
              </c:multiLvlStrCache>
            </c:multiLvlStrRef>
          </c:cat>
          <c:val>
            <c:numRef>
              <c:f>'KPI Maintenance'!$G$144:$G$161</c:f>
              <c:numCache>
                <c:formatCode>#,##0.00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9D-4F14-915F-395CC670DCAA}"/>
            </c:ext>
          </c:extLst>
        </c:ser>
        <c:ser>
          <c:idx val="1"/>
          <c:order val="1"/>
          <c:tx>
            <c:v>mttrobjectif</c:v>
          </c:tx>
          <c:spPr>
            <a:noFill/>
          </c:spPr>
          <c:trendline>
            <c:spPr>
              <a:ln w="63500">
                <a:solidFill>
                  <a:srgbClr val="C00000"/>
                </a:solidFill>
              </a:ln>
            </c:spPr>
            <c:trendlineType val="linear"/>
          </c:trendline>
          <c:val>
            <c:numRef>
              <c:f>'KPI Maintenance'!$K$144:$K$161</c:f>
              <c:numCache>
                <c:formatCode>#,##0.00</c:formatCode>
                <c:ptCount val="9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683-44F8-8A3A-B6F46C72F2C8}"/>
            </c:ext>
          </c:extLst>
        </c:ser>
        <c:gapWidth val="100"/>
        <c:axId val="154188800"/>
        <c:axId val="154202880"/>
      </c:barChart>
      <c:catAx>
        <c:axId val="154188800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4202880"/>
        <c:crosses val="autoZero"/>
        <c:auto val="1"/>
        <c:lblAlgn val="ctr"/>
        <c:lblOffset val="100"/>
      </c:catAx>
      <c:valAx>
        <c:axId val="154202880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418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#'CODE mchn'!A1"/><Relationship Id="rId18" Type="http://schemas.openxmlformats.org/officeDocument/2006/relationships/image" Target="../media/image10.png"/><Relationship Id="rId3" Type="http://schemas.openxmlformats.org/officeDocument/2006/relationships/hyperlink" Target="#'BDD interv'!A1"/><Relationship Id="rId7" Type="http://schemas.openxmlformats.org/officeDocument/2006/relationships/hyperlink" Target="#Rappel!A1"/><Relationship Id="rId12" Type="http://schemas.openxmlformats.org/officeDocument/2006/relationships/image" Target="../media/image6.png"/><Relationship Id="rId17" Type="http://schemas.openxmlformats.org/officeDocument/2006/relationships/image" Target="../media/image9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1" Type="http://schemas.openxmlformats.org/officeDocument/2006/relationships/hyperlink" Target="#'KPI Maintenance'!A1"/><Relationship Id="rId6" Type="http://schemas.openxmlformats.org/officeDocument/2006/relationships/image" Target="../media/image3.png"/><Relationship Id="rId11" Type="http://schemas.openxmlformats.org/officeDocument/2006/relationships/hyperlink" Target="#'Suivi des DA'!A1"/><Relationship Id="rId5" Type="http://schemas.openxmlformats.org/officeDocument/2006/relationships/hyperlink" Target="#'En cours'!A1"/><Relationship Id="rId15" Type="http://schemas.openxmlformats.org/officeDocument/2006/relationships/hyperlink" Target="#'Hist mchine'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'Suivi air comprim&#233;'!A1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hyperlink" Target="#Menu!A1"/><Relationship Id="rId1" Type="http://schemas.openxmlformats.org/officeDocument/2006/relationships/image" Target="../media/image9.png"/><Relationship Id="rId4" Type="http://schemas.openxmlformats.org/officeDocument/2006/relationships/image" Target="../media/image12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9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../media/image12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12.png"/><Relationship Id="rId5" Type="http://schemas.openxmlformats.org/officeDocument/2006/relationships/chart" Target="../charts/chart5.xml"/><Relationship Id="rId10" Type="http://schemas.openxmlformats.org/officeDocument/2006/relationships/hyperlink" Target="#Menu!A1"/><Relationship Id="rId4" Type="http://schemas.openxmlformats.org/officeDocument/2006/relationships/chart" Target="../charts/chart4.xml"/><Relationship Id="rId9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3.png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4.png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5.png"/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hyperlink" Target="#Menu!A1"/><Relationship Id="rId1" Type="http://schemas.openxmlformats.org/officeDocument/2006/relationships/image" Target="../media/image9.png"/><Relationship Id="rId4" Type="http://schemas.openxmlformats.org/officeDocument/2006/relationships/image" Target="../media/image12.sv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387805</xdr:colOff>
      <xdr:row>1</xdr:row>
      <xdr:rowOff>129481</xdr:rowOff>
    </xdr:from>
    <xdr:to>
      <xdr:col>13</xdr:col>
      <xdr:colOff>115662</xdr:colOff>
      <xdr:row>14</xdr:row>
      <xdr:rowOff>61015</xdr:rowOff>
    </xdr:to>
    <xdr:pic>
      <xdr:nvPicPr>
        <xdr:cNvPr id="3" name="Image 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l="13736" r="13711" b="15718"/>
        <a:stretch/>
      </xdr:blipFill>
      <xdr:spPr>
        <a:xfrm>
          <a:off x="6483805" y="319981"/>
          <a:ext cx="3537857" cy="2408034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1</xdr:row>
      <xdr:rowOff>115659</xdr:rowOff>
    </xdr:from>
    <xdr:to>
      <xdr:col>8</xdr:col>
      <xdr:colOff>197304</xdr:colOff>
      <xdr:row>14</xdr:row>
      <xdr:rowOff>74838</xdr:rowOff>
    </xdr:to>
    <xdr:pic>
      <xdr:nvPicPr>
        <xdr:cNvPr id="4" name="Image 3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14510" r="14052" b="14751"/>
        <a:stretch/>
      </xdr:blipFill>
      <xdr:spPr>
        <a:xfrm>
          <a:off x="2809875" y="306159"/>
          <a:ext cx="3483429" cy="2435679"/>
        </a:xfrm>
        <a:prstGeom prst="rect">
          <a:avLst/>
        </a:prstGeom>
      </xdr:spPr>
    </xdr:pic>
    <xdr:clientData/>
  </xdr:twoCellAnchor>
  <xdr:twoCellAnchor editAs="oneCell">
    <xdr:from>
      <xdr:col>8</xdr:col>
      <xdr:colOff>408216</xdr:colOff>
      <xdr:row>15</xdr:row>
      <xdr:rowOff>35381</xdr:rowOff>
    </xdr:from>
    <xdr:to>
      <xdr:col>13</xdr:col>
      <xdr:colOff>95251</xdr:colOff>
      <xdr:row>27</xdr:row>
      <xdr:rowOff>171452</xdr:rowOff>
    </xdr:to>
    <xdr:pic>
      <xdr:nvPicPr>
        <xdr:cNvPr id="7" name="Image 6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/>
        <a:srcRect l="13673" r="14610" b="15227"/>
        <a:stretch/>
      </xdr:blipFill>
      <xdr:spPr>
        <a:xfrm>
          <a:off x="6504216" y="2892881"/>
          <a:ext cx="3497035" cy="2422071"/>
        </a:xfrm>
        <a:prstGeom prst="rect">
          <a:avLst/>
        </a:prstGeom>
      </xdr:spPr>
    </xdr:pic>
    <xdr:clientData/>
  </xdr:twoCellAnchor>
  <xdr:twoCellAnchor editAs="oneCell">
    <xdr:from>
      <xdr:col>13</xdr:col>
      <xdr:colOff>306162</xdr:colOff>
      <xdr:row>15</xdr:row>
      <xdr:rowOff>55792</xdr:rowOff>
    </xdr:from>
    <xdr:to>
      <xdr:col>17</xdr:col>
      <xdr:colOff>755198</xdr:colOff>
      <xdr:row>27</xdr:row>
      <xdr:rowOff>151040</xdr:rowOff>
    </xdr:to>
    <xdr:pic>
      <xdr:nvPicPr>
        <xdr:cNvPr id="8" name="Image 7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/>
        <a:srcRect l="14231" r="14052" b="16656"/>
        <a:stretch/>
      </xdr:blipFill>
      <xdr:spPr>
        <a:xfrm>
          <a:off x="10212162" y="2913292"/>
          <a:ext cx="3497036" cy="2381248"/>
        </a:xfrm>
        <a:prstGeom prst="rect">
          <a:avLst/>
        </a:prstGeom>
      </xdr:spPr>
    </xdr:pic>
    <xdr:clientData/>
  </xdr:twoCellAnchor>
  <xdr:twoCellAnchor editAs="oneCell">
    <xdr:from>
      <xdr:col>13</xdr:col>
      <xdr:colOff>292555</xdr:colOff>
      <xdr:row>1</xdr:row>
      <xdr:rowOff>130627</xdr:rowOff>
    </xdr:from>
    <xdr:to>
      <xdr:col>18</xdr:col>
      <xdr:colOff>6805</xdr:colOff>
      <xdr:row>14</xdr:row>
      <xdr:rowOff>59870</xdr:rowOff>
    </xdr:to>
    <xdr:pic>
      <xdr:nvPicPr>
        <xdr:cNvPr id="9" name="Image 8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/>
        <a:srcRect l="13897" r="13829" b="15799"/>
        <a:stretch/>
      </xdr:blipFill>
      <xdr:spPr>
        <a:xfrm>
          <a:off x="10198555" y="321127"/>
          <a:ext cx="3524250" cy="2405743"/>
        </a:xfrm>
        <a:prstGeom prst="rect">
          <a:avLst/>
        </a:prstGeom>
      </xdr:spPr>
    </xdr:pic>
    <xdr:clientData/>
  </xdr:twoCellAnchor>
  <xdr:twoCellAnchor editAs="oneCell">
    <xdr:from>
      <xdr:col>18</xdr:col>
      <xdr:colOff>170093</xdr:colOff>
      <xdr:row>1</xdr:row>
      <xdr:rowOff>130628</xdr:rowOff>
    </xdr:from>
    <xdr:to>
      <xdr:col>22</xdr:col>
      <xdr:colOff>619129</xdr:colOff>
      <xdr:row>14</xdr:row>
      <xdr:rowOff>59869</xdr:rowOff>
    </xdr:to>
    <xdr:pic>
      <xdr:nvPicPr>
        <xdr:cNvPr id="10" name="Image 9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print"/>
        <a:srcRect l="14176" r="14107" b="15799"/>
        <a:stretch/>
      </xdr:blipFill>
      <xdr:spPr>
        <a:xfrm>
          <a:off x="13886093" y="321128"/>
          <a:ext cx="3497036" cy="2405741"/>
        </a:xfrm>
        <a:prstGeom prst="rect">
          <a:avLst/>
        </a:prstGeom>
      </xdr:spPr>
    </xdr:pic>
    <xdr:clientData/>
  </xdr:twoCellAnchor>
  <xdr:twoCellAnchor editAs="oneCell">
    <xdr:from>
      <xdr:col>18</xdr:col>
      <xdr:colOff>163290</xdr:colOff>
      <xdr:row>15</xdr:row>
      <xdr:rowOff>50350</xdr:rowOff>
    </xdr:from>
    <xdr:to>
      <xdr:col>22</xdr:col>
      <xdr:colOff>625933</xdr:colOff>
      <xdr:row>27</xdr:row>
      <xdr:rowOff>156482</xdr:rowOff>
    </xdr:to>
    <xdr:pic>
      <xdr:nvPicPr>
        <xdr:cNvPr id="11" name="Image 10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/>
        <a:srcRect l="13618" r="14387" b="16276"/>
        <a:stretch/>
      </xdr:blipFill>
      <xdr:spPr>
        <a:xfrm>
          <a:off x="13879290" y="2907850"/>
          <a:ext cx="3510643" cy="2392132"/>
        </a:xfrm>
        <a:prstGeom prst="rect">
          <a:avLst/>
        </a:prstGeom>
      </xdr:spPr>
    </xdr:pic>
    <xdr:clientData/>
  </xdr:twoCellAnchor>
  <xdr:twoCellAnchor editAs="oneCell">
    <xdr:from>
      <xdr:col>3</xdr:col>
      <xdr:colOff>503464</xdr:colOff>
      <xdr:row>15</xdr:row>
      <xdr:rowOff>38102</xdr:rowOff>
    </xdr:from>
    <xdr:to>
      <xdr:col>8</xdr:col>
      <xdr:colOff>217714</xdr:colOff>
      <xdr:row>27</xdr:row>
      <xdr:rowOff>168730</xdr:rowOff>
    </xdr:to>
    <xdr:pic>
      <xdr:nvPicPr>
        <xdr:cNvPr id="12" name="Image 11">
          <a:hlinkClick xmlns:r="http://schemas.openxmlformats.org/officeDocument/2006/relationships" r:id="rId15"/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print"/>
        <a:srcRect l="13841" r="13885" b="14861"/>
        <a:stretch/>
      </xdr:blipFill>
      <xdr:spPr>
        <a:xfrm>
          <a:off x="2789464" y="2895602"/>
          <a:ext cx="3524250" cy="2416628"/>
        </a:xfrm>
        <a:prstGeom prst="rect">
          <a:avLst/>
        </a:prstGeom>
      </xdr:spPr>
    </xdr:pic>
    <xdr:clientData/>
  </xdr:twoCellAnchor>
  <xdr:twoCellAnchor>
    <xdr:from>
      <xdr:col>0</xdr:col>
      <xdr:colOff>136071</xdr:colOff>
      <xdr:row>1</xdr:row>
      <xdr:rowOff>108857</xdr:rowOff>
    </xdr:from>
    <xdr:to>
      <xdr:col>3</xdr:col>
      <xdr:colOff>381000</xdr:colOff>
      <xdr:row>27</xdr:row>
      <xdr:rowOff>149679</xdr:rowOff>
    </xdr:to>
    <xdr:sp macro="" textlink="">
      <xdr:nvSpPr>
        <xdr:cNvPr id="13" name="ZoneTexte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136071" y="299357"/>
          <a:ext cx="2530929" cy="4993822"/>
        </a:xfrm>
        <a:prstGeom prst="rect">
          <a:avLst/>
        </a:prstGeom>
        <a:solidFill>
          <a:schemeClr val="bg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pPr algn="ctr"/>
          <a:r>
            <a:rPr lang="fr-FR" sz="2800" b="1">
              <a:solidFill>
                <a:schemeClr val="bg1">
                  <a:lumMod val="95000"/>
                </a:schemeClr>
              </a:solidFill>
            </a:rPr>
            <a:t>Acceuil</a:t>
          </a:r>
        </a:p>
      </xdr:txBody>
    </xdr:sp>
    <xdr:clientData/>
  </xdr:twoCellAnchor>
  <xdr:twoCellAnchor editAs="oneCell">
    <xdr:from>
      <xdr:col>0</xdr:col>
      <xdr:colOff>0</xdr:colOff>
      <xdr:row>17</xdr:row>
      <xdr:rowOff>122463</xdr:rowOff>
    </xdr:from>
    <xdr:to>
      <xdr:col>3</xdr:col>
      <xdr:colOff>316876</xdr:colOff>
      <xdr:row>23</xdr:row>
      <xdr:rowOff>166071</xdr:rowOff>
    </xdr:to>
    <xdr:pic>
      <xdr:nvPicPr>
        <xdr:cNvPr id="20" name="Image 19" descr="Image associée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60963"/>
          <a:ext cx="2602876" cy="1186608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693966</xdr:colOff>
      <xdr:row>9</xdr:row>
      <xdr:rowOff>149678</xdr:rowOff>
    </xdr:from>
    <xdr:to>
      <xdr:col>2</xdr:col>
      <xdr:colOff>571502</xdr:colOff>
      <xdr:row>12</xdr:row>
      <xdr:rowOff>81642</xdr:rowOff>
    </xdr:to>
    <xdr:sp macro="" textlink="">
      <xdr:nvSpPr>
        <xdr:cNvPr id="14" name="Rectangle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693966" y="1864178"/>
          <a:ext cx="1401536" cy="503464"/>
        </a:xfrm>
        <a:prstGeom prst="rect">
          <a:avLst/>
        </a:prstGeom>
        <a:noFill/>
        <a:ln w="571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136070</xdr:colOff>
      <xdr:row>1</xdr:row>
      <xdr:rowOff>141600</xdr:rowOff>
    </xdr:from>
    <xdr:to>
      <xdr:col>3</xdr:col>
      <xdr:colOff>379879</xdr:colOff>
      <xdr:row>7</xdr:row>
      <xdr:rowOff>81644</xdr:rowOff>
    </xdr:to>
    <xdr:pic>
      <xdr:nvPicPr>
        <xdr:cNvPr id="15" name="Image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/>
        <a:srcRect l="9310" b="29005"/>
        <a:stretch/>
      </xdr:blipFill>
      <xdr:spPr>
        <a:xfrm>
          <a:off x="136070" y="332100"/>
          <a:ext cx="2529809" cy="10830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2943225</xdr:colOff>
      <xdr:row>0</xdr:row>
      <xdr:rowOff>9525</xdr:rowOff>
    </xdr:from>
    <xdr:to>
      <xdr:col>2</xdr:col>
      <xdr:colOff>3314700</xdr:colOff>
      <xdr:row>1</xdr:row>
      <xdr:rowOff>190500</xdr:rowOff>
    </xdr:to>
    <xdr:pic>
      <xdr:nvPicPr>
        <xdr:cNvPr id="3" name="Graphique 2" descr="Retour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534025" y="9525"/>
          <a:ext cx="371475" cy="37147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247650</xdr:colOff>
      <xdr:row>1</xdr:row>
      <xdr:rowOff>285750</xdr:rowOff>
    </xdr:to>
    <xdr:sp macro="" textlink="">
      <xdr:nvSpPr>
        <xdr:cNvPr id="4" name="ZoneText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0" y="0"/>
          <a:ext cx="283845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/>
            <a:t>Liste Codes</a:t>
          </a:r>
          <a:r>
            <a:rPr lang="fr-FR" sz="1800" b="1" baseline="0"/>
            <a:t> Machines</a:t>
          </a:r>
          <a:endParaRPr lang="fr-FR" sz="18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142975</xdr:colOff>
      <xdr:row>0</xdr:row>
      <xdr:rowOff>47625</xdr:rowOff>
    </xdr:from>
    <xdr:to>
      <xdr:col>3</xdr:col>
      <xdr:colOff>607828</xdr:colOff>
      <xdr:row>5</xdr:row>
      <xdr:rowOff>132054</xdr:rowOff>
    </xdr:to>
    <xdr:pic>
      <xdr:nvPicPr>
        <xdr:cNvPr id="2" name="Image 1" descr="Image associée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3131" y="47625"/>
          <a:ext cx="2596072" cy="1179804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136071</xdr:colOff>
      <xdr:row>0</xdr:row>
      <xdr:rowOff>176892</xdr:rowOff>
    </xdr:from>
    <xdr:to>
      <xdr:col>0</xdr:col>
      <xdr:colOff>1050471</xdr:colOff>
      <xdr:row>4</xdr:row>
      <xdr:rowOff>274863</xdr:rowOff>
    </xdr:to>
    <xdr:pic>
      <xdr:nvPicPr>
        <xdr:cNvPr id="6" name="Graphique 5" descr="Retour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6071" y="176892"/>
          <a:ext cx="914400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238113</xdr:colOff>
      <xdr:row>39</xdr:row>
      <xdr:rowOff>142875</xdr:rowOff>
    </xdr:from>
    <xdr:to>
      <xdr:col>17</xdr:col>
      <xdr:colOff>476249</xdr:colOff>
      <xdr:row>53</xdr:row>
      <xdr:rowOff>158750</xdr:rowOff>
    </xdr:to>
    <xdr:graphicFrame macro="">
      <xdr:nvGraphicFramePr>
        <xdr:cNvPr id="2" name="Graphique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28</xdr:row>
      <xdr:rowOff>168277</xdr:rowOff>
    </xdr:from>
    <xdr:to>
      <xdr:col>2</xdr:col>
      <xdr:colOff>1559120</xdr:colOff>
      <xdr:row>35</xdr:row>
      <xdr:rowOff>142875</xdr:rowOff>
    </xdr:to>
    <xdr:sp macro="" textlink="">
      <xdr:nvSpPr>
        <xdr:cNvPr id="3" name="Rectangle 2"/>
        <xdr:cNvSpPr>
          <a:spLocks noTextEdit="1"/>
        </xdr:cNvSpPr>
      </xdr:nvSpPr>
      <xdr:spPr>
        <a:xfrm>
          <a:off x="0" y="930277"/>
          <a:ext cx="5257995" cy="1308098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fr-FR" sz="1100"/>
            <a:t>Cette forme représente un segment. Les segments sont pris en charge dans Excel 2010 ou version ultérieure.En revanche, si la forme a été modifiée dans une version précédente d’Excel, ou si le classeur a été enregistré dans Excel 2003 ou une version précédente, vous ne pouvez pas utiliser le segment.</a:t>
          </a:r>
        </a:p>
      </xdr:txBody>
    </xdr:sp>
    <xdr:clientData/>
  </xdr:twoCellAnchor>
  <xdr:twoCellAnchor editAs="oneCell">
    <xdr:from>
      <xdr:col>0</xdr:col>
      <xdr:colOff>26984</xdr:colOff>
      <xdr:row>24</xdr:row>
      <xdr:rowOff>41284</xdr:rowOff>
    </xdr:from>
    <xdr:to>
      <xdr:col>1</xdr:col>
      <xdr:colOff>1360034</xdr:colOff>
      <xdr:row>28</xdr:row>
      <xdr:rowOff>142875</xdr:rowOff>
    </xdr:to>
    <xdr:sp macro="" textlink="">
      <xdr:nvSpPr>
        <xdr:cNvPr id="4" name="Rectangle 3"/>
        <xdr:cNvSpPr>
          <a:spLocks noTextEdit="1"/>
        </xdr:cNvSpPr>
      </xdr:nvSpPr>
      <xdr:spPr>
        <a:xfrm>
          <a:off x="26984" y="231784"/>
          <a:ext cx="3329671" cy="815966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fr-FR" sz="1100"/>
            <a:t>Cette forme représente un segment. Les segments sont pris en charge dans Excel 2010 ou version ultérieure.En revanche, si la forme a été modifiée dans une version précédente d’Excel, ou si le classeur a été enregistré dans Excel 2003 ou une version précédente, vous ne pouvez pas utiliser le segment.</a:t>
          </a:r>
        </a:p>
      </xdr:txBody>
    </xdr:sp>
    <xdr:clientData/>
  </xdr:twoCellAnchor>
  <xdr:twoCellAnchor>
    <xdr:from>
      <xdr:col>0</xdr:col>
      <xdr:colOff>142874</xdr:colOff>
      <xdr:row>39</xdr:row>
      <xdr:rowOff>158750</xdr:rowOff>
    </xdr:from>
    <xdr:to>
      <xdr:col>3</xdr:col>
      <xdr:colOff>352249</xdr:colOff>
      <xdr:row>54</xdr:row>
      <xdr:rowOff>63500</xdr:rowOff>
    </xdr:to>
    <xdr:graphicFrame macro="">
      <xdr:nvGraphicFramePr>
        <xdr:cNvPr id="6" name="Graphique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182562</xdr:colOff>
      <xdr:row>65</xdr:row>
      <xdr:rowOff>23810</xdr:rowOff>
    </xdr:from>
    <xdr:to>
      <xdr:col>3</xdr:col>
      <xdr:colOff>391937</xdr:colOff>
      <xdr:row>93</xdr:row>
      <xdr:rowOff>89810</xdr:rowOff>
    </xdr:to>
    <xdr:graphicFrame macro="">
      <xdr:nvGraphicFramePr>
        <xdr:cNvPr id="8" name="Graphique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1019169</xdr:colOff>
      <xdr:row>65</xdr:row>
      <xdr:rowOff>31747</xdr:rowOff>
    </xdr:from>
    <xdr:to>
      <xdr:col>8</xdr:col>
      <xdr:colOff>657044</xdr:colOff>
      <xdr:row>93</xdr:row>
      <xdr:rowOff>97747</xdr:rowOff>
    </xdr:to>
    <xdr:graphicFrame macro="">
      <xdr:nvGraphicFramePr>
        <xdr:cNvPr id="9" name="Graphique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15863</xdr:colOff>
      <xdr:row>65</xdr:row>
      <xdr:rowOff>63500</xdr:rowOff>
    </xdr:from>
    <xdr:to>
      <xdr:col>17</xdr:col>
      <xdr:colOff>34738</xdr:colOff>
      <xdr:row>93</xdr:row>
      <xdr:rowOff>129500</xdr:rowOff>
    </xdr:to>
    <xdr:graphicFrame macro="">
      <xdr:nvGraphicFramePr>
        <xdr:cNvPr id="10" name="Graphique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190500</xdr:colOff>
      <xdr:row>104</xdr:row>
      <xdr:rowOff>39687</xdr:rowOff>
    </xdr:from>
    <xdr:to>
      <xdr:col>3</xdr:col>
      <xdr:colOff>399875</xdr:colOff>
      <xdr:row>129</xdr:row>
      <xdr:rowOff>0</xdr:rowOff>
    </xdr:to>
    <xdr:graphicFrame macro="">
      <xdr:nvGraphicFramePr>
        <xdr:cNvPr id="11" name="Graphique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698500</xdr:colOff>
      <xdr:row>104</xdr:row>
      <xdr:rowOff>71435</xdr:rowOff>
    </xdr:from>
    <xdr:to>
      <xdr:col>8</xdr:col>
      <xdr:colOff>336375</xdr:colOff>
      <xdr:row>129</xdr:row>
      <xdr:rowOff>15875</xdr:rowOff>
    </xdr:to>
    <xdr:graphicFrame macro="">
      <xdr:nvGraphicFramePr>
        <xdr:cNvPr id="12" name="Graphique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706438</xdr:colOff>
      <xdr:row>104</xdr:row>
      <xdr:rowOff>79373</xdr:rowOff>
    </xdr:from>
    <xdr:to>
      <xdr:col>16</xdr:col>
      <xdr:colOff>503063</xdr:colOff>
      <xdr:row>129</xdr:row>
      <xdr:rowOff>15875</xdr:rowOff>
    </xdr:to>
    <xdr:graphicFrame macro="">
      <xdr:nvGraphicFramePr>
        <xdr:cNvPr id="13" name="Graphique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2071689</xdr:colOff>
      <xdr:row>35</xdr:row>
      <xdr:rowOff>47625</xdr:rowOff>
    </xdr:from>
    <xdr:to>
      <xdr:col>6</xdr:col>
      <xdr:colOff>825501</xdr:colOff>
      <xdr:row>38</xdr:row>
      <xdr:rowOff>142875</xdr:rowOff>
    </xdr:to>
    <xdr:sp macro="" textlink="">
      <xdr:nvSpPr>
        <xdr:cNvPr id="14" name="ZoneTexte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8342314" y="2333625"/>
          <a:ext cx="3833812" cy="666750"/>
        </a:xfrm>
        <a:prstGeom prst="rect">
          <a:avLst/>
        </a:prstGeom>
        <a:ln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800" b="1"/>
            <a:t>Service Acier</a:t>
          </a:r>
        </a:p>
      </xdr:txBody>
    </xdr:sp>
    <xdr:clientData/>
  </xdr:twoCellAnchor>
  <xdr:twoCellAnchor>
    <xdr:from>
      <xdr:col>3</xdr:col>
      <xdr:colOff>390528</xdr:colOff>
      <xdr:row>24</xdr:row>
      <xdr:rowOff>168271</xdr:rowOff>
    </xdr:from>
    <xdr:to>
      <xdr:col>8</xdr:col>
      <xdr:colOff>555628</xdr:colOff>
      <xdr:row>32</xdr:row>
      <xdr:rowOff>111124</xdr:rowOff>
    </xdr:to>
    <xdr:sp macro="" textlink="">
      <xdr:nvSpPr>
        <xdr:cNvPr id="17" name="ZoneTexte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6661153" y="358771"/>
          <a:ext cx="7007225" cy="1466853"/>
        </a:xfrm>
        <a:prstGeom prst="rect">
          <a:avLst/>
        </a:prstGeom>
        <a:ln w="3810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Tableau</a:t>
          </a:r>
          <a:r>
            <a:rPr lang="fr-FR" sz="2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bord de la Maintenance </a:t>
          </a:r>
        </a:p>
        <a:p>
          <a:pPr algn="ctr"/>
          <a:r>
            <a:rPr lang="fr-FR" sz="2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PARC MACHINE</a:t>
          </a:r>
          <a:endParaRPr lang="fr-FR" sz="2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9</xdr:col>
      <xdr:colOff>793749</xdr:colOff>
      <xdr:row>24</xdr:row>
      <xdr:rowOff>111124</xdr:rowOff>
    </xdr:from>
    <xdr:to>
      <xdr:col>14</xdr:col>
      <xdr:colOff>365491</xdr:colOff>
      <xdr:row>31</xdr:row>
      <xdr:rowOff>132055</xdr:rowOff>
    </xdr:to>
    <xdr:pic>
      <xdr:nvPicPr>
        <xdr:cNvPr id="18" name="Image 17" descr="Image associée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03374" y="301624"/>
          <a:ext cx="3730994" cy="135443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2074863</xdr:colOff>
      <xdr:row>99</xdr:row>
      <xdr:rowOff>41274</xdr:rowOff>
    </xdr:from>
    <xdr:to>
      <xdr:col>7</xdr:col>
      <xdr:colOff>15875</xdr:colOff>
      <xdr:row>103</xdr:row>
      <xdr:rowOff>15875</xdr:rowOff>
    </xdr:to>
    <xdr:sp macro="" textlink="">
      <xdr:nvSpPr>
        <xdr:cNvPr id="19" name="ZoneTexte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8345488" y="17503774"/>
          <a:ext cx="3878262" cy="736601"/>
        </a:xfrm>
        <a:prstGeom prst="rect">
          <a:avLst/>
        </a:prstGeom>
        <a:ln/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>
              <a:solidFill>
                <a:schemeClr val="lt1"/>
              </a:solidFill>
              <a:latin typeface="+mn-lt"/>
              <a:ea typeface="+mn-ea"/>
              <a:cs typeface="+mn-cs"/>
            </a:rPr>
            <a:t>Service Enrobage</a:t>
          </a:r>
        </a:p>
      </xdr:txBody>
    </xdr:sp>
    <xdr:clientData/>
  </xdr:twoCellAnchor>
  <xdr:twoCellAnchor>
    <xdr:from>
      <xdr:col>3</xdr:col>
      <xdr:colOff>2081214</xdr:colOff>
      <xdr:row>60</xdr:row>
      <xdr:rowOff>25400</xdr:rowOff>
    </xdr:from>
    <xdr:to>
      <xdr:col>6</xdr:col>
      <xdr:colOff>835026</xdr:colOff>
      <xdr:row>63</xdr:row>
      <xdr:rowOff>120650</xdr:rowOff>
    </xdr:to>
    <xdr:sp macro="" textlink="">
      <xdr:nvSpPr>
        <xdr:cNvPr id="20" name="ZoneTexte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 txBox="1"/>
      </xdr:nvSpPr>
      <xdr:spPr>
        <a:xfrm>
          <a:off x="8351839" y="10058400"/>
          <a:ext cx="3833812" cy="666750"/>
        </a:xfrm>
        <a:prstGeom prst="rect">
          <a:avLst/>
        </a:prstGeom>
        <a:solidFill>
          <a:schemeClr val="accent1">
            <a:lumMod val="75000"/>
          </a:schemeClr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800" b="1"/>
            <a:t>Service Béton</a:t>
          </a:r>
        </a:p>
      </xdr:txBody>
    </xdr:sp>
    <xdr:clientData/>
  </xdr:twoCellAnchor>
  <xdr:twoCellAnchor editAs="oneCell">
    <xdr:from>
      <xdr:col>15</xdr:col>
      <xdr:colOff>317500</xdr:colOff>
      <xdr:row>25</xdr:row>
      <xdr:rowOff>142875</xdr:rowOff>
    </xdr:from>
    <xdr:to>
      <xdr:col>16</xdr:col>
      <xdr:colOff>469900</xdr:colOff>
      <xdr:row>30</xdr:row>
      <xdr:rowOff>104775</xdr:rowOff>
    </xdr:to>
    <xdr:pic>
      <xdr:nvPicPr>
        <xdr:cNvPr id="21" name="Graphique 20" descr="Retour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=""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748375" y="523875"/>
          <a:ext cx="914400" cy="914400"/>
        </a:xfrm>
        <a:prstGeom prst="rect">
          <a:avLst/>
        </a:prstGeom>
      </xdr:spPr>
    </xdr:pic>
    <xdr:clientData/>
  </xdr:twoCellAnchor>
  <xdr:twoCellAnchor>
    <xdr:from>
      <xdr:col>3</xdr:col>
      <xdr:colOff>650875</xdr:colOff>
      <xdr:row>39</xdr:row>
      <xdr:rowOff>182561</xdr:rowOff>
    </xdr:from>
    <xdr:to>
      <xdr:col>8</xdr:col>
      <xdr:colOff>936625</xdr:colOff>
      <xdr:row>54</xdr:row>
      <xdr:rowOff>15874</xdr:rowOff>
    </xdr:to>
    <xdr:graphicFrame macro="">
      <xdr:nvGraphicFramePr>
        <xdr:cNvPr id="7" name="Graphique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2745442</xdr:colOff>
      <xdr:row>0</xdr:row>
      <xdr:rowOff>22411</xdr:rowOff>
    </xdr:from>
    <xdr:to>
      <xdr:col>5</xdr:col>
      <xdr:colOff>3283324</xdr:colOff>
      <xdr:row>1</xdr:row>
      <xdr:rowOff>179293</xdr:rowOff>
    </xdr:to>
    <xdr:pic>
      <xdr:nvPicPr>
        <xdr:cNvPr id="2" name="Graphique 1" descr="Retour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385177" y="22411"/>
          <a:ext cx="537882" cy="537882"/>
        </a:xfrm>
        <a:prstGeom prst="rect">
          <a:avLst/>
        </a:prstGeom>
      </xdr:spPr>
    </xdr:pic>
    <xdr:clientData/>
  </xdr:twoCellAnchor>
  <xdr:twoCellAnchor>
    <xdr:from>
      <xdr:col>2</xdr:col>
      <xdr:colOff>22411</xdr:colOff>
      <xdr:row>0</xdr:row>
      <xdr:rowOff>67235</xdr:rowOff>
    </xdr:from>
    <xdr:to>
      <xdr:col>3</xdr:col>
      <xdr:colOff>1131794</xdr:colOff>
      <xdr:row>1</xdr:row>
      <xdr:rowOff>44824</xdr:rowOff>
    </xdr:to>
    <xdr:sp macro="" textlink="">
      <xdr:nvSpPr>
        <xdr:cNvPr id="3" name="ZoneTexte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2241176" y="67235"/>
          <a:ext cx="3541059" cy="358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b="1"/>
            <a:t>Interventions</a:t>
          </a:r>
          <a:r>
            <a:rPr lang="fr-FR" sz="1600" b="1" baseline="0"/>
            <a:t> en cours</a:t>
          </a:r>
          <a:endParaRPr lang="fr-FR" sz="16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3451413</xdr:colOff>
      <xdr:row>0</xdr:row>
      <xdr:rowOff>0</xdr:rowOff>
    </xdr:from>
    <xdr:to>
      <xdr:col>5</xdr:col>
      <xdr:colOff>3978090</xdr:colOff>
      <xdr:row>2</xdr:row>
      <xdr:rowOff>145677</xdr:rowOff>
    </xdr:to>
    <xdr:pic>
      <xdr:nvPicPr>
        <xdr:cNvPr id="2" name="Graphique 1" descr="Retour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662648" y="0"/>
          <a:ext cx="526677" cy="526677"/>
        </a:xfrm>
        <a:prstGeom prst="rect">
          <a:avLst/>
        </a:prstGeom>
      </xdr:spPr>
    </xdr:pic>
    <xdr:clientData/>
  </xdr:twoCellAnchor>
  <xdr:twoCellAnchor>
    <xdr:from>
      <xdr:col>1</xdr:col>
      <xdr:colOff>728382</xdr:colOff>
      <xdr:row>0</xdr:row>
      <xdr:rowOff>100852</xdr:rowOff>
    </xdr:from>
    <xdr:to>
      <xdr:col>4</xdr:col>
      <xdr:colOff>2342029</xdr:colOff>
      <xdr:row>2</xdr:row>
      <xdr:rowOff>11205</xdr:rowOff>
    </xdr:to>
    <xdr:sp macro="" textlink="">
      <xdr:nvSpPr>
        <xdr:cNvPr id="3" name="ZoneTexte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2129117" y="100852"/>
          <a:ext cx="5053853" cy="2913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b="1"/>
            <a:t>Liste des rappels à suivre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4428066</xdr:colOff>
      <xdr:row>0</xdr:row>
      <xdr:rowOff>0</xdr:rowOff>
    </xdr:from>
    <xdr:to>
      <xdr:col>5</xdr:col>
      <xdr:colOff>4872566</xdr:colOff>
      <xdr:row>2</xdr:row>
      <xdr:rowOff>63500</xdr:rowOff>
    </xdr:to>
    <xdr:pic>
      <xdr:nvPicPr>
        <xdr:cNvPr id="2" name="Graphique 1" descr="Retour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143316" y="0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1238256</xdr:colOff>
      <xdr:row>2</xdr:row>
      <xdr:rowOff>31749</xdr:rowOff>
    </xdr:from>
    <xdr:to>
      <xdr:col>4</xdr:col>
      <xdr:colOff>1555750</xdr:colOff>
      <xdr:row>10</xdr:row>
      <xdr:rowOff>170949</xdr:rowOff>
    </xdr:to>
    <xdr:sp macro="" textlink="">
      <xdr:nvSpPr>
        <xdr:cNvPr id="3" name="Rectangle 2"/>
        <xdr:cNvSpPr>
          <a:spLocks noTextEdit="1"/>
        </xdr:cNvSpPr>
      </xdr:nvSpPr>
      <xdr:spPr>
        <a:xfrm>
          <a:off x="3386673" y="412749"/>
          <a:ext cx="2889244" cy="1663200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fr-FR" sz="1100"/>
            <a:t>Cette forme représente un segment. Les segments sont pris en charge dans Excel 2010 ou version ultérieure.En revanche, si la forme a été modifiée dans une version précédente d’Excel, ou si le classeur a été enregistré dans Excel 2003 ou une version précédente, vous ne pouvez pas utiliser le segment.</a:t>
          </a:r>
        </a:p>
      </xdr:txBody>
    </xdr:sp>
    <xdr:clientData/>
  </xdr:twoCellAnchor>
  <xdr:twoCellAnchor>
    <xdr:from>
      <xdr:col>0</xdr:col>
      <xdr:colOff>0</xdr:colOff>
      <xdr:row>0</xdr:row>
      <xdr:rowOff>52919</xdr:rowOff>
    </xdr:from>
    <xdr:to>
      <xdr:col>3</xdr:col>
      <xdr:colOff>84667</xdr:colOff>
      <xdr:row>2</xdr:row>
      <xdr:rowOff>95252</xdr:rowOff>
    </xdr:to>
    <xdr:sp macro="" textlink="">
      <xdr:nvSpPr>
        <xdr:cNvPr id="4" name="ZoneTexte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0" y="52919"/>
          <a:ext cx="3905250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b="1"/>
            <a:t>Historique</a:t>
          </a:r>
          <a:r>
            <a:rPr lang="fr-FR" sz="1600" b="1" baseline="0"/>
            <a:t> des interventions</a:t>
          </a:r>
          <a:endParaRPr lang="fr-FR" sz="1600" b="1"/>
        </a:p>
      </xdr:txBody>
    </xdr:sp>
    <xdr:clientData/>
  </xdr:twoCellAnchor>
  <xdr:twoCellAnchor editAs="oneCell">
    <xdr:from>
      <xdr:col>0</xdr:col>
      <xdr:colOff>10582</xdr:colOff>
      <xdr:row>2</xdr:row>
      <xdr:rowOff>31751</xdr:rowOff>
    </xdr:from>
    <xdr:to>
      <xdr:col>2</xdr:col>
      <xdr:colOff>1058332</xdr:colOff>
      <xdr:row>10</xdr:row>
      <xdr:rowOff>169334</xdr:rowOff>
    </xdr:to>
    <xdr:sp macro="" textlink="">
      <xdr:nvSpPr>
        <xdr:cNvPr id="6" name="Rectangle 5"/>
        <xdr:cNvSpPr>
          <a:spLocks noTextEdit="1"/>
        </xdr:cNvSpPr>
      </xdr:nvSpPr>
      <xdr:spPr>
        <a:xfrm>
          <a:off x="10582" y="412751"/>
          <a:ext cx="3196167" cy="1661583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fr-FR" sz="1100"/>
            <a:t>Cette forme représente un segment. Les segments sont pris en charge dans Excel 2010 ou version ultérieure.En revanche, si la forme a été modifiée dans une version précédente d’Excel, ou si le classeur a été enregistré dans Excel 2003 ou une version précédente, vous ne pouvez pas utiliser le segment.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690563</xdr:colOff>
      <xdr:row>0</xdr:row>
      <xdr:rowOff>10153</xdr:rowOff>
    </xdr:from>
    <xdr:to>
      <xdr:col>3</xdr:col>
      <xdr:colOff>172148</xdr:colOff>
      <xdr:row>0</xdr:row>
      <xdr:rowOff>785813</xdr:rowOff>
    </xdr:to>
    <xdr:pic>
      <xdr:nvPicPr>
        <xdr:cNvPr id="2" name="Image 1" descr="Image associée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0563" y="10153"/>
          <a:ext cx="2136679" cy="77566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130969</xdr:colOff>
      <xdr:row>0</xdr:row>
      <xdr:rowOff>119062</xdr:rowOff>
    </xdr:from>
    <xdr:to>
      <xdr:col>0</xdr:col>
      <xdr:colOff>668851</xdr:colOff>
      <xdr:row>0</xdr:row>
      <xdr:rowOff>656944</xdr:rowOff>
    </xdr:to>
    <xdr:pic>
      <xdr:nvPicPr>
        <xdr:cNvPr id="3" name="Graphique 2" descr="Retour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0969" y="119062"/>
          <a:ext cx="537882" cy="537882"/>
        </a:xfrm>
        <a:prstGeom prst="rect">
          <a:avLst/>
        </a:prstGeom>
      </xdr:spPr>
    </xdr:pic>
    <xdr:clientData/>
  </xdr:twoCellAnchor>
  <xdr:twoCellAnchor>
    <xdr:from>
      <xdr:col>3</xdr:col>
      <xdr:colOff>178602</xdr:colOff>
      <xdr:row>0</xdr:row>
      <xdr:rowOff>226218</xdr:rowOff>
    </xdr:from>
    <xdr:to>
      <xdr:col>13</xdr:col>
      <xdr:colOff>500062</xdr:colOff>
      <xdr:row>0</xdr:row>
      <xdr:rowOff>678656</xdr:rowOff>
    </xdr:to>
    <xdr:sp macro="" textlink="">
      <xdr:nvSpPr>
        <xdr:cNvPr id="4" name="ZoneTexte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2833696" y="226218"/>
          <a:ext cx="6095991" cy="452438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 b="1"/>
            <a:t>Suivi des compresseurs d'air comprimé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28576</xdr:colOff>
      <xdr:row>0</xdr:row>
      <xdr:rowOff>0</xdr:rowOff>
    </xdr:from>
    <xdr:to>
      <xdr:col>2</xdr:col>
      <xdr:colOff>904876</xdr:colOff>
      <xdr:row>2</xdr:row>
      <xdr:rowOff>139363</xdr:rowOff>
    </xdr:to>
    <xdr:pic>
      <xdr:nvPicPr>
        <xdr:cNvPr id="2" name="Image 1" descr="Image associée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6" y="0"/>
          <a:ext cx="1485900" cy="539413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adr" refreshedDate="45313.465334722219" missingItemsLimit="0" createdVersion="4" refreshedVersion="8" minRefreshableVersion="3" recordCount="2559">
  <cacheSource type="worksheet">
    <worksheetSource name="Tableau13"/>
  </cacheSource>
  <cacheFields count="16">
    <cacheField name="Date début" numFmtId="14">
      <sharedItems containsSemiMixedTypes="0" containsNonDate="0" containsDate="1" containsString="0" minDate="2019-01-31T00:00:00" maxDate="2024-10-03T00:00:00" count="1038">
        <d v="2019-01-31T00:00:00"/>
        <d v="2019-02-01T00:00:00"/>
        <d v="2019-02-04T00:00:00"/>
        <d v="2019-02-05T00:00:00"/>
        <d v="2019-02-06T00:00:00"/>
        <d v="2019-02-07T00:00:00"/>
        <d v="2019-02-08T00:00:00"/>
        <d v="2019-02-09T00:00:00"/>
        <d v="2019-02-11T00:00:00"/>
        <d v="2019-02-12T00:00:00"/>
        <d v="2019-02-13T00:00:00"/>
        <d v="2019-02-14T00:00:00"/>
        <d v="2019-02-20T00:00:00"/>
        <d v="2019-02-23T00:00:00"/>
        <d v="2019-02-25T00:00:00"/>
        <d v="2019-02-26T00:00:00"/>
        <d v="2019-02-27T00:00:00"/>
        <d v="2019-03-01T00:00:00"/>
        <d v="2019-03-02T00:00:00"/>
        <d v="2019-03-04T00:00:00"/>
        <d v="2019-03-05T00:00:00"/>
        <d v="2019-03-06T00:00:00"/>
        <d v="2019-03-07T00:00:00"/>
        <d v="2019-03-08T00:00:00"/>
        <d v="2019-03-11T00:00:00"/>
        <d v="2019-03-12T00:00:00"/>
        <d v="2019-03-13T00:00:00"/>
        <d v="2019-03-14T00:00:00"/>
        <d v="2019-03-15T00:00:00"/>
        <d v="2019-03-16T00:00:00"/>
        <d v="2019-03-18T00:00:00"/>
        <d v="2019-03-19T00:00:00"/>
        <d v="2019-03-20T00:00:00"/>
        <d v="2019-03-23T00:00:00"/>
        <d v="2019-03-28T00:00:00"/>
        <d v="2019-04-01T00:00:00"/>
        <d v="2019-04-02T00:00:00"/>
        <d v="2019-04-03T00:00:00"/>
        <d v="2019-04-04T00:00:00"/>
        <d v="2019-04-08T00:00:00"/>
        <d v="2019-04-09T00:00:00"/>
        <d v="2019-04-10T00:00:00"/>
        <d v="2019-04-11T00:00:00"/>
        <d v="2019-04-12T00:00:00"/>
        <d v="2019-04-13T00:00:00"/>
        <d v="2019-04-15T00:00:00"/>
        <d v="2019-04-17T00:00:00"/>
        <d v="2019-04-19T00:00:00"/>
        <d v="2019-04-22T00:00:00"/>
        <d v="2019-04-24T00:00:00"/>
        <d v="2019-04-26T00:00:00"/>
        <d v="2019-05-01T00:00:00"/>
        <d v="2019-05-02T00:00:00"/>
        <d v="2019-05-03T00:00:00"/>
        <d v="2019-05-04T00:00:00"/>
        <d v="2019-05-06T00:00:00"/>
        <d v="2019-05-07T00:00:00"/>
        <d v="2019-05-10T00:00:00"/>
        <d v="2019-05-11T00:00:00"/>
        <d v="2019-05-13T00:00:00"/>
        <d v="2019-05-14T00:00:00"/>
        <d v="2019-05-15T00:00:00"/>
        <d v="2019-05-16T00:00:00"/>
        <d v="2019-05-17T00:00:00"/>
        <d v="2019-05-18T00:00:00"/>
        <d v="2019-05-20T00:00:00"/>
        <d v="2019-05-21T00:00:00"/>
        <d v="2019-05-22T00:00:00"/>
        <d v="2019-05-25T00:00:00"/>
        <d v="2019-05-27T00:00:00"/>
        <d v="2019-05-28T00:00:00"/>
        <d v="2019-05-29T00:00:00"/>
        <d v="2019-05-30T00:00:00"/>
        <d v="2019-06-01T00:00:00"/>
        <d v="2019-06-03T00:00:00"/>
        <d v="2019-06-04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5T00:00:00"/>
        <d v="2019-06-26T00:00:00"/>
        <d v="2019-06-27T00:00:00"/>
        <d v="2019-06-28T00:00:00"/>
        <d v="2019-07-01T00:00:00"/>
        <d v="2019-07-03T00:00:00"/>
        <d v="2019-07-04T00:00:00"/>
        <d v="2019-07-05T00:00:00"/>
        <d v="2019-07-06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2T00:00:00"/>
        <d v="2019-07-24T00:00:00"/>
        <d v="2019-07-25T00:00:00"/>
        <d v="2019-07-26T00:00:00"/>
        <d v="2019-07-27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6T00:00:00"/>
        <d v="2019-08-07T00:00:00"/>
        <d v="2019-08-09T00:00:00"/>
        <d v="2019-08-21T00:00:00"/>
        <d v="2019-08-22T00:00:00"/>
        <d v="2019-08-23T00:00:00"/>
        <d v="2019-08-26T00:00:00"/>
        <d v="2019-08-27T00:00:00"/>
        <d v="2019-09-03T00:00:00"/>
        <d v="2019-09-06T00:00:00"/>
        <d v="2019-09-07T00:00:00"/>
        <d v="2019-09-10T00:00:00"/>
        <d v="2019-09-12T00:00:00"/>
        <d v="2019-09-13T00:00:00"/>
        <d v="2019-09-14T00:00:00"/>
        <d v="2019-09-16T00:00:00"/>
        <d v="2019-09-17T00:00:00"/>
        <d v="2019-09-18T00:00:00"/>
        <d v="2019-09-19T00:00:00"/>
        <d v="2019-09-20T00:00:00"/>
        <d v="2019-09-21T00:00:00"/>
        <d v="2019-09-23T00:00:00"/>
        <d v="2019-09-24T00:00:00"/>
        <d v="2019-09-25T00:00:00"/>
        <d v="2019-09-27T00:00:00"/>
        <d v="2019-09-28T00:00:00"/>
        <d v="2019-09-30T00:00:00"/>
        <d v="2019-10-01T00:00:00"/>
        <d v="2019-10-02T00:00:00"/>
        <d v="2019-10-03T00:00:00"/>
        <d v="2019-10-04T00:00:00"/>
        <d v="2019-10-05T00:00:00"/>
        <d v="2019-10-07T00:00:00"/>
        <d v="2019-10-08T00:00:00"/>
        <d v="2019-10-09T00:00:00"/>
        <d v="2019-10-10T00:00:00"/>
        <d v="2019-10-12T00:00:00"/>
        <d v="2019-10-15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4T00:00:00"/>
        <d v="2019-11-05T00:00:00"/>
        <d v="2019-11-07T00:00:00"/>
        <d v="2019-11-11T00:00:00"/>
        <d v="2019-11-12T00:00:00"/>
        <d v="2019-11-13T00:00:00"/>
        <d v="2019-11-14T00:00:00"/>
        <d v="2019-11-15T00:00:00"/>
        <d v="2019-11-16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2T00:00:00"/>
        <d v="2019-12-03T00:00:00"/>
        <d v="2019-12-04T00:00:00"/>
        <d v="2019-12-06T00:00:00"/>
        <d v="2019-12-09T00:00:00"/>
        <d v="2019-12-10T00:00:00"/>
        <d v="2019-12-11T00:00:00"/>
        <d v="2019-12-12T00:00:00"/>
        <d v="2019-12-13T00:00:00"/>
        <d v="2019-12-14T00:00:00"/>
        <d v="2019-12-16T00:00:00"/>
        <d v="2019-12-17T00:00:00"/>
        <d v="2019-12-18T00:00:00"/>
        <d v="2019-12-19T00:00:00"/>
        <d v="2019-12-20T00:00:00"/>
        <d v="2019-12-21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2T00:00:00"/>
        <d v="2020-01-13T00:00:00"/>
        <d v="2020-01-14T00:00:00"/>
        <d v="2020-01-15T00:00:00"/>
        <d v="2020-01-16T00:00:00"/>
        <d v="2020-01-18T00:00:00"/>
        <d v="2020-01-20T00:00:00"/>
        <d v="2020-01-21T00:00:00"/>
        <d v="2020-01-22T00:00:00"/>
        <d v="2020-01-23T00:00:00"/>
        <d v="2020-01-24T00:00:00"/>
        <d v="2020-01-25T00:00:00"/>
        <d v="2020-01-27T00:00:00"/>
        <d v="2020-01-28T00:00:00"/>
        <d v="2020-01-29T00:00:00"/>
        <d v="2020-02-01T00:00:00"/>
        <d v="2020-02-03T00:00:00"/>
        <d v="2020-02-04T00:00:00"/>
        <d v="2020-02-05T00:00:00"/>
        <d v="2020-02-06T00:00:00"/>
        <d v="2020-02-07T00:00:00"/>
        <d v="2020-02-08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2-29T00:00:00"/>
        <d v="2020-03-03T00:00:00"/>
        <d v="2020-03-04T00:00:00"/>
        <d v="2020-03-05T00:00:00"/>
        <d v="2020-03-06T00:00:00"/>
        <d v="2020-03-07T00:00:00"/>
        <d v="2020-03-09T00:00:00"/>
        <d v="2020-03-10T00:00:00"/>
        <d v="2020-03-11T00:00:00"/>
        <d v="2020-03-12T00:00:00"/>
        <d v="2020-03-14T00:00:00"/>
        <d v="2020-03-15T00:00:00"/>
        <d v="2020-03-16T00:00:00"/>
        <d v="2020-03-17T00:00:00"/>
        <d v="2020-03-25T00:00:00"/>
        <d v="2020-03-28T00:00:00"/>
        <d v="2020-04-03T00:00:00"/>
        <d v="2020-04-08T00:00:00"/>
        <d v="2020-04-09T00:00:00"/>
        <d v="2020-04-10T00:00:00"/>
        <d v="2020-04-14T00:00:00"/>
        <d v="2020-04-16T00:00:00"/>
        <d v="2020-04-20T00:00:00"/>
        <d v="2020-04-21T00:00:00"/>
        <d v="2020-04-22T00:00:00"/>
        <d v="2020-04-23T00:00:00"/>
        <d v="2020-04-24T00:00:00"/>
        <d v="2020-04-25T00:00:00"/>
        <d v="2020-04-27T00:00:00"/>
        <d v="2020-04-28T00:00:00"/>
        <d v="2020-04-29T00:00:00"/>
        <d v="2020-04-30T00:00:00"/>
        <d v="2020-05-01T00:00:00"/>
        <d v="2020-05-02T00:00:00"/>
        <d v="2020-05-04T00:00:00"/>
        <d v="2020-05-05T00:00:00"/>
        <d v="2020-05-08T00:00:00"/>
        <d v="2020-05-09T00:00:00"/>
        <d v="2020-05-10T00:00:00"/>
        <d v="2020-05-12T00:00:00"/>
        <d v="2020-05-16T00:00:00"/>
        <d v="2020-06-02T00:00:00"/>
        <d v="2020-06-03T00:00:00"/>
        <d v="2020-06-04T00:00:00"/>
        <d v="2020-06-05T00:00:00"/>
        <d v="2020-06-06T00:00:00"/>
        <d v="2020-06-08T00:00:00"/>
        <d v="2020-06-09T00:00:00"/>
        <d v="2020-06-16T00:00:00"/>
        <d v="2020-06-17T00:00:00"/>
        <d v="2020-06-18T00:00:00"/>
        <d v="2020-06-19T00:00:00"/>
        <d v="2020-06-20T00:00:00"/>
        <d v="2020-06-22T00:00:00"/>
        <d v="2020-06-23T00:00:00"/>
        <d v="2020-06-24T00:00:00"/>
        <d v="2020-06-25T00:00:00"/>
        <d v="2020-06-26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3T00:00:00"/>
        <d v="2020-07-14T00:00:00"/>
        <d v="2020-07-15T00:00:00"/>
        <d v="2020-07-16T00:00:00"/>
        <d v="2020-07-17T00:00:00"/>
        <d v="2020-07-20T00:00:00"/>
        <d v="2020-07-21T00:00:00"/>
        <d v="2020-07-22T00:00:00"/>
        <d v="2020-07-27T00:00:00"/>
        <d v="2020-07-28T00:00:00"/>
        <d v="2020-07-29T00:00:00"/>
        <d v="2020-08-05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21T00:00:00"/>
        <d v="2020-08-24T00:00:00"/>
        <d v="2020-08-26T00:00:00"/>
        <d v="2020-08-31T00:00:00"/>
        <d v="2020-09-01T00:00:00"/>
        <d v="2020-09-02T00:00:00"/>
        <d v="2020-09-03T00:00:00"/>
        <d v="2020-09-04T00:00:00"/>
        <d v="2020-09-05T00:00:00"/>
        <d v="2020-09-07T00:00:00"/>
        <d v="2020-09-08T00:00:00"/>
        <d v="2020-09-09T00:00:00"/>
        <d v="2020-09-10T00:00:00"/>
        <d v="2020-09-11T00:00:00"/>
        <d v="2020-09-12T00:00:00"/>
        <d v="2020-09-14T00:00:00"/>
        <d v="2020-09-15T00:00:00"/>
        <d v="2020-09-16T00:00:00"/>
        <d v="2020-09-17T00:00:00"/>
        <d v="2020-09-21T00:00:00"/>
        <d v="2020-09-24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2T00:00:00"/>
        <d v="2020-10-13T00:00:00"/>
        <d v="2020-10-14T00:00:00"/>
        <d v="2020-10-16T00:00:00"/>
        <d v="2020-10-17T00:00:00"/>
        <d v="2020-10-19T00:00:00"/>
        <d v="2020-10-20T00:00:00"/>
        <d v="2020-10-21T00:00:00"/>
        <d v="2020-10-22T00:00:00"/>
        <d v="2020-10-23T00:00:00"/>
        <d v="2020-10-24T00:00:00"/>
        <d v="2020-10-26T00:00:00"/>
        <d v="2020-10-29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3T00:00:00"/>
        <d v="2020-11-14T00:00:00"/>
        <d v="2020-11-15T00:00:00"/>
        <d v="2020-11-16T00:00:00"/>
        <d v="2020-11-17T00:00:00"/>
        <d v="2020-11-20T00:00:00"/>
        <d v="2020-11-21T00:00:00"/>
        <d v="2020-11-22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5T00:00:00"/>
        <d v="2020-12-08T00:00:00"/>
        <d v="2020-12-09T00:00:00"/>
        <d v="2020-12-10T00:00:00"/>
        <d v="2020-12-11T00:00:00"/>
        <d v="2020-12-12T00:00:00"/>
        <d v="2020-12-14T00:00:00"/>
        <d v="2020-12-15T00:00:00"/>
        <d v="2020-12-16T00:00:00"/>
        <d v="2020-12-17T00:00:00"/>
        <d v="2020-12-19T00:00:00"/>
        <d v="2020-12-21T00:00:00"/>
        <d v="2020-12-22T00:00:00"/>
        <d v="2020-12-23T00:00:00"/>
        <d v="2020-12-24T00:00:00"/>
        <d v="2020-12-25T00:00:00"/>
        <d v="2020-12-26T00:00:00"/>
        <d v="2020-12-28T00:00:00"/>
        <d v="2020-12-29T00:00:00"/>
        <d v="2020-12-30T00:00:00"/>
        <d v="2020-12-3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1T00:00:00"/>
        <d v="2021-01-12T00:00:00"/>
        <d v="2021-01-13T00:00:00"/>
        <d v="2021-01-14T00:00:00"/>
        <d v="2021-01-15T00:00:00"/>
        <d v="2021-01-16T00:00:00"/>
        <d v="2021-01-18T00:00:00"/>
        <d v="2021-01-19T00:00:00"/>
        <d v="2021-01-20T00:00:00"/>
        <d v="2021-01-21T00:00:00"/>
        <d v="2021-01-22T00:00:00"/>
        <d v="2021-01-26T00:00:00"/>
        <d v="2021-01-27T00:00:00"/>
        <d v="2021-01-28T00:00:00"/>
        <d v="2021-01-29T00:00:00"/>
        <d v="2021-01-30T00:00:00"/>
        <d v="2021-02-01T00:00:00"/>
        <d v="2021-02-02T00:00:00"/>
        <d v="2021-02-03T00:00:00"/>
        <d v="2021-02-04T00:00:00"/>
        <d v="2021-02-05T00:00:00"/>
        <d v="2021-02-08T00:00:00"/>
        <d v="2021-02-09T00:00:00"/>
        <d v="2021-02-10T00:00:00"/>
        <d v="2021-02-11T00:00:00"/>
        <d v="2021-02-12T00:00:00"/>
        <d v="2021-02-13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3-01T00:00:00"/>
        <d v="2021-03-02T00:00:00"/>
        <d v="2021-03-03T00:00:00"/>
        <d v="2021-03-04T00:00:00"/>
        <d v="2021-03-05T00:00:00"/>
        <d v="2021-03-06T00:00:00"/>
        <d v="2021-03-0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6T00:00:00"/>
        <d v="2021-04-07T00:00:00"/>
        <d v="2021-04-08T00:00:00"/>
        <d v="2021-04-09T00:00:00"/>
        <d v="2021-04-10T00:00:00"/>
        <d v="2021-04-12T00:00:00"/>
        <d v="2021-04-13T00:00:00"/>
        <d v="2021-04-14T00:00:00"/>
        <d v="2021-04-15T00:00:00"/>
        <d v="2021-04-16T00:00:00"/>
        <d v="2021-04-17T00:00:00"/>
        <d v="2021-04-19T00:00:00"/>
        <d v="2021-04-20T00:00:00"/>
        <d v="2021-04-21T00:00:00"/>
        <d v="2021-04-22T00:00:00"/>
        <d v="2021-04-23T00:00:00"/>
        <d v="2021-04-24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7T00:00:00"/>
        <d v="2021-05-18T00:00:00"/>
        <d v="2021-05-19T00:00:00"/>
        <d v="2021-05-20T00:00:00"/>
        <d v="2021-05-21T00:00:00"/>
        <d v="2021-05-22T00:00:00"/>
        <d v="2021-05-26T00:00:00"/>
        <d v="2021-05-27T00:00:00"/>
        <d v="2021-05-28T00:00:00"/>
        <d v="2021-05-29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5T00:00:00"/>
        <d v="2021-06-16T00:00:00"/>
        <d v="2021-06-17T00:00:00"/>
        <d v="2021-06-18T00:00:00"/>
        <d v="2021-06-21T00:00:00"/>
        <d v="2021-06-23T00:00:00"/>
        <d v="2021-06-25T00:00:00"/>
        <d v="2021-06-28T00:00:00"/>
        <d v="2021-07-01T00:00:00"/>
        <d v="2021-07-05T00:00:00"/>
        <d v="2021-07-19T00:00:00"/>
        <d v="2021-08-04T00:00:00"/>
        <d v="2021-08-05T00:00:00"/>
        <d v="2021-08-06T00:00:00"/>
        <d v="2021-08-07T00:00:00"/>
        <d v="2021-08-11T00:00:00"/>
        <d v="2021-08-19T00:00:00"/>
        <d v="2021-08-23T00:00:00"/>
        <d v="2021-08-24T00:00:00"/>
        <d v="2021-08-25T00:00:00"/>
        <d v="2021-08-30T00:00:00"/>
        <d v="2021-09-01T00:00:00"/>
        <d v="2021-09-03T00:00:00"/>
        <d v="2021-09-06T00:00:00"/>
        <d v="2021-09-07T00:00:00"/>
        <d v="2021-09-08T00:00:00"/>
        <d v="2021-09-09T00:00:00"/>
        <d v="2021-09-10T00:00:00"/>
        <d v="2021-09-11T00:00:00"/>
        <d v="2021-09-13T00:00:00"/>
        <d v="2021-09-14T00:00:00"/>
        <d v="2021-09-15T00:00:00"/>
        <d v="2021-09-16T00:00:00"/>
        <d v="2021-09-17T00:00:00"/>
        <d v="2021-09-18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9T00:00:00"/>
        <d v="2021-10-11T00:00:00"/>
        <d v="2021-10-12T00:00:00"/>
        <d v="2021-10-13T00:00:00"/>
        <d v="2021-10-14T00:00:00"/>
        <d v="2021-10-15T00:00:00"/>
        <d v="2021-10-18T00:00:00"/>
        <d v="2021-10-21T00:00:00"/>
        <d v="2021-10-22T00:00:00"/>
        <d v="2021-10-23T00:00:00"/>
        <d v="2021-10-25T00:00:00"/>
        <d v="2021-10-26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5T00:00:00"/>
        <d v="2021-11-16T00:00:00"/>
        <d v="2021-11-17T00:00:00"/>
        <d v="2021-11-18T00:00:00"/>
        <d v="2021-11-19T00:00:00"/>
        <d v="2021-11-20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6T00:00:00"/>
        <d v="2021-12-07T00:00:00"/>
        <d v="2021-12-08T00:00:00"/>
        <d v="2021-12-09T00:00:00"/>
        <d v="2021-12-10T00:00:00"/>
        <d v="2021-12-11T00:00:00"/>
        <d v="2021-12-13T00:00:00"/>
        <d v="2021-12-14T00:00:00"/>
        <d v="2021-12-15T00:00:00"/>
        <d v="2021-12-16T00:00:00"/>
        <d v="2021-12-18T00:00:00"/>
        <d v="2021-12-20T00:00:00"/>
        <d v="2021-12-21T00:00:00"/>
        <d v="2021-12-22T00:00:00"/>
        <d v="2021-12-23T00:00:00"/>
        <d v="2021-12-24T00:00:00"/>
        <d v="2021-12-25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2T00:00:00"/>
        <d v="2022-01-13T00:00:00"/>
        <d v="2022-01-14T00:00:00"/>
        <d v="2022-01-15T00:00:00"/>
        <d v="2022-01-18T00:00:00"/>
        <d v="2022-01-19T00:00:00"/>
        <d v="2022-01-20T00:00:00"/>
        <d v="2022-01-24T00:00:00"/>
        <d v="2022-01-25T00:00:00"/>
        <d v="2022-01-26T00:00:00"/>
        <d v="2022-01-27T00:00:00"/>
        <d v="2022-01-28T00:00:00"/>
        <d v="2022-01-29T00:00:00"/>
        <d v="2022-01-31T00:00:00"/>
        <d v="2022-02-02T00:00:00"/>
        <d v="2022-02-05T00:00:00"/>
        <d v="2022-02-07T00:00:00"/>
        <d v="2022-02-08T00:00:00"/>
        <d v="2022-02-11T00:00:00"/>
        <d v="2022-02-14T00:00:00"/>
        <d v="2022-02-15T00:00:00"/>
        <d v="2022-02-16T00:00:00"/>
        <d v="2022-02-17T00:00:00"/>
        <d v="2022-02-18T00:00:00"/>
        <d v="2022-02-19T00:00:00"/>
        <d v="2022-02-21T00:00:00"/>
        <d v="2022-02-22T00:00:00"/>
        <d v="2022-02-24T00:00:00"/>
        <d v="2022-02-25T00:00:00"/>
        <d v="2022-02-26T00:00:00"/>
        <d v="2022-02-28T00:00:00"/>
        <d v="2022-03-01T00:00:00"/>
        <d v="2022-03-04T00:00:00"/>
        <d v="2022-03-05T00:00:00"/>
        <d v="2022-03-07T00:00:00"/>
        <d v="2022-03-09T00:00:00"/>
        <d v="2022-03-11T00:00:00"/>
        <d v="2022-03-12T00:00:00"/>
        <d v="2022-03-13T00:00:00"/>
        <d v="2022-03-14T00:00:00"/>
        <d v="2022-03-21T00:00:00"/>
        <d v="2022-03-23T00:00:00"/>
        <d v="2022-03-24T00:00:00"/>
        <d v="2022-03-26T00:00:00"/>
        <d v="2022-03-28T00:00:00"/>
        <d v="2022-03-29T00:00:00"/>
        <d v="2022-03-30T00:00:00"/>
        <d v="2022-03-31T00:00:00"/>
        <d v="2022-04-01T00:00:00"/>
        <d v="2022-04-05T00:00:00"/>
        <d v="2022-04-06T00:00:00"/>
        <d v="2022-04-07T00:00:00"/>
        <d v="2022-04-09T00:00:00"/>
        <d v="2022-04-11T00:00:00"/>
        <d v="2022-04-12T00:00:00"/>
        <d v="2022-04-13T00:00:00"/>
        <d v="2022-04-14T00:00:00"/>
        <d v="2022-04-15T00:00:00"/>
        <d v="2022-04-16T00:00:00"/>
        <d v="2022-04-18T00:00:00"/>
        <d v="2022-04-19T00:00:00"/>
        <d v="2022-04-20T00:00:00"/>
        <d v="2022-04-23T00:00:00"/>
        <d v="2022-04-25T00:00:00"/>
        <d v="2022-04-26T00:00:00"/>
        <d v="2022-04-27T00:00:00"/>
        <d v="2022-05-01T00:00:00"/>
        <d v="2022-05-04T00:00:00"/>
        <d v="2022-05-05T00:00:00"/>
        <d v="2022-05-06T00:00:00"/>
        <d v="2022-05-09T00:00:00"/>
        <d v="2022-05-10T00:00:00"/>
        <d v="2022-05-11T00:00:00"/>
        <d v="2022-05-12T00:00:00"/>
        <d v="2022-05-17T00:00:00"/>
        <d v="2022-05-18T00:00:00"/>
        <d v="2022-05-19T00:00:00"/>
        <d v="2022-05-20T00:00:00"/>
        <d v="2022-05-21T00:00:00"/>
        <d v="2022-05-23T00:00:00"/>
        <d v="2022-05-24T00:00:00"/>
        <d v="2022-05-25T00:00:00"/>
        <d v="2022-05-27T00:00:00"/>
        <d v="2022-05-28T00:00:00"/>
        <d v="2022-05-30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5T00:00:00"/>
        <d v="2022-06-16T00:00:00"/>
        <d v="2022-06-17T00:00:00"/>
        <d v="2022-06-18T00:00:00"/>
        <d v="2022-06-21T00:00:00"/>
        <d v="2022-06-23T00:00:00"/>
        <d v="2022-06-25T00:00:00"/>
        <d v="2022-06-28T00:00:00"/>
        <d v="2022-07-01T00:00:00"/>
        <d v="2022-07-05T00:00:00"/>
        <d v="2022-07-19T00:00:00"/>
        <d v="2022-07-20T00:00:00"/>
        <d v="2022-07-22T00:00:00"/>
        <d v="2022-08-04T00:00:00"/>
        <d v="2022-08-05T00:00:00"/>
        <d v="2022-08-06T00:00:00"/>
        <d v="2022-08-07T00:00:00"/>
        <d v="2022-08-11T00:00:00"/>
        <d v="2022-08-19T00:00:00"/>
        <d v="2022-08-23T00:00:00"/>
        <d v="2022-08-24T00:00:00"/>
        <d v="2022-08-25T00:00:00"/>
        <d v="2022-08-26T00:00:00"/>
        <d v="2022-08-30T00:00:00"/>
        <d v="2022-09-01T00:00:00"/>
        <d v="2022-09-03T00:00:00"/>
        <d v="2022-09-06T00:00:00"/>
        <d v="2022-09-07T00:00:00"/>
        <d v="2022-09-08T00:00:00"/>
        <d v="2022-09-09T00:00:00"/>
        <d v="2022-09-10T00:00:00"/>
        <d v="2022-09-11T00:00:00"/>
        <d v="2022-09-13T00:00:00"/>
        <d v="2022-09-14T00:00:00"/>
        <d v="2022-09-15T00:00:00"/>
        <d v="2022-09-16T00:00:00"/>
        <d v="2022-09-17T00:00:00"/>
        <d v="2022-09-19T00:00:00"/>
        <d v="2023-01-02T00:00:00"/>
        <d v="2023-01-03T00:00:00"/>
        <d v="2023-01-04T00:00:00"/>
        <d v="2023-01-06T00:00:00"/>
        <d v="2023-01-07T00:00:00"/>
        <d v="2023-01-12T00:00:00"/>
        <d v="2023-01-24T00:00:00"/>
        <d v="2023-01-26T00:00:00"/>
        <d v="2023-01-27T00:00:00"/>
        <d v="2023-02-08T00:00:00"/>
        <d v="2023-02-09T00:00:00"/>
        <d v="2023-02-14T00:00:00"/>
        <d v="2023-02-16T00:00:00"/>
        <d v="2023-02-17T00:00:00"/>
        <d v="2023-02-20T00:00:00"/>
        <d v="2023-02-21T00:00:00"/>
        <d v="2023-02-22T00:00:00"/>
        <d v="2023-02-23T00:00:00"/>
        <d v="2023-02-25T00:00:00"/>
        <d v="2023-03-02T00:00:00"/>
        <d v="2023-03-03T00:00:00"/>
        <d v="2023-03-04T00:00:00"/>
        <d v="2023-03-06T00:00:00"/>
        <d v="2023-03-07T00:00:00"/>
        <d v="2023-03-08T00:00:00"/>
        <d v="2023-03-09T00:00:00"/>
        <d v="2023-03-10T00:00:00"/>
        <d v="2023-03-14T00:00:00"/>
        <d v="2023-03-16T00:00:00"/>
        <d v="2023-03-20T00:00:00"/>
        <d v="2023-03-21T00:00:00"/>
        <d v="2023-03-22T00:00:00"/>
        <d v="2023-03-23T00:00:00"/>
        <d v="2023-03-24T00:00:00"/>
        <d v="2023-03-27T00:00:00"/>
        <d v="2023-03-31T00:00:00"/>
        <d v="2023-04-02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5T00:00:00"/>
        <d v="2023-04-18T00:00:00"/>
        <d v="2023-04-19T00:00:00"/>
        <d v="2023-04-20T00:00:00"/>
        <d v="2023-04-26T00:00:00"/>
        <d v="2023-04-27T00:00:00"/>
        <d v="2023-04-28T00:00:00"/>
        <d v="2023-04-29T00:00:00"/>
        <d v="2023-05-02T00:00:00"/>
        <d v="2023-05-03T00:00:00"/>
        <d v="2023-05-04T00:00:00"/>
        <d v="2023-05-05T00:00:00"/>
        <d v="2023-05-10T00:00:00"/>
        <d v="2023-05-12T00:00:00"/>
        <d v="2023-05-14T00:00:00"/>
        <d v="2023-05-16T00:00:00"/>
        <d v="2023-05-17T00:00:00"/>
        <d v="2023-05-18T00:00:00"/>
        <d v="2023-05-22T00:00:00"/>
        <d v="2023-05-23T00:00:00"/>
        <d v="2023-05-25T00:00:00"/>
        <d v="2023-05-27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8T00:00:00"/>
        <d v="2023-06-09T00:00:00"/>
        <d v="2023-06-10T00:00:00"/>
        <d v="2023-06-12T00:00:00"/>
        <d v="2023-06-13T00:00:00"/>
        <d v="2023-06-16T00:00:00"/>
        <d v="2023-06-22T00:00:00"/>
        <d v="2023-06-24T00:00:00"/>
        <d v="2023-07-01T00:00:00"/>
        <d v="2023-07-05T00:00:00"/>
        <d v="2023-07-10T00:00:00"/>
        <d v="2023-07-11T00:00:00"/>
        <d v="2023-07-12T00:00:00"/>
        <d v="2023-07-13T00:00:00"/>
        <d v="2023-07-14T00:00:00"/>
        <d v="2023-07-15T00:00:00"/>
        <d v="2023-07-18T00:00:00"/>
        <d v="2023-07-20T00:00:00"/>
        <d v="2023-07-21T00:00:00"/>
        <d v="2023-07-25T00:00:00"/>
        <d v="2023-07-26T00:00:00"/>
        <d v="2023-07-29T00:00:00"/>
        <d v="2023-07-31T00:00:00"/>
        <d v="2023-08-01T00:00:00"/>
        <d v="2023-08-02T00:00:00"/>
        <d v="2023-08-03T00:00:00"/>
        <d v="2023-08-07T00:00:00"/>
        <d v="2023-08-08T00:00:00"/>
        <d v="2023-08-10T00:00:00"/>
        <d v="2023-08-12T00:00:00"/>
        <d v="2023-08-15T00:00:00"/>
        <d v="2023-08-17T00:00:00"/>
        <d v="2023-08-18T00:00:00"/>
        <d v="2023-08-22T00:00:00"/>
        <d v="2023-08-23T00:00:00"/>
        <d v="2023-08-25T00:00:00"/>
        <d v="2023-08-29T00:00:00"/>
        <d v="2023-09-01T00:00:00"/>
        <d v="2023-09-02T00:00:00"/>
        <d v="2023-09-05T00:00:00"/>
        <d v="2023-09-06T00:00:00"/>
        <d v="2023-09-07T00:00:00"/>
        <d v="2023-09-09T00:00:00"/>
        <d v="2023-09-11T00:00:00"/>
        <d v="2023-09-13T00:00:00"/>
        <d v="2023-09-14T00:00:00"/>
        <d v="2023-09-15T00:00:00"/>
        <d v="2023-09-18T00:00:00"/>
        <d v="2023-09-20T00:00:00"/>
        <d v="2023-09-22T00:00:00"/>
        <d v="2023-10-07T00:00:00"/>
        <d v="2023-10-11T00:00:00"/>
        <d v="2023-10-12T00:00:00"/>
        <d v="2023-10-18T00:00:00"/>
        <d v="2023-11-01T00:00:00"/>
        <d v="2023-11-02T00:00:00"/>
        <d v="2023-11-03T00:00:00"/>
        <d v="2023-11-07T00:00:00"/>
        <d v="2023-11-09T00:00:00"/>
        <d v="2023-11-11T00:00:00"/>
        <d v="2023-11-13T00:00:00"/>
        <d v="2023-11-16T00:00:00"/>
        <d v="2023-11-20T00:00:00"/>
        <d v="2023-11-21T00:00:00"/>
        <d v="2023-11-22T00:00:00"/>
        <d v="2023-11-28T00:00:00"/>
        <d v="2023-11-29T00:00:00"/>
        <d v="2023-11-30T00:00:00"/>
        <d v="2023-12-01T00:00:00"/>
        <d v="2023-12-02T00:00:00"/>
        <d v="2023-12-04T00:00:00"/>
        <d v="2023-12-06T00:00:00"/>
        <d v="2023-12-07T00:00:00"/>
        <d v="2023-10-27T00:00:00"/>
        <d v="2023-10-25T00:00:00"/>
        <d v="2023-11-24T00:00:00"/>
        <d v="2023-12-12T00:00:00"/>
        <d v="2023-12-13T00:00:00"/>
        <d v="2023-12-18T00:00:00"/>
        <d v="2023-12-20T00:00:00"/>
        <d v="2023-09-27T00:00:00"/>
        <d v="2023-10-05T00:00:00"/>
        <d v="2024-10-02T00:00:00"/>
        <d v="2023-10-03T00:00:00"/>
        <d v="2023-10-04T00:00:00"/>
        <d v="2023-10-10T00:00:00"/>
        <d v="2023-10-09T00:00:00"/>
        <d v="2023-10-17T00:00:00"/>
        <d v="2023-10-24T00:00:00"/>
        <d v="2023-09-26T00:00:00"/>
        <d v="2023-10-26T00:00:00"/>
        <d v="2023-10-28T00:00:00"/>
        <d v="2023-12-22T00:00:00"/>
        <d v="2023-12-23T00:00:00"/>
        <d v="2023-12-24T00:00:00"/>
        <d v="2023-12-26T00:00:00"/>
        <d v="2024-01-02T00:00:00"/>
        <d v="2023-12-27T00:00:00"/>
        <d v="2023-12-29T00:00:00"/>
      </sharedItems>
    </cacheField>
    <cacheField name="Code machine" numFmtId="0">
      <sharedItems containsBlank="1" containsMixedTypes="1" containsNumber="1" containsInteger="1" minValue="440" maxValue="950"/>
    </cacheField>
    <cacheField name="Section" numFmtId="0">
      <sharedItems count="11">
        <s v="Acier"/>
        <s v="Béton"/>
        <s v="Enrobage"/>
        <s v="Gestion de stock"/>
        <s v="Ponts roulants"/>
        <s v="Usine"/>
        <s v="Acier PN"/>
        <s v="Cisailles"/>
        <s v="Compresseurs"/>
        <s v=""/>
        <s v="Secheurs"/>
      </sharedItems>
    </cacheField>
    <cacheField name="Machine" numFmtId="0">
      <sharedItems count="42">
        <s v="Schlatter"/>
        <s v="Teurema 2"/>
        <s v="Poyatos 2"/>
        <s v="Poyatos 1"/>
        <s v="EVG GE12"/>
        <s v="CAROSSEL"/>
        <s v="Grue à tour 1"/>
        <s v="EVG PN 1"/>
        <s v="Pont roulant GH Beasain 12T"/>
        <s v="Fosse septique"/>
        <s v="Teurema 1"/>
        <s v="Techno Impiante"/>
        <s v="Vitari 3"/>
        <s v="Vitari 1"/>
        <s v="Pont roulant Demag 5T (milieu)"/>
        <s v="Ateliers"/>
        <s v="Sigmatic"/>
        <s v="Vitari 2"/>
        <s v="Pont roulant Demag 5T TS"/>
        <s v="Wafios Reutlingen"/>
        <s v="Teurema 3"/>
        <s v="Pont roulant Abus 5T (teurema1)"/>
        <s v="TI"/>
        <s v="Pont roulant Demag 1 3,5T "/>
        <s v="Pont roulant Demag 3,2T (teurema2)"/>
        <s v="TI 9505/9"/>
        <s v="EVG PN 2"/>
        <s v="ELKON 2"/>
        <s v="MEP91"/>
        <s v="Pont roulant Demag 2 3,2T (Charge)"/>
        <s v="Pont bascule"/>
        <s v="PONT ROULANT Enrobage "/>
        <s v="Cisaille PN (GTA)"/>
        <s v="Balance bal 03"/>
        <s v="Wafios Ritecno"/>
        <s v="GA 37 (schlatter)"/>
        <s v="Pont roulant Demag 5T(nouveau hangar)"/>
        <s v="GA 55 (evg)"/>
        <s v=""/>
        <s v="GA 22 (poyatos) "/>
        <s v="FD 345 (evg)"/>
        <s v="Vitari 4"/>
      </sharedItems>
    </cacheField>
    <cacheField name="N°Fiche d'intervention" numFmtId="0">
      <sharedItems containsBlank="1" containsMixedTypes="1" containsNumber="1" containsInteger="1" minValue="12336" maxValue="260210"/>
    </cacheField>
    <cacheField name="Type d'intervention" numFmtId="0">
      <sharedItems containsBlank="1"/>
    </cacheField>
    <cacheField name="Partie Machine" numFmtId="0">
      <sharedItems containsBlank="1" count="618">
        <s v="Cisaille"/>
        <s v="Cassette PR 3,20"/>
        <s v="Groupe hydraulique"/>
        <s v="Eclairage"/>
        <s v="Electrodes"/>
        <s v="Mélangeur"/>
        <s v="Treuil principal"/>
        <s v="Moule"/>
        <s v="Descenseur"/>
        <s v="Cercleuse"/>
        <s v="Alimentation générale"/>
        <s v="Circuit de refroidissement"/>
        <m/>
        <s v="Silo à ciment"/>
        <s v="Cassette PR 8"/>
        <s v="Bobinoir"/>
        <s v="Devidoir"/>
        <s v="Guide fil"/>
        <s v="Moteur de levage"/>
        <s v="Vibreur"/>
        <s v="Table élévatrice"/>
        <s v="Cassette PR 10"/>
        <s v="Bloc de soudure"/>
        <s v="Pilon"/>
        <s v="Malaxeur"/>
        <s v="Sortie presse"/>
        <s v="Cabestan n°4"/>
        <s v="Pince"/>
        <s v="Adjuvant"/>
        <s v="Circuit d'air comprimé"/>
        <s v="Lance trame"/>
        <s v="Moteur tir fil"/>
        <s v="Poste de soudage"/>
        <s v="Transformateur n°6"/>
        <s v="Pompe à graisse"/>
        <s v="Cassete PR3,40"/>
        <s v="Table guide fil"/>
        <s v="Table vibrante"/>
        <s v="Enrouleur"/>
        <s v="Armoire électrique"/>
        <s v="Cassette PR3,40"/>
        <s v="Cassette PR3,20"/>
        <s v="Cassette PR5"/>
        <s v="Système de guidage"/>
        <s v="Cercleuse 08 "/>
        <s v="Cassette PR8"/>
        <s v="Tiroir d'agitation"/>
        <s v="Partie de soudage"/>
        <s v="Cercleuse 06"/>
        <s v="Transbordeur"/>
        <s v="Grille d'agitation"/>
        <s v="Skip"/>
        <s v="Convoyeur a béton"/>
        <s v="Cassette PR3,5"/>
        <s v="Pupitre de commande"/>
        <s v="Presse"/>
        <s v="Injecteur de planche"/>
        <s v="Empileur"/>
        <s v="Compresseur GA 22"/>
        <s v="Convoyeur à palette"/>
        <s v="Ascensseur"/>
        <s v="Déchargeur"/>
        <s v="Dispositif d'amenée fil de trame"/>
        <s v="Cabestan n°3"/>
        <s v="Danseur N2"/>
        <s v="Chariot"/>
        <s v="Système d'avancement"/>
        <s v="Refroidisseur"/>
        <s v="Transporteur de poutrelle"/>
        <s v="Cercleuse 08"/>
        <s v="Tiroir chargeur"/>
        <s v="Convoyeur à planche"/>
        <s v="Compresseur GA22"/>
        <s v="Balance de mesure"/>
        <s v="Moule HI20"/>
        <s v="Cabestan "/>
        <s v="Dresseuse"/>
        <s v="Pousse fil"/>
        <s v="Système de tirage"/>
        <s v="Compresseur GA 22 "/>
        <s v="Variateur Cabestan 3"/>
        <s v="Circuit air comprimé"/>
        <s v="Cassette PR 3,80"/>
        <s v="Cassette PR 12"/>
        <s v="Cassete PR 10"/>
        <s v="Danseurs"/>
        <s v="Cassette PR 10 "/>
        <s v="Cabestan"/>
        <s v="Cassette PR 4 "/>
        <s v="Cassette PR 9"/>
        <s v="Relacheur"/>
        <s v="Terminal tactil siemens"/>
        <s v="Machine"/>
        <s v="Cassette 08"/>
        <s v="Sauterelle"/>
        <s v="Tambour principale"/>
        <s v="Cassete PR12"/>
        <s v="Redresseur"/>
        <s v="Convoyeur des palettes "/>
        <s v="Table vibrante "/>
        <s v="Cabestant"/>
        <s v="Convoyeur sortie présse "/>
        <s v="Vérin du bobinoir"/>
        <s v="Cassette PR 3,4"/>
        <s v="Skip "/>
        <s v="Bloc redresseur"/>
        <s v="Pince "/>
        <s v="Partie commande"/>
        <s v="Moteur du cabestan"/>
        <s v="Tremie n°1"/>
        <s v="Système d'injection des FT"/>
        <s v="Varateur principal"/>
        <s v="Pousse plache"/>
        <s v="Amenée FT"/>
        <s v="Tiroir"/>
        <s v="Trasbordeur"/>
        <s v="Tirroir "/>
        <s v="Verin de soudage"/>
        <s v="Porte de sécurité"/>
        <s v="Tir fil"/>
        <s v="Compresseur GA 75"/>
        <s v="Boite à commande"/>
        <s v="Cercleuse "/>
        <s v="Cassette PR6"/>
        <s v="Palletiseur"/>
        <s v="Table élevatrice"/>
        <s v="Cassette 3,2"/>
        <s v="Moteur de deplacement"/>
        <s v="Coulisse"/>
        <s v="Convoyeur "/>
        <s v="Embrayage "/>
        <s v="Reservoir chaine de transmission"/>
        <s v="Celcleuse 06"/>
        <s v="Ventilateur "/>
        <s v="Variateur cabestan 2"/>
        <s v="Cable antigiratoire "/>
        <s v="Variateur "/>
        <s v="Cassette PR9"/>
        <s v="Galet de déplacement "/>
        <s v="Savennier "/>
        <s v="Porte électrode "/>
        <s v="Filtre "/>
        <s v="Systéme de dressage "/>
        <s v="Gaine d'alimentation"/>
        <s v="Cabiston "/>
        <s v="Convyeur "/>
        <s v="Magasin du trame"/>
        <s v="Motoréducteur"/>
        <s v="Circuit d'adjuvant "/>
        <s v="Variateur"/>
        <s v="Convyoeur "/>
        <s v="Cassette PR4"/>
        <s v="Tiroir "/>
        <s v="Cassette PR3,8"/>
        <s v="Cassette PR10"/>
        <s v="Cabestan 1 et 2 "/>
        <s v="Cassere PR4"/>
        <s v="Table du redresseur"/>
        <s v="Circuit pneumatique"/>
        <s v="Balance bal 03"/>
        <s v="Table elevatrice"/>
        <s v="Compresseur GA37"/>
        <s v="Silo a ciment"/>
        <s v="Régulateur de tension"/>
        <s v="Cabestan N3"/>
        <s v="Système de translation"/>
        <s v="Convoyeur de planches"/>
        <s v="Cassette PR12"/>
        <s v="Cassette PR09"/>
        <s v="Cassette PR3,90"/>
        <s v="Bloc d'entrainement"/>
        <s v="Retourneur"/>
        <s v="Tremies"/>
        <s v="Cassette PR 3,90"/>
        <s v="Convoyeur sortie presse "/>
        <s v="Plieuse"/>
        <s v="Canivaux"/>
        <s v="Silo 7"/>
        <s v="Tremie n°2"/>
        <s v="Cassette PR 7"/>
        <s v="Distrubuteur d'air"/>
        <s v="Ecarteur"/>
        <s v="Chariot principal"/>
        <s v="Radiateur"/>
        <s v="Pousse planche"/>
        <s v="Cecleuse 08"/>
        <s v="Silo 07"/>
        <s v="Compresseur GA 37"/>
        <s v="Moufle"/>
        <s v="Danseur"/>
        <s v="Cassette PR 4,8"/>
        <s v="Moteur bobinoir"/>
        <s v="Système d'entrainement"/>
        <s v="Moteur latéral"/>
        <s v="Resdresseur"/>
        <s v="Convoyeur"/>
        <s v="Soudeuse"/>
        <s v="Cassette PR 4,6"/>
        <s v="Moteur principal"/>
        <s v="Distribution"/>
        <s v="Zigzag"/>
        <s v="Cassette 4,80"/>
        <s v="Transformateur n3"/>
        <s v="Vis à ciment"/>
        <s v="G.H"/>
        <s v="Unité de dressage"/>
        <s v="Boite de galet"/>
        <s v="Moteur de vibration"/>
        <s v="Compresseur GA75"/>
        <s v="Retour planche"/>
        <s v="Dispositif de tirage"/>
        <s v="Cassette d4,80"/>
        <s v="Cassette d3,5"/>
        <s v="Hacheur de freinage"/>
        <s v="Palan"/>
        <s v="Dispositif de dressage"/>
        <s v="Magasin FT"/>
        <s v="Système d'ejection des FT"/>
        <s v="Commande"/>
        <s v="Pompe de graissage"/>
        <s v="Savonniere"/>
        <s v="Cassette 3,5"/>
        <s v="Cabestan n1"/>
        <s v="Cassette 3,8"/>
        <s v="Cassette PR7"/>
        <s v="Silos"/>
        <s v="Système de coloration"/>
        <s v="Danseur n3"/>
        <s v="Convoyeur béton"/>
        <s v="Tremie n2"/>
        <s v="Cassette d3,8"/>
        <s v="Rouleau d'avancement"/>
        <s v="Ridelles"/>
        <s v="Cassette d4,6"/>
        <s v="Cassette 3,50"/>
        <s v="Bloc de dressage"/>
        <s v="Cassette d3,90"/>
        <s v="Cassette d3,2"/>
        <s v="Cassette d4,5"/>
        <s v="Bobinoire"/>
        <s v="Cassette d3,20"/>
        <s v="Cassette d3,40"/>
        <s v="Silo 4"/>
        <s v="Chariot guide fil"/>
        <s v="Cassette d4"/>
        <s v="Tambour principal"/>
        <s v="Cassette d5"/>
        <s v="Compresseur"/>
        <s v="Cassette d7"/>
        <s v="Puit d'alimentation"/>
        <s v="Pompe immergée"/>
        <s v="Cercleuse 07"/>
        <s v="Cassette PR7 "/>
        <s v="Ciment"/>
        <s v="Convoyeur planche"/>
        <s v="Automate"/>
        <s v="Convoyeur (??)"/>
        <s v="GA 22"/>
        <s v="GA55"/>
        <s v="Alimentation refroidisseur"/>
        <s v="Entretien machine"/>
        <s v="Cerleuse"/>
        <s v="Réducteur agitateur"/>
        <s v="GA 37"/>
        <s v="Graisseur"/>
        <s v=" Cisaille"/>
        <s v="panne sur poste de soudage "/>
        <s v="Cassette 5"/>
        <s v="Vérin de cisaille"/>
        <s v="Circuit de graissage"/>
        <s v="Cassete d7"/>
        <s v="Colorant"/>
        <s v="Convoyeur déchargeur"/>
        <s v="Cassete d5"/>
        <s v="Table de cisaille"/>
        <s v=" Cassette pr5"/>
        <s v="GA22"/>
        <s v="Pompe hydraulique"/>
        <s v="Galet du guide fil"/>
        <s v="Cabeston"/>
        <s v="Tapis doseur"/>
        <s v="Cassette 3,4"/>
        <s v="Bloc de soudage"/>
        <s v="Système d'agitation "/>
        <s v="??"/>
        <s v="Groupe hydraulique de graissage"/>
        <s v="Tambour"/>
        <s v="Système de dressage"/>
        <s v="Pince ??"/>
        <s v="Socle de fixation de cassette"/>
        <s v="Palettiseur"/>
        <s v="Systeme de transmission de poutrelle"/>
        <s v="Cassette d12"/>
        <s v="Système d'agitation"/>
        <s v="Cassette d9"/>
        <s v="Cassette d8"/>
        <s v="cassette 4,6"/>
        <s v="Fosse"/>
        <s v="Systeme de redressement"/>
        <s v="Tir-fil"/>
        <s v="Systeme de tirage"/>
        <s v="Moteur de translation"/>
        <s v="Cassette D10"/>
        <s v="Cassette D6"/>
        <s v="Séparateur"/>
        <s v="Système de soudage"/>
        <s v="Moteur d'agitation"/>
        <s v="Commande "/>
        <s v="Boite a commande"/>
        <s v="Cuircuit de refroidissement "/>
        <s v="Table du vibreur "/>
        <s v="Soudage "/>
        <s v="Clavetage"/>
        <s v="Balance "/>
        <s v="Chariot "/>
        <s v="Verrin de griffe"/>
        <s v="Electrode "/>
        <s v="Presse béton "/>
        <s v="Chemin roulant "/>
        <s v="Systeme d'avancement "/>
        <s v="Silos n°6 "/>
        <s v="Systeme pneumatique "/>
        <s v="Moule ventouse "/>
        <s v="Systeme de lévage "/>
        <s v="Poulie"/>
        <s v="Automates"/>
        <s v="Pousse fil "/>
        <s v="Pompe"/>
        <s v="Pompe "/>
        <s v="Réducteur "/>
        <s v="Presse étoupe de la pompe d'eau usée"/>
        <s v="Silent bloc "/>
        <s v="Pince cisaille"/>
        <s v="Clé à choc"/>
        <s v="Compresseure GA22"/>
        <s v="Cadre glissant et grille d'agitation"/>
        <s v="Frigo"/>
        <s v="Courroie 1760"/>
        <s v="Agitateur"/>
        <s v="Fuite d'huile"/>
        <s v="Presse soudage"/>
        <s v="Tendeur"/>
        <s v="Ejecteur trame"/>
        <s v="Moteur cisaille endommagé"/>
        <s v="Plot du contact"/>
        <s v="Systeme de guidage "/>
        <s v="Casette PR8"/>
        <s v="Tendeur bonde a béton "/>
        <s v="Cconvoyeur"/>
        <s v="Systéme  d'avencement "/>
        <s v="Empileur "/>
        <s v="Pousse planche "/>
        <s v="Cassete d9"/>
        <s v="Systéme transmision de poutrelles"/>
        <s v="Came de cisaille"/>
        <s v="Vis a ciment"/>
        <s v="Refroidisseur "/>
        <s v="Tecalon"/>
        <s v="vis colorant "/>
        <s v="Guide savonnier "/>
        <s v="Systéme d'agitation"/>
        <s v="Systéme d'avancement "/>
        <s v="Alimentation en eau"/>
        <s v="Cabestans"/>
        <s v="Paletiseur"/>
        <s v="Air comprimé"/>
        <s v="Brosse"/>
        <s v="Mecanisme de déplacement"/>
        <s v="Groupe compresseur"/>
        <s v="Transporteur"/>
        <s v="Moteur translation"/>
        <s v="Tabke vibrante"/>
        <s v="guie fil"/>
        <s v="Malaxeur "/>
        <s v="Pince Zigzag"/>
        <s v="Support electrode"/>
        <s v="Cassette d13 lisse"/>
        <s v="problem cassete  daimmetre 13 L"/>
        <s v="porbleme electrique "/>
        <s v="monque d'eclairage au niveau de transporteur "/>
        <s v="deterioration  du flexible d'aire "/>
        <s v="probleme de teur 2 "/>
        <s v="probleme de devialair de vitari "/>
        <s v="probleme de ronleau d'avance _x000a_probleme de devidoire "/>
        <s v="probleme de chariot "/>
        <s v="Cassette 12 cranté"/>
        <s v="probleme malaxeur "/>
        <s v="cassette daimmetr 12L en panne "/>
        <s v="fuite d'eau au niveau du cassette 3,8L "/>
        <s v="probleme du table vibirute "/>
        <s v="pont mlant en arret "/>
        <s v="probleme frein moteur pince "/>
        <s v="probleme cassette daimmetre 5L "/>
        <s v="probleme support cassette daimetre 5L"/>
        <s v="Cisaille_x000a_Ejection de trames"/>
        <s v="Alimentation electrique"/>
        <s v="probleme du cassette 4,6 L"/>
        <s v="pont roulement en arret "/>
        <s v="panne de pousse fils _x000a_probleme des freus de cisaille _x000a_probleme d'hyxagon  _x000a_"/>
        <s v="probleme skipe "/>
        <s v="probleme pilon "/>
        <s v="problleme venteuse "/>
        <s v="cassette daimmetre 3,8 L en panne "/>
        <s v="savonier en panne "/>
        <s v="cassette daimmetre 12 L en panne "/>
        <s v="problemed'emlacement de moule "/>
        <s v="problemed'emlacement de moule"/>
        <s v="probleme frin pince "/>
        <s v="defaillance goulote malaxeur , magasin pattette "/>
        <s v="probleme de demarrage"/>
        <s v="propleme venteuse "/>
        <s v="transporteur en arret "/>
        <s v="probleme mecanique "/>
        <s v="L'agitateur en panne "/>
        <s v="probleme cassete daimetre 3,2 L"/>
        <s v="cassette daimetre 5 L en panne "/>
        <s v="probleme de cisaille "/>
        <s v="probleme guide fil 3"/>
        <s v="probleme malaxeur  "/>
        <s v="probleme d'agitation "/>
        <s v="probleme du pontie guide fil"/>
        <s v="probleme de frein "/>
        <s v="cassettes daimetr 10 L et "/>
        <s v="cassette daimetre 9 L en panne "/>
        <s v="probleme des galets de dressage "/>
        <s v="panne pneumatique "/>
        <s v="Magasin palette"/>
        <s v="Cable de commande"/>
        <s v="panne d'une axe de plongeur"/>
        <s v="panne electrique "/>
        <s v="probleme du verin de roulement l'avance "/>
        <s v="Armoire de commande"/>
        <s v="preventif sur le tirrior d'agitation "/>
        <s v="Cabestan n2"/>
        <s v="Presse de soudage"/>
        <s v="Cabestan n*4"/>
        <s v="Verins amortisseur"/>
        <s v="besoir en electrodes de soudage "/>
        <s v="panne boton possoir "/>
        <s v="reparation d'éclairage "/>
        <s v="panne de prece de soudage "/>
        <s v="panne comteur "/>
        <s v="panne du guide fille "/>
        <s v="panne savonnir ( moteur + redecteur )"/>
        <s v="panne bobinair"/>
        <s v="panne circuit pneumatique"/>
        <s v="panne du d'embriage "/>
        <s v="entretien de machain "/>
        <s v="panne de pousse fils dispositif d'éjection "/>
        <s v="Convoyeur Agrégats"/>
        <s v="Cassette 4,8L"/>
        <s v="panne sur cable electrique "/>
        <s v="panne sur moteur transporteur "/>
        <s v="panne sur pince "/>
        <s v="panne hydraulique "/>
        <s v="panne du guid rile "/>
        <s v="panne de disboutiv de coupe "/>
        <s v="porobleme sur pince "/>
        <s v="panne du roulement d'avance RR*R"/>
        <s v="panne de transprteur "/>
        <s v="probleme de moteur de rouleau d'avencement "/>
        <s v="panne de transformateur et l'axe de blangeur"/>
        <s v="panne mecanique (probleme isolaut porte electrode ) "/>
        <s v="probleme de frin de dévidoire "/>
        <s v="panne ponts roulants electrique "/>
        <s v="panne du système d'avancer "/>
        <s v="echarege "/>
        <s v="panne  electrique "/>
        <s v="panne du cisaille "/>
        <s v="entretien et chongement d'huile "/>
        <s v="panne de moteur lenze "/>
        <s v="probleme du courroies du machaine "/>
        <s v="Système d'adjuvant"/>
        <s v="manque vibron tremie "/>
        <s v="panne cisaille "/>
        <s v="panne de cisaille dérègler "/>
        <s v="panne electreque "/>
        <s v="panne cassette daimetre 6 C "/>
        <s v="Reducteur endommagé"/>
        <s v="panne danceur "/>
        <s v="Multifourche"/>
        <s v="panne mecanique "/>
        <s v="panne machine ( probleme de chape rotule  )"/>
        <s v="panne de telecmmande "/>
        <s v="panne de cable de telecommande "/>
        <s v="panne de berisa de soudage "/>
        <s v="panne de courrioe de moteur "/>
        <s v="panne d'arber de cisaille "/>
        <s v="installation de nouveau transfomateur "/>
        <s v="panne du decalage de guide "/>
        <s v="installation du transfomateur "/>
        <s v="panne poste soudeur "/>
        <s v="panne du courrioe de moteur "/>
        <s v="panne de roulement d'avance "/>
        <s v="Convoyeur a agregats"/>
        <s v="panne dansem "/>
        <s v="manque eclerage des malaxeurs "/>
        <s v="panne mecanique (probleme roue crouse ) "/>
        <s v="panne mecanique de pignion de transmission "/>
        <s v="Descensseur"/>
        <s v="panne bloc soudure "/>
        <s v="silo 5"/>
        <s v="bloc distributeur pilon"/>
        <s v="courroie crente de chirée"/>
        <s v="panne electrique de pont roulant "/>
        <s v="panne sur cassette daimmetre 7 cranté "/>
        <s v="panne cassette daimmetre 5 cranté"/>
        <s v="Circuit d'aire comprimé"/>
        <s v="panne sur cassette daimmetre 10 cranté "/>
        <s v="panne porte de securite "/>
        <s v="panne cércleuse "/>
        <s v="fuite d'luile hydraulique _x000a_endommagement silent bloc piton"/>
        <s v="cassement du palier asceuseur"/>
        <s v="panne electrique de poste soudeur "/>
        <s v="panne electrique pince "/>
        <s v="panne sur pompe hydraulique "/>
        <s v="panne sur cercleuse N:08"/>
        <s v="panne sur EVG TS "/>
        <s v="panne sur poste de soudeur "/>
        <s v="panne sur bobinaire du teurema 1"/>
        <s v="panne sur cassete daimmetre 12 ecranté "/>
        <s v="fissure sur tole de la table "/>
        <s v="cisaillement du partie filete du verin de moule "/>
        <s v="panne sur cercleuse  "/>
        <s v="panne sur cabestan "/>
        <s v="panne sur guid fil "/>
        <s v="panne sur cassette daimmetre 3,2 cranté "/>
        <s v="panne sur cassete  daimmetre 3,8 L "/>
        <s v="panne cassete daimmetre 3,8 L "/>
        <s v="Rouleau de chargement "/>
        <s v="panne sur cassete daimmetre 8 cranté "/>
        <s v="rupture du courroie 2800 "/>
        <s v="Alimentation 24VDC"/>
        <s v="panne sur bobinaire  "/>
        <s v="panne sur cassete daimmetre 4,6 L "/>
        <s v="panne sur bobinaire "/>
        <s v="panne sur pompe du graissage "/>
        <s v="panne sur cassete daimmetre 12 cranté "/>
        <s v="panne sur cassete daimmetre 3,8 L "/>
        <s v="panne sur cassete daimmetre 10 crante "/>
        <s v="fuite sur flexible hydraulique du compresseur"/>
        <s v="probleme sur support verin tirroir"/>
        <s v="panne sur cercleuse "/>
        <s v="panne sur support cercleuse "/>
        <s v="Pb sur moteur translation"/>
        <s v="mauvaise soudage du feuillard ( cercleuse 08 )"/>
        <s v="panne sur poste soudeur "/>
        <s v="panne sur cassette daimmetre 12 crenté "/>
        <s v="deferillance de la pompe hydraulique"/>
        <s v="panne sur cassete daimmetre 3,2 cranté "/>
        <s v="probleme sur table elevateur "/>
        <s v="panne sur savennaire "/>
        <s v="panne sur cassete daimmetre 10 cranté "/>
        <s v="panne sur cassete daimmetre 3,8 lisse "/>
        <s v="Silo6"/>
        <s v="Dispositif de soudage"/>
        <s v="Disposit de cisaille"/>
        <s v="Cassette d4  "/>
        <s v="Trémie Gravettes"/>
        <s v="Sytème d'entrainement"/>
        <s v="Moule pilon"/>
        <s v="Casset d8 "/>
        <s v="Système de compensation"/>
        <s v="Bouton de demarrage"/>
        <s v="Convoyeur descensseur"/>
        <s v="Danseurs "/>
        <s v="Porte electrode"/>
        <s v="Pont Roulant"/>
        <s v="Guide fil bobinoir"/>
        <s v="Cabestan 1 - 2 "/>
        <s v="Casset d12"/>
        <s v="Chute de pression d'eau "/>
        <s v="Silo 6"/>
        <s v="Relais d'urgence"/>
        <s v="Danseur 3"/>
        <s v="Danseur 4"/>
        <s v="Cabestan 3"/>
        <s v="Sonde"/>
        <s v="Chariot Porte cable"/>
        <s v="Guide fil danseur"/>
        <s v="Cassette d3,6"/>
        <s v="Climatiseur"/>
        <s v="Tremie"/>
        <s v="Pompe de lubrification"/>
        <s v="Alimentation generale"/>
        <s v="Varitateur"/>
        <s v="Bande pesante"/>
        <s v="Motoréducteur d'agitation"/>
        <s v="Convoyeur de planche"/>
        <s v="Armoire electrique"/>
        <s v="Chariot de sauterelle"/>
        <s v="Convoyeur à béton"/>
        <s v="Programme"/>
        <s v="Cmpresseur D'air"/>
        <s v="Tremie béton"/>
        <s v="Descenceur"/>
        <s v="Circuit d'alimentation"/>
        <s v="Dispositif de trames"/>
        <s v="Panne savonniere"/>
        <s v="Circuit de commande"/>
        <s v="Table vibration"/>
        <s v="Entrainement"/>
        <s v="Tremie sable de mer"/>
        <s v="Système d'entrainement "/>
        <s v="Cercleuse n°6"/>
        <s v="Celcleuse n°6"/>
        <s v="Malaxedur"/>
        <s v="Tiroir chargeur "/>
        <s v="Convoyeur entrée presse"/>
        <s v="Alimentation air comprimé"/>
        <s v="Casette PR7"/>
        <s v="Chaine de pliage"/>
        <s v="Chaine de pliage "/>
        <s v="Cabesant"/>
        <s v="Cabestan N 3 "/>
        <s v="Support de porte electrode"/>
        <s v="Bloc de sou"/>
        <s v="Convoyeur à beton"/>
      </sharedItems>
    </cacheField>
    <cacheField name="Réclamation / problème" numFmtId="0">
      <sharedItems containsBlank="1" count="1592">
        <m/>
        <s v="Problème de refroidissement"/>
        <s v="Panne presse de soudage"/>
        <s v="Vis de fixation de la presse cassé"/>
        <s v="Nécessaire usée "/>
        <s v="Support d'electrode cassé"/>
        <s v="Panne de presse de soudage"/>
        <s v="Pb circuit de refroidissement"/>
        <s v="Tole usée"/>
        <s v="Déraillage du transbordeur"/>
        <s v="Galets usés"/>
        <s v="Roulements usés"/>
        <s v="Problème de levage"/>
        <s v="Tôle inférieure décollées"/>
        <s v="Fissure au niveau de la table vibrante"/>
        <s v="Problème électrique au niveau du moteur de levage"/>
        <s v="Pb presse de soudage"/>
        <s v="Pression d'air comprimé faible"/>
        <s v="Arbe du réducteur cassé"/>
        <s v="Chaine des rouleaux cassée"/>
        <s v="Problème de callage de la table vibrante"/>
        <s v="Problème du réducteur du descensseur"/>
        <s v="Pb électrique"/>
        <s v="Finde course usée"/>
        <s v="Pale de pate usées"/>
        <s v="Servomoteur endommagé"/>
        <s v="Moteur undervoltage"/>
        <s v="Jeu au niveau des bielles d'agitation"/>
        <s v="Tôle décolée"/>
        <s v="Bras du danseur cassé"/>
        <s v="Cercles du chariot usées"/>
        <s v="Jeu sur galets"/>
        <s v="Mauvaise fixation de la presse de soudage"/>
        <s v="Pb de fixation sur socle"/>
        <s v="Panne électrique (thyristor endommagé)"/>
        <s v="Fuite d'eau"/>
        <s v="Circuit de graissage bouché"/>
        <s v="Fuite au niveau du réduteur de la pince"/>
        <s v="Panne porte électrode"/>
        <s v="Fissure de la table vibrante"/>
        <s v="Neant"/>
        <s v="Blocage du tir fil"/>
        <s v="Cabestant bloqué"/>
        <s v="Fuite au niveau de la pompe de refroidissement"/>
        <s v="Eau chaude"/>
        <s v="Transporteur bloqué"/>
        <s v="pb lancement feuillard"/>
        <s v="Pb cercleuse"/>
        <s v="Embrayage endommagé"/>
        <s v="fissure du tiroir chargeur"/>
        <s v="Pb éléctrique du transbordeur"/>
        <s v="Pb éléctrique "/>
        <s v="Rotule du pilon endommagée"/>
        <s v="frein Moteur de levage endommagé"/>
        <s v="Cable endommagé"/>
        <s v="Capteur de proximité endommagé"/>
        <s v="Panne de cisaille"/>
        <s v="Courroie soudable endommagée"/>
        <s v="PB moteur vibreur porte malaxeur"/>
        <s v="Frottement du guide avec le fil + fuite d'eau"/>
        <s v="Fuite au niveau de l'élement + courroie endommagée "/>
        <s v="Panne cercleuse"/>
        <s v="Fuite de ciment "/>
        <s v="Vitesse du pousse planche élevée"/>
        <s v="Pb de calage de la table vibrante"/>
        <s v="Panne de devidoir"/>
        <s v="Panne electrique"/>
        <s v="Cerclage non effectué"/>
        <s v="Achat nouveau moule"/>
        <s v="Soudage non effectué (thyristor endommagé)"/>
        <s v="Clavetage du reducteur d'agitation endommagé"/>
        <s v="Soudage non effectué"/>
        <s v="Courroie 1760 endommagée"/>
        <s v="Pb de freinage du moteur du descensseur"/>
        <s v="Guide cable endommagé"/>
        <s v="Touche entrée de la machine endommagé"/>
        <s v="Circuit bouché"/>
        <s v="Surface cabestan usée"/>
        <s v="Usure sur les rails du transbordeur"/>
        <s v="Echauffement anormal du moteur du groupe hydraulique"/>
        <s v="Pb démarrage machine"/>
        <s v="PB porte electrode"/>
        <s v="Dressage defectueux"/>
        <s v="Fuite d'huile au niveau du pilon"/>
        <s v="Rupture des courroies"/>
        <s v="Panne pousse fil"/>
        <s v="Fuite d'huile"/>
        <s v="Frein moteur endommagé"/>
        <s v="Pb vibreur porte malaxeur"/>
        <s v="Retour Air diffusion"/>
        <s v="Reception du variateur"/>
        <s v="Fissure au niveau du cadre supérieur du pilon"/>
        <s v="Blocage du silo 7"/>
        <s v="Le cerclage ne s'effectue pas"/>
        <s v="Panne de pousse fils d'injection"/>
        <s v="Arret répétitif du moteur vibreur de la porte"/>
        <s v="Panne pompe à graisse"/>
        <s v="Panne aimant lance trame"/>
        <s v="Ressort du transbordeur endommagé"/>
        <s v="Courroies de transmission endommagées"/>
        <s v="Flexible d'air usé"/>
        <s v="Surface du fil non conforme"/>
        <s v="Lame de soudure endommagée"/>
        <s v="Pb de synchronisation entre pilon et vibreur"/>
        <s v="Panne de table élevatrice"/>
        <s v="Pb alimentation"/>
        <s v="Roulements de galets usés"/>
        <s v="Flexion de l'arbe central de guidage du skip"/>
        <s v="Lame de cisaille usée"/>
        <s v="Panne électrique"/>
        <s v="Pb galet crantés"/>
        <s v="Panne danseur 1 - 2 - 3 "/>
        <s v="Niveau d'huile bas"/>
        <s v="Grille endommagée"/>
        <s v="Galet usé"/>
        <s v="problème sur moteur réducteur de pince"/>
        <s v="Goupille endommagées"/>
        <s v="Problème au niveau des galets de guidage du transbordeur"/>
        <s v="Terminal endommagé"/>
        <s v="Panne de cercleuse"/>
        <s v="Panne guide fil"/>
        <s v="Pattes du moteur de vibration endommagée"/>
        <s v="courroie endommagée"/>
        <s v="Chassis fissuré"/>
        <s v="Absence courroie pour cause d'absence magasin"/>
        <s v="Jeu sur poulie"/>
        <s v="PB Machoire"/>
        <s v="Courroie 2800 endomm+agée"/>
        <s v="PB porte principale malaxeur"/>
        <s v="Mauvaise découpe de feuillard"/>
        <s v="Palier usé"/>
        <s v="non-conformité"/>
        <s v="Filetage usé"/>
        <s v="chaine endommagé "/>
        <s v="Rouleaux usé "/>
        <s v="Décalage de la chaine "/>
        <s v="Blocage  du à un boulon tordu"/>
        <s v="Pont de soudage usé "/>
        <s v="Pb électrique de variateur "/>
        <s v="Rupture de courroie thermosoudable "/>
        <s v="Raccord endommagé"/>
        <s v="Flexible d'eau usé "/>
        <s v="Bocage du feuillard"/>
        <s v="Déréglage de table "/>
        <s v="Cable antigiratiore endommagé "/>
        <s v="usure de surface "/>
        <s v="Disque de frein endommmagé"/>
        <s v="Chaine de transmission endommagée"/>
        <s v="Rupture du cable de commande"/>
        <s v="Pompe bouchée"/>
        <s v="Usure du support du guide fil"/>
        <s v="Moteur grillé"/>
        <s v="Fissure au niveau du support du vibreur"/>
        <s v="Alesage de la poulie de transmission usée"/>
        <s v="Variateur déréglé"/>
        <s v="Préventif"/>
        <s v="Frein déreglé"/>
        <s v="Surintensité"/>
        <s v="Rupture de la grille d'agitation"/>
        <s v="Pb de tension du feuillard"/>
        <s v="Manque de phase au niveau du moteur"/>
        <s v="PB au niveau du vérin pousse plache "/>
        <s v="Température d'armoire élevée"/>
        <s v="Usure du filetage du porte électrode"/>
        <s v="Electrode usée"/>
        <s v="Roulement des bras endommagés"/>
        <s v="Galet endommagé"/>
        <s v="Déreglge de la lame de soudure"/>
        <s v="Capteur endommagé"/>
        <s v="Arret innopiné du transbordeur ( électrode endommagé"/>
        <s v="Fiche de détecteur endommagé"/>
        <s v="Tiroir détérioré"/>
        <s v="Panne au niveau du frein du moteur"/>
        <s v="PB d`éclairage ( lampe endommagé )"/>
        <s v="Bolcage des vérin du devidoir"/>
        <s v="Table vibrante non conforme "/>
        <s v="Fuite interne"/>
        <s v="Garniture d'embrayage endommagé"/>
        <s v="Interupteur endommagé"/>
        <s v="Galet desseré "/>
        <s v="Electrovanne usée"/>
        <s v="Roulement endommagé"/>
        <s v="Mauvais contact"/>
        <s v="Manque d`eau ( pompe endommagé)"/>
        <s v="Axe vérin endommagé"/>
        <s v="Déréglage de niveau du grille "/>
        <s v="Chape du vérin endommagée"/>
        <s v="Fuite d'huile "/>
        <s v="Compresseur en panne"/>
        <s v="Fuite d'air"/>
        <s v="Arret innopiné du transbordeur (commutateur endommagé)"/>
        <s v="Disjoncteur Haute tension HS"/>
        <s v="Fuite au niveau du régulateur"/>
        <s v="PB du surchaufage du moteur "/>
        <s v="PB d' éclairage au niveau des étuves "/>
        <s v="Chariot usé"/>
        <s v="Bouton endommagé"/>
        <s v="Cable d'alimentation endommagé"/>
        <s v="Cadre du Tirroire usée "/>
        <s v="Courrie et poulie sont endommagé "/>
        <s v="Déreglage de la chaine "/>
        <s v="Accumulateur Vide"/>
        <s v="Pb cassette"/>
        <s v="Panne au niveau de la cisaille"/>
        <s v="PB guide fil"/>
        <s v="présence d'un court circuit au niveau de la carte"/>
        <s v="Manque de phase"/>
        <s v="Rupture du cable antigiratoire d6"/>
        <s v="Freinage innopiné du transbordeur"/>
        <s v="Rupture de la courroie 2800"/>
        <s v="Fuite d'huile au niveau du groupe"/>
        <s v="Bolcage  des rouleaux palletiseurs"/>
        <s v="Echauffement de l'embrayage de la cisaille"/>
        <s v="Déreglage du niveau de la table"/>
        <s v="Couteau usé"/>
        <s v="Boulon usé"/>
        <s v="Deuxieme vitesse endommagée"/>
        <s v="Roulements endommagés"/>
        <s v="Vis de fixation de 'axe plongeur cassé"/>
        <s v="Chaine détendu "/>
        <s v="Clavette endomagée "/>
        <s v="Fuite de graisse"/>
        <s v="Fissure apparente sur feuillard"/>
        <s v="Surchauffe du moteur"/>
        <s v="Blocage de l'enrouler"/>
        <s v="Mauvais contact au niveau du relais de sécurité"/>
        <s v="Analog input err"/>
        <s v="Galet cranté endommagé"/>
        <s v="Deux prises rapides sont endomagée et vis cassée "/>
        <s v="Tige de bras endommagée"/>
        <s v="Joint torique de régulateur usée "/>
        <s v="Cable de détecteur endommagée "/>
        <s v="Flexible endommagée "/>
        <s v="Court circuit "/>
        <s v="Vessie pneumatiques du moule endommagée "/>
        <s v="Défaut d'alignement du gaine d'alimentation"/>
        <s v="Galet usé "/>
        <s v="Pignon endommagée"/>
        <s v="Fuite de distributeur d'air"/>
        <s v="Des bagues de porte électrode usé "/>
        <s v="Chaine d'accouplement endommagée"/>
        <s v="Galet de fixation camme endomagée "/>
        <s v="Rédelles usée"/>
        <s v="Bonde de convoyeur n'est pas alignée"/>
        <s v="Filtre ( CS150- P25-A) a endommagée et cable en court circuit "/>
        <s v="Des roulements systéme de dressage endommagée"/>
        <s v="Cable d'alimentation coupée"/>
        <s v="Galet guide fil usé "/>
        <s v="Manque de phase "/>
        <s v="Coupure au niveau du courroie thermosoudable "/>
        <s v="Des vis cassée et désérer et guide endommagée "/>
        <s v="Surface de cabiston usée"/>
        <s v="Clavite usé "/>
        <s v="Endommage au niveau du amaine p6"/>
        <s v="Coupure Électrique "/>
        <s v="Bobinede contacteur du commande endommagée "/>
        <s v="Axe et palier endommagée "/>
        <s v="Mauvais contact au niveau du relais de statique"/>
        <s v="Cable antigiratiore endommagé déformation du skip "/>
        <s v="Détecteur endommagée "/>
        <s v="Déréglage du programme "/>
        <s v="Circuit d'air bouché"/>
        <s v="Commutateur endommagé"/>
        <s v="Goupilles machoire endommagée"/>
        <s v="Défaut d'alignement des galet"/>
        <s v="Usure du pates de moteur "/>
        <s v="Surface de galet usé"/>
        <s v="Ressort endommagé "/>
        <s v="blocage au niveau du vis "/>
        <s v="Pales du pattes usée "/>
        <s v="Courroie thermosoudable usée "/>
        <s v="mauvais contact au niveau du relais de sécurité "/>
        <s v="Cadre du Tirroire usée et bras et des axes sont endommagé "/>
        <s v="Surface de cabestan usée"/>
        <s v="Porte electrode endommagé"/>
        <s v="Vis de rappel endommagé"/>
        <s v="Décalage de la tête chauffante"/>
        <s v="Vis de réglage endommagé"/>
        <s v="Switch Manuel/ automatique endommagé"/>
        <s v="Chaine guide cable endommagée"/>
        <s v="Vis de fixation de l'arbre endommagé"/>
        <s v="Goupies endommagées"/>
        <s v="Goupilles endommagées"/>
        <s v="Pb aimant"/>
        <s v="Arbre de la porte de dechargement tordu "/>
        <s v="Roulement moteur endommagé"/>
        <s v="Déragelage de la table"/>
        <s v="Fuite sur radiateur"/>
        <s v="Pb tir fil"/>
        <s v="Arbe porte agrégat"/>
        <s v="Défaut de rendement"/>
        <s v="Usure des tresses de soudage"/>
        <s v="Arbre usé"/>
        <s v="Message d'erreur licence Key"/>
        <s v="PB électrique axe plongeurs"/>
        <s v="Rupture de la chaine d'ajustement"/>
        <s v="Fuite d'huile + Atteinte nombre d'heure vidange"/>
        <s v="Mouvement anormal de la pince"/>
        <s v="Vis sans fin bloqué"/>
        <s v="Fin de course endommagée"/>
        <s v="Ressort de rappel endommagé"/>
        <s v="Fuite d'air + couteau usé"/>
        <s v="Cable usé"/>
        <s v="Projecteur HS"/>
        <s v="Trou taraudés usés"/>
        <s v="Pompe endommagée"/>
        <s v="Fuite d'huile au niveau du reducteur"/>
        <s v="Roulements partie crantée endommagés"/>
        <s v="Galet lisse usé"/>
        <s v="Courroie usée"/>
        <s v="Erreur FD022"/>
        <s v="Courroie 2800 endommagée"/>
        <s v="Blocage du chariot de cisaille"/>
        <s v="commande impossible"/>
        <s v="Axe plongeur tordu"/>
        <s v="Coincement"/>
        <s v="Cadre glissant usé"/>
        <s v="Fuite d'huile au niveau du compresseur"/>
        <s v="Chutte de presion"/>
        <s v="Blocage de l'ascensseur"/>
        <s v="guide chaine usé"/>
        <s v="Axe plongeur endommagé"/>
        <s v="Defaut de zoomage"/>
        <s v="Tole de séparation endommagée"/>
        <s v="Fuite d'air "/>
        <s v="Position dereglée"/>
        <s v="Blocage d'un galet de tirage"/>
        <s v="Came endommagé"/>
        <s v="Pb zoomage"/>
        <s v="Chute de pression"/>
        <s v="Boite à commande endommagée"/>
        <s v="Défaut de zoomage"/>
        <s v="Fuite au niveau du flexible du vérin"/>
        <s v="Pb de tirage feuillard"/>
        <s v="Support pilon endommagé"/>
        <s v="Bruit anormal sur moteur"/>
        <s v="Rupture du cable d'alimentation"/>
        <s v="Fuite d'air sur cisaille"/>
        <s v="Pb de trirage du fil"/>
        <s v="Problème de soudage du feuillard"/>
        <s v="Courroies thermosoudables usées"/>
        <s v="Roulement usé"/>
        <s v="Vérin bloqué"/>
        <s v="Eau usée"/>
        <s v="Electrodes usées"/>
        <s v="Pb encodeur"/>
        <s v="Fuite d'air + mauvais contact des electrodes"/>
        <s v="Déformation des bras d'empileur"/>
        <s v="Galet endommagé ( à cause d'un roulement mal graissé )"/>
        <s v="Armoire electrique poussiereuse"/>
        <s v="Entretien généneral"/>
        <s v="Transporteur de poutrelle bloqué"/>
        <s v="Blocage de la vis à ciment"/>
        <s v="Manque de phase sur contacteur"/>
        <s v="Armoire poussireuse"/>
        <s v="Fuite au niveau du vérin du moule"/>
        <s v="Fuite d'huile sur Boite d'engrenage du bobinoir"/>
        <s v="Vis de fixation endommagé"/>
        <s v="Pb de fixation du vérin pneumatique"/>
        <s v="Moteur monté descente endommagé"/>
        <s v="Pb de pincement"/>
        <s v="Fiche endommagé"/>
        <s v="Court circuit sur bobine de démarrage"/>
        <s v="Pb d'alimentation d'eau"/>
        <s v="Pompe hydraulique endommagée"/>
        <s v="Arbre de sortie du réducteur cisaillé"/>
        <s v="Moteur à la masse"/>
        <s v="Filetage tresse de soudage foiré"/>
        <s v="Ecou de la vis sans fin endommagé"/>
        <s v="Fuite grave sur échangeur"/>
        <s v="Fuite d'huile sur raccord"/>
        <s v="Disque d'embrayage usé"/>
        <s v="Coincement de la vis a ciment"/>
        <s v="Pb de démarrage de la machine"/>
        <s v="Blocage moteur"/>
        <s v="Cable coincé"/>
        <s v="Courroies endommagée"/>
        <s v="Déreglage des freins des devidoirs"/>
        <s v="Fissure de la tole de la table vibrante"/>
        <s v="Contact entre vérins et support du moule"/>
        <s v="Course du descenseur mal réglée"/>
        <s v="Pb de chute de pression"/>
        <s v="Tube carré guide fil endommagé"/>
        <s v="Blocage sur poulie de renvoie"/>
        <s v="Axes plongeur déformés"/>
        <s v="Détension de la chaine"/>
        <s v="PB de mise en marche"/>
        <s v="Pb sur ventilateur "/>
        <s v="Ecoulement continu de l'eau au niveau du malaxeur"/>
        <s v="Fuite d'huile au niveau du groupe hydraulique"/>
        <s v="Roulement de galets usés"/>
        <s v="Circuit de refroidissement bouché"/>
        <s v="Rupture de la vis de fixation"/>
        <s v="Blocage du feuillard"/>
        <s v="Pb sur encodeur"/>
        <s v="Rupture de liaison bati / pignon"/>
        <s v="Filet rapporté usé"/>
        <s v="Raccord d'alimentation en ciment endommagé"/>
        <s v="2 éme vitésse endommagé"/>
        <s v="PB monté descente"/>
        <s v="Ventilateur variateur endommagé"/>
        <s v="Pb de tirage fil"/>
        <s v="Variation de l'avance du vérin pousse planche"/>
        <s v="Déformation des fourches du transbordeur"/>
        <s v="Déformation des lévres du lance"/>
        <s v="Défaut de communication Danseur/Variateur"/>
        <s v="Jeu en arbre et poulie"/>
        <s v="Manque de phase su moteur d'agitation"/>
        <s v="Raccord rotatif endommagé"/>
        <s v="Moteur HS"/>
        <s v="Délais vidange atteint"/>
        <s v="Poulie de transmission usée"/>
        <s v="Jeu sur poulie de transmission"/>
        <s v="Pb su moteur d'agitation"/>
        <s v="Poulie de transmission endommagé"/>
        <s v="filetage  de la chappe du verin foiré"/>
        <s v="Bagues isolantes usée"/>
        <s v="Déréglage des longueurs de trame"/>
        <s v="Pales de pattes usée "/>
        <s v="Rupture du cable moteur + chaine guide cable"/>
        <s v="Jeu sur arbre d'agitation"/>
        <s v="Fuite d'eau + défaut de zoomage"/>
        <s v="Fuite d'huile sur vérin du moule"/>
        <s v="Rupture d'une courroie thermosoudable"/>
        <s v="Freinage d'embrayage defaillant"/>
        <s v="Déréglage de la cisaille"/>
        <s v="Couteau de cisaille bloqué"/>
        <s v="Connecteurs tordu"/>
        <s v="Electrovanne démontée"/>
        <s v="Rupture du cable antigiratoire "/>
        <s v="Jeu sur chappe de vérin "/>
        <s v="Courroies détendu "/>
        <s v="Usure du guide fil"/>
        <s v="Mauvais contact sur cassette siemens"/>
        <s v="Mauvais contact sur relais"/>
        <s v="Essai frein moteur"/>
        <s v="Moteurs de tirage HS"/>
        <s v="Echauffement du transformateur"/>
        <s v="Usure des toles de malaxeur"/>
        <s v="Entretien préventif"/>
        <s v="Refroidisseur HS"/>
        <s v="Pb de passage à la deuxieme vitesse"/>
        <s v="Colmatage de la vis"/>
        <s v="Déformation cornière descenceur"/>
        <s v="Entretien du dispositif "/>
        <s v="Jeu sur arbre d'entrainement"/>
        <s v="Chute de pression sur accumulateur"/>
        <s v="Fuite sur vessie pneumatique"/>
        <s v="Entretien correctif"/>
        <s v="Déformation du devidoir suite à un accident (Rupture feuillard + chutte bobine en acier)"/>
        <s v="Moteur de vibration grillé"/>
        <s v="Jeu sur poulie d'entrainement"/>
        <s v="Pb de glissement de l'embrayage"/>
        <s v="Fuite sur vérin de cisaille"/>
        <s v="Jeu sur galet de tranbordeur"/>
        <s v="Pb sur galet de dressage"/>
        <s v="Filetage du porte électrode foiré"/>
        <s v="Tole fissurée"/>
        <s v="Heure vidange atteint"/>
        <s v="Absence de variateur"/>
        <s v="Blocage de la chaine de levage"/>
        <s v="Suite - Révision générale"/>
        <s v="Rupture d'un cable de tension"/>
        <s v="Rupture d'une corroie thermosoudable"/>
        <s v="rupture d'un flexible"/>
        <s v="Pb sur galet du skip"/>
        <s v="Prise de mesure"/>
        <s v="Guide fil usé"/>
        <s v="Moteur 1,5kw endommagé"/>
        <s v="Entretien"/>
        <s v="Revision du transbordeur"/>
        <s v="Panne rouleau d'avancement"/>
        <s v="Echeance vidange"/>
        <s v="rupture d'une courroie 2800"/>
        <s v="Pb sur chaine de transmission"/>
        <s v="Défaut de reglage de la table elevatrice"/>
        <s v="Vérin de cisaille bloqué"/>
        <s v="Défaut de fixation du moteur de vibration"/>
        <s v="Moteur d'agitation HS"/>
        <s v="Défaut d'alignement du fil de chaine"/>
        <s v="Taraudage foiré"/>
        <s v="Hacheur de freinage endommagé"/>
        <s v="Montage du palan"/>
        <s v="Arret pour entretien"/>
        <s v="Rupture du cable antigiratoire"/>
        <s v="Rupture d'un courroie"/>
        <s v="Desserage du moyeu de galet"/>
        <s v="Jeu au  niveau du support de fixation"/>
        <s v="Glissiere endommagée"/>
        <s v="Entretien géneral"/>
        <s v="Poblème de synchronisation"/>
        <s v="Galets de dressage usés"/>
        <s v="Surface Téton usée"/>
        <s v="Bras du système cassé"/>
        <s v="Raccord pneumatique endommagé"/>
        <s v="Nb heure vidange atteint"/>
        <s v="Fiche de detecteur endommagé"/>
        <s v="Travaux de réparation "/>
        <s v="Entretien général"/>
        <s v="Galet et roulement de galet endommagé"/>
        <s v="Entretien annuel"/>
        <s v="Surface usée"/>
        <s v="Blocage du mécanisime de soudage"/>
        <s v="Cale du moule usée"/>
        <s v="Porte enrouleur béton usée"/>
        <s v="Fuite d'huile au niveau du moteur hydraulique"/>
        <s v="Guide file endommagé"/>
        <s v="Tole inférieure usée"/>
        <s v="Lubrification"/>
        <s v="Fuite d'eau "/>
        <s v="Echauffement du système"/>
        <s v="Roulement usés"/>
        <s v="Fuite d'air au niveau de la conduite d'alimentation en air comprimé"/>
        <s v="Filtage de tige de fixation endommagé"/>
        <s v="défaut mécanisme"/>
        <s v="Jeu au niveau du cadre glissant"/>
        <s v="absence de commande"/>
        <s v="Cartouches colmatées"/>
        <s v="Freinage du devidoir insuffisant"/>
        <s v="Moteur latéral endommagé"/>
        <s v="Moyeu usé"/>
        <s v="Clavetage du vérin endommagé"/>
        <s v="Desserage du support porte détecteurs"/>
        <s v="Chute de pression et bruit anormal au niveau de la pompe"/>
        <s v="Blocage feuillard"/>
        <s v="Axe principal endommagé"/>
        <s v="Défaut en mode automatique"/>
        <s v="Jeu au niveau des masselottes"/>
        <s v="Rouleaux usé"/>
        <s v="Usure des roulements"/>
        <s v="Contacteur coincé"/>
        <s v="Disjoncteur HS"/>
        <s v="Blocage de la vis du système de coloration"/>
        <s v="Goupille endommagée"/>
        <s v="Guide fil endommagé"/>
        <s v="motocompresseur endommagé"/>
        <s v="le convoyeur patine"/>
        <s v="Moteur lateral HS"/>
        <s v="Décalage de la table vibrante "/>
        <s v="Cable electrique endommagé"/>
        <s v="rupture des boulons "/>
        <s v="Cables d'alimentation usés"/>
        <s v="poulie bloquée"/>
        <s v="Rouleau bloqué"/>
        <s v="Panne de ridelle d'empileur"/>
        <s v="Lame de soudure usée"/>
        <s v="Distributeur colmaté"/>
        <s v="Pierre meuleuse usée"/>
        <s v="Transformateurs endommagés T3"/>
        <s v="Jeu au niveau du bras de danseur"/>
        <s v="Entretiten bloc cisaille"/>
        <s v="Jeu au niveau de la grille d'agitation"/>
        <s v="Absence de courroie 2800"/>
        <s v="Defaut de dressage des fils de chaines"/>
        <s v="Défaut de freinage"/>
        <s v="Diagnostic en cours"/>
        <s v="Défaut de surface"/>
        <s v="panne mécanique"/>
        <s v="Blocage de l'ecrou d'assemblage"/>
        <s v="Echauffement du moteur de la savonnierre à cause d'un colmattage de la graisse en poudre"/>
        <s v="Défaut de tirage du  bobinoire"/>
        <s v="Defaut de guidage"/>
        <s v="milieu poussiéreux "/>
        <s v="Table déséquilibrée"/>
        <s v="Démontage et changement du deux roulements 32008"/>
        <s v="Défaut de soudage"/>
        <s v="Resistance HS"/>
        <s v="Cornieres deformées"/>
        <s v="Ecrou d'assemblage foiré "/>
        <s v="Probleme de fixation du vérin pneumatique"/>
        <s v="Blocage vis à ciment n4"/>
        <s v="Rupture de la courroie d'entrainement"/>
        <s v="Changement du chariot guide fil"/>
        <s v="Problème d'allignement convoyeur sortie planche"/>
        <s v="Surcharge"/>
        <s v="jeu au niveau de la tete de fixation du sabot"/>
        <s v="anomalie sur capteur"/>
        <s v="PB de marche automatique du transbordeur"/>
        <s v="Problème sur capteur de cisaille"/>
        <s v="Arbre principale tordu"/>
        <s v="Trou de fixation du cabestan taraudés usés"/>
        <s v="Défaut d'ajustement des pieds de la table"/>
        <s v="Arbre d'entrainement cisaillé"/>
        <s v="défaillance de position du capteur de proximité"/>
        <s v="Démontage du cabestant pour chargement "/>
        <s v="Problème sur presse de soudage"/>
        <s v="Décalage de la table elevatrice"/>
        <s v="blocage au niveau de la pompe"/>
        <s v="Changement de 3 galets lisse + 6 roulements "/>
        <s v="Rupture de la courroie thermosoudable du retourneur"/>
        <s v="Aficheur colorant endommagé"/>
        <s v="débit d'eau faible"/>
        <s v="Absence de jet d'adjuvant"/>
        <s v="Pompe HS"/>
        <s v="Usure de la chappe du vérin du tiroir ( filetage foiré)"/>
        <s v="Cable moteur endommagé"/>
        <s v="Jeu sur galet"/>
        <s v="Défaillance du clapet antiretour double effet"/>
        <s v="Défaillance pompe à eau"/>
        <s v="Axe du réducteur endommagé"/>
        <s v="Jeu sur galet de guidage"/>
        <s v="Tige de fixation du réducteur endommagée"/>
        <s v="Fixations de l'embrayage endommagées"/>
        <s v="Fuite interne au niveau du vérin"/>
        <s v="Circuit de graisse bouché"/>
        <s v="Came déréglée"/>
        <s v="Galet de dressage endommagé"/>
        <s v="Blocage du tiroir au niveau du retour du du vérin"/>
        <s v="Chute de pression ( accumulateur HS°"/>
        <s v="Réception du porte clavette"/>
        <s v="Axes d'assemblage usés + roulement bobinoir endommagé"/>
        <s v="Usure de la bande reflechissante du capteur infrarouge"/>
        <s v="Commutateur endommagé "/>
        <s v="Axe plongeur flechi"/>
        <s v="Grille du tiroir usée"/>
        <s v="Chariot collecteur usé"/>
        <s v="Cable antigiratoire endommagé"/>
        <s v="Blocage de la porte de la bouche"/>
        <s v="Commutateur usé"/>
        <s v="Rouleaux usés"/>
        <s v="Fixation de la presse de soudage foirée"/>
        <s v="Blocage au niveau du circuit du feuillard"/>
        <s v="Surface du cabestan usée"/>
        <s v="Blocage au niveau de la vis à ciment"/>
        <s v="Chute de pression (crépine endomagée"/>
        <s v="Pb sur réducteur"/>
        <s v="Galet bloqué"/>
        <s v="Support de couteau cassé"/>
        <s v="Fuite interne au niveau du distributeur d'air"/>
        <s v="Chute de pression Alimention en eau"/>
        <s v="Fuile d'huile"/>
        <s v="Panne variateur"/>
        <s v="Arbre du réducteur SITI endommagé"/>
        <s v="niveau d'huile insuffisant"/>
        <s v="Jeu sur galets de dressage"/>
        <s v="Carte DO633 endommagée"/>
        <s v="Rotor usé"/>
        <s v="Courroies usés"/>
        <s v="Fuite d'air (vessie endommagée)"/>
        <s v="Arbre hexagonale usé"/>
        <s v="Fuite d'huile sur bloc d'entrainement"/>
        <s v="Vérin endommagé"/>
        <s v="Roue d'expulsion endommagée"/>
        <s v="Fixation des fiches de connexions endommagée "/>
        <s v="Blocage au niveau du réducteur (pignon endommagé)"/>
        <s v="Flector d'accouplement endommagée"/>
        <s v="Entretien correctif planifié"/>
        <s v="Bobine de refroidissement endommagée"/>
        <s v="Commutateur de démarrage endommagé"/>
        <s v="pb sur cisaille"/>
        <s v="Redresseur rebagué chez tourneur"/>
        <s v="Pb de commande de levage"/>
        <s v="Cable électrique endommagé"/>
        <s v="Capteur de proximité endommagé (mauvaise qualité)"/>
        <s v="Rupture d'une chaine B12"/>
        <s v="Manque d'huile"/>
        <s v="Echauffement anormal du compresseur"/>
        <s v="Fuite d'air sur vessies pneumatique"/>
        <s v="Pb de commande electrovanne"/>
        <s v="Panne variateur "/>
        <s v="Roulements poulie endommagés"/>
        <s v="PB de commande du pilon"/>
        <s v="Capteur de proximité HS"/>
        <s v="Projecteurs tout le temps allumés"/>
        <s v="Fuite d'huile au niveau du réducteur"/>
        <s v="Dépôt de calcaire dans distributeur"/>
        <s v="Révison générale"/>
        <s v="Support de vérin endommagé"/>
        <s v="piece moleuse  usé "/>
        <s v="Frein mécanique endommagé"/>
        <s v="Disfonctionnement "/>
        <s v="Fuite d'huile sur vérin de vibration"/>
        <s v="Chaine endommagée"/>
        <s v="Reflecteur endommagé"/>
        <s v="manque de phase au niveau du moteur montée descente"/>
        <s v="Palier endommagés"/>
        <s v="Module de réalimentation HS"/>
        <s v="Vis de fixation des tôles décollé"/>
        <s v="débit d'air inssufisant"/>
        <s v="Detecteur endommagé"/>
        <s v="Défaut de coupe"/>
        <s v="Circuit d'eau bouché"/>
        <s v="Colorant colmaté au niveau de la vis"/>
        <s v="Support vérin devidoir endommagé"/>
        <s v="Isolant en bakelite usé"/>
        <s v="Chaine b12 endommagée"/>
        <s v="Flexible de graisse bouché"/>
        <s v="Bruit  exessif sur rouleau"/>
        <s v="Manque de phase au niveau du moteur de la table"/>
        <s v="Pied de malaxeur usé"/>
        <s v="Niveau d'huile inssufisant"/>
        <s v="Cisaille usée"/>
        <s v="Sonde endommagée"/>
        <s v="Pb de fixation"/>
        <s v="Pompe à eau faible"/>
        <s v="Klaxon endommagé"/>
        <s v="Mamelon usé"/>
        <s v="Défaut de communication Encodeur Carte-automate"/>
        <s v="Tête de cercleuse frappant la palette de brique"/>
        <s v="Fuite d'huile au niveau de la pompe hydraulique"/>
        <s v="freinage au niveau du cabestan (1 et 2 )"/>
        <s v="Problème au niveau du guide fil"/>
        <s v="Problème au niveau du cabestan"/>
        <s v="4 Galets usés"/>
        <s v="Flexible bouché"/>
        <s v="Moteur de convoyeur agrégats"/>
        <s v="Jeu sur cassette "/>
        <s v="Système d'agitation 510"/>
        <s v="Système de soudage"/>
        <s v="Besoin en electrode"/>
        <s v="Fuite d'air au niveau du circuit"/>
        <s v="Problème de zoomage au niveau de cassette D3,4"/>
        <s v="Circuit de refroidissement des transformateurs"/>
        <s v="Circuit de graisse Cassette D8"/>
        <s v="Clavetage endommagé"/>
        <s v="Pierre meleuse usée"/>
        <s v="Probleme au niveau du cabestan"/>
        <s v="Probleme au niveau du reducteur"/>
        <s v="Vidange"/>
        <s v="2 Roulements endommagés"/>
        <s v="Came cisaille"/>
        <s v="Blocage de l'ecrou de rassemblage"/>
        <s v="Mauvais zoomage au cassette D8"/>
        <s v="Mauvais zoomage au cassette D3,2"/>
        <s v="Fuite d'air au niveau du verin de retourneur"/>
        <s v="Circuit de graissage de cassette D4,8"/>
        <s v="Moteur de poste soudeur"/>
        <s v="Fuite d'air sur le distributeur"/>
        <s v="Galet et accouplement endommagés"/>
        <s v="Roue codeuse"/>
        <s v="Blocage du vérin cercleuse N6"/>
        <s v="Vis desserrés"/>
        <s v="Fuite d'huile au niveau du chariot transporteur "/>
        <s v="Fuite d'air au niveau du vérin de cisaille"/>
        <s v="Socle de fixation de cassette"/>
        <s v="Fuite d'air au niveau de deplacement de cisaille"/>
        <s v="Galet de dressage"/>
        <s v="Circuit de refroidissement de cassette D10"/>
        <s v="Disjoncteur géneral 160A"/>
        <s v="Pompe de graissage"/>
        <s v="Pierre meuleuse emdomagée"/>
        <s v="Support de fixation de presse"/>
        <s v="Jeu sur cassette 3,8 galet lisse"/>
        <s v="Problème au niveau du pilon"/>
        <s v="Guide fil"/>
        <s v="Problème d'éclairage"/>
        <s v="rupture de courroie 2800 de table vibrante"/>
        <s v="Jeu sur cassette D3,2"/>
        <s v="Défaillance de détecteur de proximité"/>
        <s v="Fuite d'huile dans le reducteur du malaxeur"/>
        <s v="Chaine du convoyeur endomagée"/>
        <s v="Circuit de refroidissement D4,8"/>
        <s v="Circuit d'eau de cassette D3,2"/>
        <s v="Jeu sur cassette de D9"/>
        <s v="Jeu sur cassette D8"/>
        <s v="circuit d'eau sur cassette D3,2"/>
        <s v="Embout air comprimé endommagé"/>
        <s v="Absence indicateur Alpha c2"/>
        <s v="Jeu sur cassette de D5"/>
        <s v="jeu sur les bras d'agitation)"/>
        <s v="Disributeur HS"/>
        <s v="Galet PR5 endommagé"/>
        <s v="Cable d'alimentation electrique endommagé"/>
        <s v="Chaîne B2 simple endommagée sur le système d'agitation"/>
        <s v="PB d'accouplement"/>
        <s v="galet du système de dressage usé"/>
        <s v="Circuit de graissage de cassette D7"/>
        <s v="Circuit de graissage de cassette D5"/>
        <s v="Pignons endommagés"/>
        <s v="Fuite interne au niveau du verin moule"/>
        <s v="Jeu sur cassette D12"/>
        <s v="Manque d'huile au niveau du reservoir d'huile de refroidissement"/>
        <s v="Fuite d'huile au niveau du verin pilon"/>
        <s v="Eclairage insuffisant"/>
        <s v="Probleme au niveau de cercleur N8"/>
        <s v="Convoyeur d'agregats"/>
        <s v="Signal de commande absent"/>
        <s v="Pb de coupe"/>
        <s v="Circuit de commande de moteur chariot HS"/>
        <s v="Bielle usée"/>
        <s v="Rupture de la chaine"/>
        <s v="Silent bloc du vérin endommagé"/>
        <s v="Circuit d'eau sur cassette D9"/>
        <s v="Clavetage pignons endommagés"/>
        <s v="Manque de phase au niveau du moteur mélangeur"/>
        <s v="Detecteur de pilon"/>
        <s v="Pompe à eau endommagé"/>
        <s v="Fuite d'eau sur cassette D3,8"/>
        <s v="Jeu sur cassette D4,6 lisse"/>
        <s v="Verin de pilon"/>
        <s v="Transformateurs endommagés"/>
        <s v="Circuit de refroidissement"/>
        <s v="Grille d'agitation décalée"/>
        <s v="Jeu sur cassette D7 cranté"/>
        <s v="Circuit de graissage de cassette D3,8"/>
        <s v="Système de déplacement de cisaille"/>
        <s v="Circuit de graissage cassette bouché"/>
        <s v="Cisaille"/>
        <s v="Courroie de convoyeur d'agregats usées"/>
        <s v="Panne sur bobinoir"/>
        <s v="Cercleuse"/>
        <s v="Panne de distributeur"/>
        <s v="Panne de refroidissement"/>
        <s v="Systeme de redressement"/>
        <s v="Decalage du niveau des planches"/>
        <s v="Panne de soudage"/>
        <s v="Fixation sur le verin d'empileur"/>
        <s v="Probleme sur vis de colorant"/>
        <s v="fuite au niveau du circuit d'air"/>
        <s v="Groupe hydraulique"/>
        <s v="Panne au niveau tir-fil"/>
        <s v="Verin de pince/verin de chariot"/>
        <s v="Fissure sur grille d'agitation"/>
        <s v="Jeu sur cassette D9"/>
        <s v="Usure sur tole de revetement  malaxeur"/>
        <s v="Moteur de translation"/>
        <s v="Moteur elevateur"/>
        <s v="blocage du feuillard dans le circuit"/>
        <s v="Fissure au niveau du tiroir d'agitation"/>
        <s v="probleme au niveau du reducteur de transbordeur"/>
        <s v="Panne sur cassette D3,4"/>
        <s v="Panne sur cassette D10"/>
        <s v="Jeu sur trappe malaxeur"/>
        <s v="Rupture de chaine descendeur"/>
        <s v="Pompe d'eau"/>
        <s v="Railles du transbordeur"/>
        <s v="Panne sur savonniere"/>
        <s v="Plieuse"/>
        <s v="Pompe d'eau du malaxeur"/>
        <s v="Malaxeur"/>
        <s v="Fissure au niveau de la tole de table vibrante"/>
        <s v="Encodeur endommage"/>
        <s v="Defaillance de maintien de feuillard "/>
        <s v="Dereglage de chaine de descenceur"/>
        <s v="Surcharge sur le transformateur T4"/>
        <s v="Cable antigiratoire coupe"/>
        <s v="usure de 6 roulements 32008"/>
        <s v="Flexible d'eau bouche"/>
        <s v="Fixation de verin endommage"/>
        <s v="Circuit d'eau cassette D3,2"/>
        <s v="2eme vitesse du moteur chariot ne fonctionne pas(fil de cable commande coupé)"/>
        <s v="Dereglage de raille de guide fil"/>
        <s v="Support de rail endommage (probleme d'alignement des rails)"/>
        <s v="Fuite d'huile au niveau du compresseur(Flexible endommage)"/>
        <s v="Jeu sur cassette/Usure de 4 roulements 32008"/>
        <s v="Chaine endomagée"/>
        <s v="Réducteur endommagé(Tapis beton)"/>
        <s v="Chape endommagé au niveau du vérin"/>
        <s v="Dereglage de pression d'air"/>
        <s v="Surchaufage au niveau du systeme de soudage"/>
        <s v="Fils de cable d'alimentation coupé"/>
        <s v="Dereglage de temperature"/>
        <s v="usure au niveau des bagues d'isolation d'électrode"/>
        <s v="Fil coupé dans la boite de commande "/>
        <s v="Defaillance de reducteur du transbordeur"/>
        <s v="Fuite d'eau au niveau de la pompe "/>
        <s v="Cables d'alimentation de la commande coupés "/>
        <s v="Jeu sur galet de redresseur "/>
        <s v="Pompe d'eau endommagé "/>
        <s v="Pompe endommagée "/>
        <s v="Molette grippé(Blocage du feuillard sur la cercleurse N8"/>
        <s v="Chariot collecteur endommagé"/>
        <s v="Vis de fixation (porte electrode ) cassé"/>
        <s v="Support de presse de soudage endommagé"/>
        <s v="Desserage de tendeur de chaine"/>
        <s v="Table de vibreur usée"/>
        <s v="Axe de pompe usé"/>
        <s v="Fin duree de vie de courroie tapis"/>
        <s v="Vis de fixation du plot de contact cassé"/>
        <s v="Probleme au niveau de la commande du vibreur "/>
        <s v="Courroie 1570 coupée"/>
        <s v="Coupure de 2 courroie thermosoudable"/>
        <s v="Mauvais fonctionnement de la balance "/>
        <s v="Deux cables de commande en contact"/>
        <s v="Circuit de graisssage bouché "/>
        <s v="Blocage du distributeur et filtre d'air"/>
        <s v="Probleme au niveau de l'installation du circuit de commande de verin colorant"/>
        <s v="Mauvais fixation du guide fil"/>
        <s v="La porte du ciment ne s'ouvre pas"/>
        <s v="Tuyau d'air endommagé"/>
        <s v="Bielle cassée"/>
        <s v="Fuite d'huile au niveau de verin du tiroir "/>
        <s v="Durcissement de ciment dans le vis"/>
        <s v="Circuit de graissange bouché"/>
        <s v="Pignons de transmission usés"/>
        <s v="usure de 2 roulements 32008"/>
        <s v="Blocage du verrin de griffe"/>
        <s v="Vis cassé dans l'electrode de soudage "/>
        <s v="Clavette d'accouplement et pignon usé"/>
        <s v="Jeu sur le suppor de presse soudage "/>
        <s v="Decalage du photo-collecteur"/>
        <s v="Probleme au niveau du detecteur de cisaille , pignon usé"/>
        <s v="Fuite d'huile au niveau du pince "/>
        <s v="Jeu sur la cassette "/>
        <s v="Usure sur la surface du cabeston "/>
        <s v="Fixation de goulotte "/>
        <s v="Prise rapide endommage et raccord flexible endommagé"/>
        <s v="Cable de commande endommagé"/>
        <s v="Usure des galets du chariot "/>
        <s v="Mauvais fonctionnement du capteur"/>
        <s v="usure de fixation du support presse de soudage"/>
        <s v="Serre clipse endommagé"/>
        <s v="Réducteur du transbordeur endommagé"/>
        <s v="Cable de la commande arraché"/>
        <s v="2 vis cassés au niveau du chariot support "/>
        <s v="Reducteur pince endommagé"/>
        <s v="Coupure de 2 courroies G22"/>
        <s v="Vis cassé dans la chaine du descenseur"/>
        <s v="Fuite d'eau au niveau de l'axe du galet"/>
        <s v="Vis bloqué a cause du surchauffage"/>
        <s v="Reducteur et moteur endommagé "/>
        <s v="Mauvaise fixation du frein du moteur "/>
        <s v="Coupure du cable antigiratoire "/>
        <s v="Support de galet d'empileur cassé"/>
        <s v="Elingue de lévage/maillon d'assemblage usé"/>
        <s v="2 roulements 32008 usés"/>
        <s v="Usure de la gorge de la polie"/>
        <s v="Modules d'automates endommagé"/>
        <s v="Assistance de production"/>
        <s v="Chariot guide-fil endommagé"/>
        <s v="Mauvais fonctionnement de la pompe "/>
        <s v="Tige du tendeur de la cisaille endommagé"/>
        <s v="Axe de rouleau usé"/>
        <s v="Probleme au niveau du frein du moteur descenseur "/>
        <s v="Vis cassées"/>
        <s v="Cable antigiratoire coupé"/>
        <s v="2 courroies thermo usées"/>
        <s v="Presse etoupe usée"/>
        <s v="Cable de puissance coupé"/>
        <s v="Dereglage du débit du vérin"/>
        <s v="Silent bloc du moule endommagé"/>
        <s v="Courroie 2008 coupée"/>
        <s v="Jeu sur cassette/Usure de 2 roulements 32008"/>
        <s v="Probleme au niveau du pince de la cisaille / roulement 6004 endommagé"/>
        <s v="Pierre  meuleuse endommagé"/>
        <s v="Tige M14 cassée au niveau du guide fil "/>
        <s v="Courroie coupé"/>
        <s v="Usure du cadre glissant / grille endommagé"/>
        <s v="Mal fonctionnement de fin de course du pousse planche "/>
        <s v="Manométre endommagé"/>
        <s v="Entretien complet de la cassette d5"/>
        <s v="Installation du frigo "/>
        <s v="Courroie1760 coupé"/>
        <s v="3 courroies usées"/>
        <s v="Flexible d'huile endommagé"/>
        <s v="Probleme au niveau de la presse de soudage"/>
        <s v="Flexible de graissage endommagé et embout+raccord usé"/>
        <s v="Vis tendeur cassé"/>
        <s v="Usure de 2 roulements 6000"/>
        <s v="Echappe du verin "/>
        <s v="Usure de 4 roulements 32008"/>
        <s v="Levier usé"/>
        <s v="Manque de phase au niveau du ventilateur moteur"/>
        <s v="Moteur cisaille"/>
        <s v="Terminal MP277 touch endommagé"/>
        <s v="Usure de surface du cabestan "/>
        <s v="Pignon d'accouplement endommagé"/>
        <s v="Arbre réducteur endommagé"/>
        <s v="2 roulements du galet de redressement usés"/>
        <s v="Usure du filtage et ressort endommagé"/>
        <s v="Manque de manometres"/>
        <s v="Guide"/>
        <s v="Dereglage de la table elevatrice "/>
        <s v="probleme au niveau du systeme de guidage "/>
        <s v="Ressort endommagé"/>
        <s v="Probleme au niveau du support porte electrode"/>
        <s v="Galet cranté endommagé et 6 roulements endommagés "/>
        <s v="Fuite d'air au niveau de la pompe/mamelon 1/8 endommagé"/>
        <s v="Galet PR8 endommagé"/>
        <s v="Tige de tendeur de la bande à béton endommagé"/>
        <s v="Rouleux endommagé "/>
        <s v="Fuite d'air au niveau de vérin / prise rapide endommagé "/>
        <s v="Décalage du table vibrante "/>
        <s v="Roue d'explusion endommagé "/>
        <s v="Lame de soudage usé et résistance endommagé "/>
        <s v="Niveau d'huile insuffisant au niveau du réducteur "/>
        <s v="Fin de course endommagé "/>
        <s v="Galet lisse endommagé et usure de 8 roulements "/>
        <s v="Fuite d'huile au niveau de flexible "/>
        <s v="Jeu au niveau du came "/>
        <s v="Fuite interne au niveau de vérin "/>
        <s v="Accouplement usé "/>
        <s v="Flow switch endommagé "/>
        <s v="Cassette endommagé"/>
        <s v="Fusible 6A endommagé "/>
        <s v="Interrupteur endommagé "/>
        <s v="Couteau usé "/>
        <s v="Detecteur de proximité endommagé "/>
        <s v="Fuite au niveau du circuit d'eau "/>
        <s v="Vis endommagé "/>
        <s v="Hexagon usé "/>
        <s v="Tige filtée usée"/>
        <s v="Probleme au niveau du couteau de la cercleuse"/>
        <s v="Detecteur de position endommagé  "/>
        <s v="Pignon d'accouplement endommagé et chaine B12 usé "/>
        <s v="Circlips de vérin endommagé "/>
        <s v="Panel tactile endommagé"/>
        <s v="Ballon d'eau endommagé"/>
        <s v="Pompe à eau endommagée"/>
        <s v="Entretien du circuit de refroidissement"/>
        <s v="PB transfos"/>
        <s v="Roulements de tendeurs usé"/>
        <s v="Fuite interne au niveau du vérin du transbordeur"/>
        <s v="Rupture de courroie 1600"/>
        <s v="Rouleau endommagé"/>
        <s v="Fuite d'huile au niveau de la table vibrante"/>
        <s v="Rupture d'un tuyau d'air comprimé"/>
        <s v="Rupture de 2 courroies A50"/>
        <s v="Rupture de la chaine B12"/>
        <s v="Réducteurs endommagés"/>
        <s v="Ecrous en bronze endommagés"/>
        <s v="Transformateur n3 grillé"/>
        <s v="Servomoteur HS"/>
        <s v="Cable d6 endommagé"/>
        <s v="Déterioration des vis de frein"/>
        <s v="Révision générale"/>
        <s v="Déterioration de la poulie"/>
        <s v="Fuite d'huile au niveau du vérin de cisaille"/>
        <s v="Fuite d'air au niveau du vérin du  crochet du transporteur"/>
        <s v="Moteur endommagé"/>
        <s v="Absence transformateur"/>
        <s v="Racleur endommagé"/>
        <s v="Mauvais contact au niveau de la boite à borne "/>
        <s v="Vis endommagés"/>
        <s v="Réducteur enommagé"/>
        <s v="clavette endommagé"/>
        <s v="Déterioration d'un rouleau convoyeur"/>
        <s v="Deterioration des poulies guide fils"/>
        <s v="Porte malaxeur endommagé"/>
        <s v="Clavette endommagée"/>
        <s v="Changement des vis + serrage"/>
        <s v="Roulements endommags"/>
        <s v="Cone de fixation endommagé"/>
        <s v="Panne distributeur"/>
        <s v="Usure de surface"/>
        <s v="Roulement du devidoir endommagés"/>
        <s v="defaillance des ronlements  "/>
        <s v="sur charege "/>
        <s v="Desserage de la vis de réglage du frein"/>
        <s v="l'ampe grillee "/>
        <s v="Tendeur sortie cercleuse N8"/>
        <s v="Arbre et roulements endommagés"/>
        <s v="Chariots usés"/>
        <s v="deterionation de chaine tire hl "/>
        <s v="defaillance l'axe et ronlements "/>
        <s v="vibratinon _x000a_delerioration des roulements de vidoir "/>
        <s v="Circuit endommagé"/>
        <s v="Pieds de malaxeur usé"/>
        <s v="defaillance de pieds "/>
        <s v="deterioration des renlements"/>
        <s v="deterioretion  du flexible"/>
        <s v="vis de réglage endommagés"/>
        <s v="moteur grille "/>
        <s v="defaillance du cable matalique "/>
        <s v="vibration "/>
        <s v="vibration + l'usure du garniture "/>
        <s v="chonghement d'emplacement "/>
        <s v="l'emplacement "/>
        <s v=" - Garniture de frein de cisaille usé_x000a_- Arbre hexagonal endommagé_x000a_- Bielle de lancement des fils de trames endommagés"/>
        <s v="Défaut cable antigiratoire"/>
        <s v="Cable electrique de commande endommagé"/>
        <s v="Support de réglage du pilon endommagé"/>
        <s v="Fuite au niveau des ventouses"/>
        <s v="deterioration de roulement "/>
        <s v="mauvais  manipulation la part de operateur "/>
        <s v="l'usure "/>
        <s v="probleme du cable metalique "/>
        <s v="choc + vibration "/>
        <s v="deterioration ( fuite d'air ) "/>
        <s v="coincement  "/>
        <s v="coincement "/>
        <s v="desserrage des vis de frin "/>
        <s v="chongement vebration "/>
        <s v="deterioration de venteuse "/>
        <s v="defaillance du reducteur "/>
        <s v="Courroies endommagés"/>
        <s v="probleme tension de courroi "/>
        <s v="deteriration de reducteur "/>
        <s v="defaillance des reulements "/>
        <s v="deterioration disque embrayage "/>
        <s v="l'usure des galets "/>
        <s v="l'usure de pieds "/>
        <s v="defaillance reducteur "/>
        <s v="coincement du roulements"/>
        <s v="probleme de reglage "/>
        <s v="probleme coincement"/>
        <s v="verin de pince de tronsprteur "/>
        <s v="Problème d'alimentation air commprimé"/>
        <s v="Vis  de fixation frein endommagés"/>
        <s v="detecteur pilon endommagé"/>
        <s v="Arbre eendommagé"/>
        <s v="Clavette et circuit air comprimé HS"/>
        <s v="Défaut de tirage moteur"/>
        <s v="Detecteur sortie magasin endommagé"/>
        <s v="Mauvais contact au niveau de la boite à commande"/>
        <s v="Cable antigiratoire usé"/>
        <s v="Relais endommagés"/>
        <s v="Panne variateur (echauffement)"/>
        <s v="Ecrous en bronze et vis de fixation endommagés"/>
        <s v="Usure de surface du cabestan _x000a_Ususre des galets guide fils"/>
        <s v="Fuite d'huile au niveau du véin"/>
        <s v="Panne distributeur pneumatique"/>
        <s v="Secheur HS"/>
        <s v="Galet usés"/>
        <s v="Conê de fixation endommagé"/>
        <s v="Pb sur frein transbordeur Vis endommagés"/>
        <s v="PB sur vis à ciment"/>
        <s v="Relais endommagé "/>
        <s v="l'axe usure"/>
        <s v="verin endammagé "/>
        <s v="Balance de dosage ciment endomagée"/>
        <s v="Moteur vibreur endommagé"/>
        <s v="Photocellule endommagée"/>
        <s v="Coupleur de profibus HS"/>
        <s v="Réducteur tapis peseur endommagé"/>
        <s v="Arbre galet endommagé"/>
        <s v="usure sur bras + bielle"/>
        <s v="Pb de commande"/>
        <s v="Entretien cassette"/>
        <s v="Galet de redressement usé"/>
        <s v="Jeu au niveau du support de porte electrode"/>
        <s v="Réparation variateur"/>
        <s v="Indisponible sur le marché"/>
        <s v="chariot  ne pas mareche "/>
        <s v="usure de la surface de electrode de soudage "/>
        <s v=" boton possoir "/>
        <s v="des monter la projecteur "/>
        <s v="le vis usure"/>
        <s v="Lame de soudage endommagée"/>
        <s v="Surcharge moteur"/>
        <s v="boulons de fixation endommagés"/>
        <s v="sur charege  moteur savanor "/>
        <s v="comteur n'est pas en mareche "/>
        <s v="panne  couse "/>
        <s v="les roulements de redecteur "/>
        <s v="desserrage des vis "/>
        <s v="Chariot guide fil usé"/>
        <s v="défaut circuit de retour de pression"/>
        <s v="fuite l'air distributeur "/>
        <s v="Boulons de fixation du pignon d'attaque endommagé"/>
        <s v="Garniture d'embrayage usé"/>
        <s v="usure garnitur"/>
        <s v="de transformateur "/>
        <s v="PB sur guide feuillard"/>
        <s v="Poulies duides fils endommagés"/>
        <s v="la came dérgler "/>
        <s v="Courroies A58 endommagées"/>
        <s v="Galets et roulements usés"/>
        <s v="cable electrique de commande rupture "/>
        <s v="vis de frin cassé "/>
        <s v="Rupture de la chaine de transmission"/>
        <s v="Filtres supérieur colematés"/>
        <s v="Dispositif de coupe usé"/>
        <s v="machain ne bougent pas _x000a_rupteur sur cable electrique "/>
        <s v="probleme du flexible d'lui le pince "/>
        <s v="guide rile casse "/>
        <s v="soudage disboutiv"/>
        <s v="moteur "/>
        <s v="cable rupturé "/>
        <s v="coupé de la chaine "/>
        <s v="fuite de l'air "/>
        <s v="cache de bansse de verin"/>
        <s v="moteur de rouleau dérègler "/>
        <s v="Panne cassette"/>
        <s v="désaccouplement du moteur et de la pompe"/>
        <s v="Entretien du bloc de soudage"/>
        <s v="panne electrique en disjancteur "/>
        <s v="axe de blangeur et transformateur "/>
        <s v="Entretien technicien Poyatos"/>
        <s v="isolaut porte electrod endommager "/>
        <s v="Roulements endomagés"/>
        <s v="cable dediectur"/>
        <s v="Usure des tôles du convoyeur d'agrégats et tremies"/>
        <s v="Surface cabestan usée / Circuit de refroidissement bouché"/>
        <s v="manter ne pas marech"/>
        <s v="moteur translation ne pas mareche_x000a_  cable electrique coupé "/>
        <s v="Système de translation bloqué"/>
        <s v="usure des galeis "/>
        <s v="surcharege moteur thermique "/>
        <s v="Fissure sur la grille d'agitation"/>
        <s v="Usure de pale de pates "/>
        <s v="Paumelles endommagés"/>
        <s v="projecteur ne pas alleme "/>
        <s v="cable electrique coupé "/>
        <s v="Defaut de soudage"/>
        <s v="Chariot endommagé + Surface poulie usé"/>
        <s v="Compresseur HS"/>
        <s v="Rupture de la courroie 1760"/>
        <s v="Bruit anormal au niveau du servomoteur de tirage"/>
        <s v="cisaille ne fonction pas "/>
        <s v="vidange d'hiule "/>
        <s v="roulement due moteur endomage "/>
        <s v="boton possoir casser "/>
        <s v="courrioes"/>
        <s v="Decalage du système de vibration"/>
        <s v="Pb de refoulement de la pompe à adjuvant"/>
        <s v="défaut variateur"/>
        <s v="fixation vibron casse "/>
        <s v="cisaille dérage "/>
        <s v="la came de cisaille deplacer"/>
        <s v="Ecrous d'assemblage endommagé"/>
        <s v="manque phase par pont roulant "/>
        <s v="coupaire de la cable "/>
        <s v="Cable tranbordeur usé"/>
        <s v="electrovan pnematique "/>
        <s v="usur des roulement "/>
        <s v="Reducteur endommagé"/>
        <s v="electrovane "/>
        <s v="Absence du reducteur avant"/>
        <s v="Défaut de zoomage cassette"/>
        <s v="comitateur est casse "/>
        <s v="freinage de moteur "/>
        <s v="bage brenze usie "/>
        <s v="chape usie "/>
        <s v="Galet de guidage endommagé "/>
        <s v="injecteur ne pas marche "/>
        <s v="probleme de boton possoir "/>
        <s v="copie de la cable "/>
        <s v="berisa de soudage "/>
        <s v="moteur tiroir ne pas marche "/>
        <s v="comitateur ne foction pas "/>
        <s v="moteur vibration en defant "/>
        <s v="buide de omlion d'air"/>
        <s v="Feuillard bloqué "/>
        <s v="copie de courrioe "/>
        <s v="d'arber usur "/>
        <s v="transfomateur "/>
        <s v="Usure de la lame de coupe"/>
        <s v="decalage de guide "/>
        <s v="transformateur changer "/>
        <s v="comitateur en dommage "/>
        <s v="deblassement bouone de balase "/>
        <s v="copie du courrioe "/>
        <s v="roulement endommager "/>
        <s v="Supports du rouleaux convoyeur endommagés"/>
        <s v="dansem casse et detecteur de proscimite"/>
        <s v="la l'ampe"/>
        <s v="Vérin hydraulique cisaillé"/>
        <s v="l'axe usur "/>
        <s v="rou crouse endommager "/>
        <s v=" pignion de transmission "/>
        <s v="Usure des guides du descensseur"/>
        <s v="usur bloc soudure"/>
        <s v="Usure sur courroies retourneur"/>
        <s v="3 chariots guides cables endommagés"/>
        <s v="blocage du cartouche"/>
        <s v="blocage du clapet double silotage"/>
        <s v="Vérin Porte electode boqué"/>
        <s v="cantacteur manque de phase "/>
        <s v="état du fil cranté non coformé "/>
        <s v="Came de cisaille dereglée"/>
        <s v="comùitateur de position "/>
        <s v="les roulement conique sur partie cranté"/>
        <s v="MAnque de pression"/>
        <s v="les roulement conique endommagé "/>
        <s v="circuité d'air du fermeture porte ( bauché ) "/>
        <s v="les goupielle daimmetre 7 sur cércleuse cesayé "/>
        <s v="usere sur joint torique _x000a_usere des silent bloc "/>
        <s v="usure sur guide chaine "/>
        <s v="disjancteur declancher "/>
        <s v="cable electrique endomager "/>
        <s v="alimantation electrique "/>
        <s v="defaut machine "/>
        <s v="acoplement defictieuse "/>
        <s v="Distributeur obstrués"/>
        <s v="endomanagement du poulie dentée _x000a_ruputure du courroie double crantée _x000a_alignement du feuillard n'est pas correct"/>
        <s v="transformateur du soudage 2 émé pas marche "/>
        <s v="un pied sur poste deréglé "/>
        <s v="ecrous d'assemblage du bobiniare endommagé "/>
        <s v="les roulements conique endomage  ( la dure de vus du roulement ) "/>
        <s v="usure"/>
        <s v="Roulement endommagés"/>
        <s v="Pb sur pont de soudage"/>
        <s v="sertissage non conforme "/>
        <s v="la surface de cabistan usé "/>
        <s v="polét guide file du cassette passe 3 ==&gt; usé "/>
        <s v="file cranté du daimmetre 3,2 non conforme "/>
        <s v="les roulement conique endomage "/>
        <s v="flexible de graissage endomege "/>
        <s v="Usure des lames du Rouleau"/>
        <s v="les roulements conique endommagé "/>
        <s v="Pb sur frein moteur"/>
        <s v="durée de vie "/>
        <s v="Alimentation 24DC endommagée"/>
        <s v="blocage sur frin bobinaire "/>
        <s v="fuite d'eau au neveau partie entrer sur cassette daimmetre 4,6 L "/>
        <s v="Vis de fixation du mécanisme endommagé"/>
        <s v="les boulon de fexation pignon d'attaque et pignon du rotation ==&gt; cisaillement  "/>
        <s v="blocage biston du pompe "/>
        <s v="un galét cranté endommagé "/>
        <s v="Frein endommagé"/>
        <s v="les roulements conique sur cassette endommagé "/>
        <s v="les roulements endommagé "/>
        <s v="fuite au neveau circuit  du graissage "/>
        <s v="Pb sur vérin bobinoir"/>
        <s v="Ruptures de cables de commande"/>
        <s v="Blocage des galets du système d'avancement"/>
        <s v="Cable de levage endommagé"/>
        <s v="fissure "/>
        <s v="fuit d'air + coteau endomage "/>
        <s v="cable du support cesayer "/>
        <s v="Rupture du vable 'alimentation"/>
        <s v="prableme sur disque enbrayage "/>
        <s v="Défaut de freinage ( fuite d'air"/>
        <s v="chute pédole "/>
        <s v="galét cranté endomage "/>
        <s v="Distributeur bloqué"/>
        <s v="blocage au neveau ecrou serrage des galét "/>
        <s v="Galet guide fil bloqué en position haut"/>
        <s v="Distributeur de galet de tirage obstrué"/>
        <s v="Vis de fixation d'electrode endommagé"/>
        <s v="blocage du chainene de transmission "/>
        <s v="Moteur cisaille bloqué"/>
        <s v="Garniture moteur usée"/>
        <s v="blocage au neveau moteur du savonaire "/>
        <s v="la durie vie du roulement conique "/>
        <s v="Pb electrique"/>
        <s v="un galét lisse sur partie entré du cassette endomage "/>
        <s v="Clavetage moteur endommagé"/>
        <s v="Galet guide fil endommagé"/>
        <s v="Détecteur de priximité dereglé"/>
        <s v="Entretien general"/>
        <s v="Fuite d'air (tuyau PPR endommagé)"/>
        <s v="Cisaillement de la chape de vérin"/>
        <s v="Jeu sur roulement galet cranté"/>
        <s v="Panne du dispositif guide fil"/>
        <s v="PB de commange"/>
        <s v="Défaut sur galet de dressage"/>
        <s v="Accouplement endommagé"/>
        <s v="Changement du cable antigiratoire"/>
        <s v="Panne de plongeur"/>
        <s v="Usure des bras d'agitation et de la grille d'agitation"/>
        <s v="Jeu sur galet lisse"/>
        <s v="Roulement boite de transmission endommagés"/>
        <s v="Came déreglée"/>
        <s v="Vérin moule endommagé"/>
        <s v="Usure de la fixation des griffes "/>
        <s v="Rupture de la chaine tendeuse du convoyeur à palette"/>
        <s v="Distributeur endommagé"/>
        <s v="Fuite interne au niveau du distributeur hydraulique"/>
        <s v="Fuite d'eau sur pompe d'alimentation"/>
        <s v="Galet guide fil coincé"/>
        <s v="Raccord d'eau endommagé"/>
        <s v="Blocage du convoyeur à cause de la présence d'UPN 80 Bloqué"/>
        <s v="Roulements du système d'avancement endommagés"/>
        <s v="Rouelemnt de poulie endommgé"/>
        <s v="Rupture des courroies d'entrainement"/>
        <s v="Coussinets de colonnes endommagés"/>
        <s v="Poulie guide fil bloqué"/>
        <s v="Jeu sur roulements coniques 32008"/>
        <s v="Blocage au niveau du réducteur"/>
        <s v="Roulements endommagés "/>
        <s v="Tete du bobinoir bloqué"/>
        <s v="Intervention Schlatter"/>
        <s v="Jeu sur roulement"/>
        <s v="Jeu sur danseur"/>
        <s v="Comutateur endommagé"/>
        <s v="Vis de fixation de socle du bobinoir endommagés"/>
        <s v="Vérin tiroir endommagé"/>
        <s v="Tôle de la table vibrante endommagée"/>
        <s v="Rouelemnts endommagés"/>
        <s v="Surface endommagé"/>
        <s v="Poulie guide fil de la sautrelle coincée"/>
        <s v="Chape de vérin de ridelles endommagé"/>
        <s v="Dmontage pour rectif chez tourneur"/>
        <s v="Chariot en limite"/>
        <s v="Problème sur une entrée de la carte"/>
        <s v="Carte siemens endommagé"/>
        <s v="Isolant usé"/>
        <s v="PB sur variateur (rupture cable moteur"/>
        <s v="Surchauffe variateur"/>
        <s v="Système de fixation du pignon d'attaque defaillant"/>
        <s v="Défaut cable d'alimentation"/>
        <s v="Roulement des galets de dressage endommagé"/>
        <s v="Vis sans fin coincé"/>
        <s v="Usure de surface du cabestan"/>
        <s v="Tige d'assemblage bobinoir endommagé"/>
        <s v="Relais statique endommagé"/>
        <s v="Galet guide fil danseur usé"/>
        <s v="Défaut ballon d'eau"/>
        <s v="Cable d8 endommagé"/>
        <s v="Cercle de chariot endommagé"/>
        <s v="Détecteur de proximité translation endommagé"/>
        <s v="Court circuit au niveau du cable moteur"/>
        <s v="Blocage relais d'urgence"/>
        <s v="Circuit de refroidissement bouché "/>
        <s v="Défaut sur boutton"/>
        <s v="Cable porte securité endommagé"/>
        <s v="Défaut sur commutateur MAN/AUTO"/>
        <s v="Défaut d'alimention"/>
        <s v="Sortie automate endommagée"/>
        <s v="Arbre bobinoir endommagé"/>
        <s v="Chariot guide fil endommagé"/>
        <s v="Cavitation"/>
        <s v="Chariot guide fil"/>
        <s v="Galet du guide fil usé"/>
        <s v="Transformateur endommagé"/>
        <s v="Défaut de réglage de fin de course de la sonde"/>
        <s v="Fuite d'huile au niveau du reducteur du malaxeur"/>
        <s v="Filet rapporté endommagé"/>
        <s v="Vis de fixation de la tête de cerclage endommagé"/>
        <s v="Rupture des courroies "/>
        <s v="Goupille d'assemblage endommagée"/>
        <s v="Dispositif guide fil"/>
        <s v="Rupture du cable de commande "/>
        <s v="Fixation cable d'alimentation endommagé"/>
        <s v="Roulement 6206 de poulie endommagés"/>
        <s v="Réducteur endommagé"/>
        <s v="Défaut moteur"/>
        <s v="Lame de coupe endommagée"/>
        <s v="Roulements endommagé"/>
        <s v="Roulement ventilateur endommagé"/>
        <s v="Boulon de fixation endommagé"/>
        <s v="Réducteur endommagée"/>
        <s v="Verin de la trabe endommagé"/>
        <s v="Surface galet usée"/>
        <s v="Fixation encodeur endommagée"/>
        <s v="Defaut sur pompe de graissage"/>
        <s v="Défaut pied de malaxage"/>
        <s v="Absence de courant ( disjoncteur HS)"/>
        <s v="Defaut variateur"/>
        <s v="Défaut de freinage "/>
        <s v="Défaut sur cable"/>
        <s v="Défaut sur variateur ( prog effacé)"/>
        <s v="Diagnostic general"/>
        <s v="Surcharge eletrique au niveau du moteur de la savonniere "/>
        <s v="Intervention OMS"/>
        <s v="Défaut d'eclairage"/>
        <s v="Jeu sur galet guide fil "/>
        <s v="Panne réducteur "/>
        <s v="Fissure du tiroir"/>
        <s v="Automate HS"/>
        <s v="Dégaut sur galet guide fil"/>
        <s v="Pression air faible"/>
        <s v="Goulotte malaxeur usée"/>
        <s v="Flecion d'un axe plongeur"/>
        <s v="Variateur HS"/>
        <s v="Courroie d'entrainement endommagée"/>
        <s v="Défaut général de courant"/>
        <s v="Système d'entrainement usé"/>
        <s v="Entretien general du tiroir"/>
        <s v="Cardre du chariot usé"/>
        <s v="Panne savonniere"/>
        <s v="Ridelles bloquées"/>
        <s v="Defaut sur frein bobinoir"/>
        <s v="Jeu sur masselote"/>
        <s v="Tiroir endommagé"/>
        <s v="tole et cadre glissant usés"/>
        <s v="Rupture d'une courroie 1760"/>
        <s v="Fuite d'huile sur poulie masselotte à cause d'un arrêt d'huile de mauvaise qualité"/>
        <s v="Danseur usé"/>
        <s v="Décalage de l'ascensseur"/>
        <s v="Motoreducteur HS"/>
        <s v="Défaut de parametrage"/>
        <s v="panne cisaille"/>
        <s v="defaut alignement axes plongeurs"/>
        <s v="Entretien de la table vibrante"/>
        <s v="Usure des rail transbordeur et galets convoyeur"/>
        <s v="Données machine supprimées"/>
        <s v="Réglage de la grille et soudage de la partie fissurée"/>
        <s v="Support de fixation vérin tiroir endommagé"/>
        <s v="Flexibl moule endommagé"/>
        <s v="Panne dispositif guide fil"/>
        <s v="Galet et arbre réducteur endommagé"/>
        <s v="Panne moteur rouleau à béton"/>
        <s v="Décalage de et cisaillement de la chaine"/>
        <s v="Panne de table elevatrice de l'empileur"/>
        <s v="Panne de guide fil"/>
        <s v="Panne de dispositif de ridelles d'empileur"/>
        <s v="Frein bloqué"/>
        <s v="Panne poulie guide fil"/>
        <s v="Teton de fixation teton endommagés"/>
        <s v="Blocage vérin"/>
        <s v="Blocage mécanique"/>
        <s v="Défaillance module de sécurité"/>
        <s v="Panne de rouleau d'avance"/>
        <s v="Blocage du reducteur de la savonniere"/>
        <s v="Blocage de guide fil"/>
        <s v="module d'entrée siemens endommagée"/>
        <s v="Axe de poulie de renvoie endommagés"/>
        <s v="Panne sur tachimetre"/>
        <s v="Panne vérin bobinoir"/>
        <s v="Panne de table d'alignement"/>
        <s v="Courroies endommagées"/>
        <s v="Panne de ridelles "/>
        <s v="Panne cassette d4,6 "/>
        <s v="Axe de fixation tendeurs table vibrante endommagés"/>
        <s v="Distributeur HS"/>
        <s v="Problèmes fréquent ( relachement des vis de réglage du frein)"/>
        <s v="Usure des pied de malaxeur"/>
        <s v="Défaut au niveau du dispositif de mesure"/>
        <s v="Défaut sur rail de guidage"/>
        <s v="Galets tiroir  usées"/>
        <s v="PB sur galets du tiroir"/>
        <s v="Courroie moteur endommagée 1850"/>
        <s v="variateur endommagé"/>
        <s v="Chaine usée"/>
        <s v="Motoréducteur endommagé"/>
        <s v="Vis de fixation palier roue endommagé"/>
        <s v="Fixation pattes malaxeur endommagé"/>
        <s v="panne tresse de soudage"/>
        <s v="Caisse de tiroir endommagé"/>
        <s v="Vis de fixation frein moteur endommagés"/>
        <s v="Boulon d'entrainement endommagé"/>
        <s v="Rupture de lacourroie 1760"/>
        <s v="Coincement feuillard"/>
        <s v="Changement tendeur courroie "/>
        <s v="Usure des pattes de malaxeur"/>
        <s v="Panne pneumatique"/>
        <s v="Réparation role malaxeur"/>
        <s v="PB sur verin pilon"/>
        <s v="Vis support endommagé"/>
        <s v="Silent bloc usés"/>
        <s v="Réparation du support de fixation et mise en marche"/>
        <s v="Support le lame de soudage endommagé"/>
        <s v="Axe exentrique endommagé"/>
        <s v="Guide lame de soudage endommagé"/>
        <s v="Fixation endommagée"/>
        <s v="galet rouleau d'avance usés"/>
        <s v="PB au niveau de l'aspiration de la pompe - crépine endommagée"/>
        <s v="Pb soudage feuillard"/>
        <s v="Fuite interne sur verin moule"/>
        <s v="Roulements galet endommagés"/>
        <s v="Entretien malaxeur et tiroir chargeur"/>
        <s v="Fuite d'huile sur verin tiroir"/>
        <s v="Guite d'huile"/>
        <s v="Absence syst refroidissement"/>
        <s v="Chape de verin endommagée"/>
        <s v="Toles rouleau à beton usée"/>
        <s v="Roulement poulie contrepoid endommagé"/>
        <s v="Desserage de l'ecrou de reglage hauteur"/>
        <s v="Panne vibreur"/>
        <s v="Ecrou d'assemblage bobinoir usé"/>
        <s v="PB pression pilon"/>
        <s v="Pression accumulateur 0 bar"/>
        <s v="Clavetage et alesage arbre galet endommagés"/>
        <s v="clavetage roue d'entrainement usé"/>
        <s v="Teton de blocage endommagé"/>
        <s v="Pb de refoulement de la pompe à eau"/>
        <s v="Echauffement servomoteur"/>
        <s v="Circtui de refroidissement bouché"/>
        <s v="Poulie guide fil usée"/>
        <s v="Usure des ventouses du moules"/>
        <s v="Guide fil inferieur endommagé"/>
        <s v="Presse de soudage usée"/>
        <s v="Changement du cable du pont roulant"/>
        <s v="usure de la chaine"/>
        <s v="Defaut machoires de serrage"/>
        <s v="Fixation tete de cerclage endomagée"/>
        <s v="Fuite interne au niveau du verin pneumatique"/>
        <s v="Clavetage arbre et bielle de transmission endommagé"/>
        <s v="Defaut de zommage "/>
        <s v="roulemens usés"/>
        <s v="Defaut regulateur de pression pneumatique"/>
        <s v="Surface poulie guide fil usée"/>
        <s v="Fuite verin pilon"/>
        <s v="Rupture courroie 2800"/>
        <s v="Clapet eau colmaté"/>
        <s v="Fin de course endommagé"/>
        <s v="Courroie de recuperation endommagée"/>
        <s v="Aptte de malaxeur usés"/>
        <s v="Panne verin malaxeur"/>
        <s v="Usure du support de porte electgrode"/>
        <s v="Fixation verin endommagée"/>
        <s v="Defaut d'alignement du guide fil"/>
        <s v="Fixation du verin pneumatique endommagé"/>
        <s v="Blocage des griffes d'empileur"/>
        <s v="Guide de transbordeur endommagé"/>
        <s v="Fixation verin de soudage endommagé"/>
        <s v="Fuite au niveau du verin pousse planche"/>
        <s v="Panne moteur"/>
        <s v="Defaut au niveau de la came "/>
        <s v="Fixation des bras d'agitation endommagée"/>
        <s v="Roulement masselottes usés"/>
        <s v="Blocage vis à ciment"/>
        <s v="Usure de la tôle et du cadre glissant"/>
        <s v="Roulements du moteur vibreur endommagés"/>
        <s v="Probleme au niveau de la lance"/>
        <s v="Fuite d'huile au niveau du verin de transfert"/>
        <s v="patte moteur endommagés"/>
        <s v="Fissure des rails de transbordeur"/>
        <s v="Coincement de la porte du malaxeur"/>
        <s v="Fuite d'adjuvant du malaxeur"/>
        <s v="Modifcation pour hourdis 70cm à plancher réticulé"/>
        <s v="Decalage de la table vibrante"/>
        <s v="Usure des pignons du reducteur"/>
        <s v="Bielle d'entraitenement endommagé"/>
        <s v="Defaut mode automatique empileur"/>
        <s v="Bras de la grille d'agitation endommagés"/>
        <s v="Cable skip usé"/>
        <s v="Rouelements usés"/>
        <s v="Pannes dispositifi ridelle d'empileur"/>
      </sharedItems>
    </cacheField>
    <cacheField name="Type d'intervention2" numFmtId="0">
      <sharedItems containsBlank="1"/>
    </cacheField>
    <cacheField name="Détail Intervention" numFmtId="0">
      <sharedItems containsBlank="1" count="1915" longText="1">
        <s v="Réglage de la pression de l'air pour l'ajustement des cames de la cisaille"/>
        <s v="Nettoyage, démontage de la cassette  3,20 - changement des roulement endommagés"/>
        <s v="Rajout d'huile hydraulique "/>
        <s v="Détection du court circuit au niveau du circuit d'alimentation des ampoules se situant au dessus du malaxeur, changement des fils endommagé."/>
        <s v="Découpe +perçage des électrode en cuivre"/>
        <s v="Vidange du réducteur du mélangeur "/>
        <s v="Diagnostic : Mesure d'isolement +mesure de continuité du motofrein montée descente"/>
        <s v="Elimination d'une fuite d'huile au niveau de la cisaille : changement d'un flexible hydraulique"/>
        <s v="Découpe + surfaçage des électrodes en cuivre"/>
        <s v="Changement du vérin du moule ( le premier avait une fuite au niveau du raccord)"/>
        <s v="Tension des chaines du descenseur"/>
        <s v="Soufflage des cercleuses et nettoyage de la tete chauffante "/>
        <s v="Réarmement du disjoncteur général ( le disjoncteur est tombé à cause d'une collision entre deux ponts roulants)"/>
        <s v="Changement d'un flexible de refroidissement"/>
        <s v="Vidange de la fosse séptique"/>
        <s v="Montage des pièces du réducteur des vis à ciment"/>
        <s v="Démontage du frein endommagé de la grue à tour"/>
        <s v="Changement de 6 roulement 32008 partie crantée + Zoomage"/>
        <s v="Changement des boulons de fixation du bobinoir ( boulons endomagés)"/>
        <s v="Elimination d'une fuite au niveau du réducteur  du mélangeur"/>
        <s v="Réglage du potentiométre du devidoir + changement des silents blocs du danseur"/>
        <s v="Dressage des barres du guides fils"/>
        <s v="Montage du frein (Monté-Descente)"/>
        <s v="Découpe électrodes en cuivre"/>
        <s v="Changement des nécessaires du vérin du moule"/>
        <s v="Réparation du circuit électrique de commande"/>
        <s v="Débouchage du circuit de refroidissement du cabestan"/>
        <s v="Débouchage du circtuit de refroidissement de la cassette PR8"/>
        <s v="Début des travaux de changement des plaques translucides "/>
        <s v="Extraction d'une vis + taraudage du support du vibreur"/>
        <s v="Changement d'un pignon tendeur de la chaine de la table élévatrice"/>
        <s v="Changement de 6 roulement  partie crantée de la cassette PR10"/>
        <s v="Changement des roulements du réducteur du mélangeur + Changement des roulement du support de pales + Vidange du réducteur"/>
        <s v="Perçage + taraudage du support de fixation des électrodes du sabot de soudage"/>
        <s v="Changement d'un flexible de refroidissement endommagé"/>
        <s v="Changement de l'axe de fixation du vérin du pilon"/>
        <s v="Montage de la vis sans fin + l'écrou en bronze de la table élévatrice "/>
        <s v="Perçage + taraudage du support de fixation des distributeurs pneumatiques de la cisaille"/>
        <s v="Fin des travaux au niveau du mélangeur"/>
        <s v="Changement des pales de pates du malaxeur"/>
        <s v="Soudage des courroies thermosoudables sortie presse +  Montage"/>
        <s v="Début des travaux sur le moteur du cabestan n°4"/>
        <s v="intervention du plombier pour le débouchage du circuit de refroidissement du cabestan"/>
        <s v="Changement du moteur monté descente de la pince"/>
        <s v="Purge du circuit d'alimentation de l'adjuvant"/>
        <s v="Réparation de l'electrovanne de distibution de l'air comprimé"/>
        <s v="Changement des joints interne du vérin pneumatique de mouvement de la cisaille"/>
        <s v="Changement D'une prise rapide pneumatique du dévidoir"/>
        <s v="Montage du moteur monté descente de la pince marque neri motori "/>
        <s v="Changement du flexible hydraulique du pilon suite à une fuite au niveau du sertissage de celui-ci"/>
        <s v="Recherche de  l'anomalie qui cause la décéleration du moteur d'amenée des fils de trame"/>
        <s v="Démontage du frein monté descente cramé"/>
        <s v="Poulie et disque d'embrayage mis à dispostion du tourneur pour réparation"/>
        <s v="Soudage des courroies thermosoudables sortie presse "/>
        <s v="Extraction des vis des cales de guidage du moule + montage de vis neuves"/>
        <s v="Réarmement du disjoncteur général"/>
        <s v="Isolation de fils électriques"/>
        <s v="Changement d'un commutateur"/>
        <s v="Elimination d'un manque de phase"/>
        <s v="Changement du transformateur de soudage n°6"/>
        <s v="Confection de 4 electrodes PN1"/>
        <s v="Changement d'un cable de soudage du porte électrode"/>
        <s v="Perçage taraudage porte électrode"/>
        <s v="Entretien de la pompe à graisse"/>
        <s v="Démontage de la cassette 3,40 "/>
        <s v="Montage de la poulie + disque de frein + courroie + tension des courroie du moteur du cabestan n°4"/>
        <s v="Remise à niveau de la table"/>
        <s v="Extraction d'une vis + taraudage M12 au niveau du bloc"/>
        <s v="Confection de 22 électrode en cuivre "/>
        <s v="Réctification de 4 sabot porte électrode"/>
        <s v="Isolation du cable d'alimentation du moteur de la table vibrante ( élimination d'un court circuit)"/>
        <s v="Changement de la tôle de la table vibrante"/>
        <s v="Changement de la porte de l'enrouleur"/>
        <s v="Changement d'un relais à broche de mise en marche des variateurs"/>
        <s v="Changement de 4 roulement 32008 "/>
        <s v="Changement des silents blocs de la barre"/>
        <s v="Réctification de 2 sabots porte électrode"/>
        <s v="Changement d'un flexible de graissage"/>
        <s v="Dégrippage de la fixation du porte électrode"/>
        <s v="Changement de 4 roulements 32008"/>
        <s v="Extraction d'une vis + taraudage"/>
        <s v="Démontage d'un pignon et d'un galet de guidage"/>
        <s v="Changement du cable de soudure"/>
        <s v="Changement du support porte électrode -vérin"/>
        <s v="Montage d'un frein neuf + mise en place de nouveaux trous taraudés de fixation"/>
        <s v="Réglage de l'embrayage"/>
        <s v="Changement du flexible hydraulique du vérin du moule (endommagé de la partie sertie)"/>
        <s v="Nettoyage + changement de 4 roulements"/>
        <s v="Soudage de la grille d'agitation"/>
        <s v="Changement de deux axes plongeurs"/>
        <s v="Débouchage du tuyau de refroidissement des cables de courant"/>
        <s v="Remise du cable antigiratoire sur le truil principal"/>
        <s v="Réparation du mouffle +changement du cable antigiratoire"/>
        <s v="Changement du vérin de soudage"/>
        <s v="Changement de 4 roulement 32008 + flexible d'eau"/>
        <s v="Changement des tiges de fixation du moteur de levage"/>
        <s v="Changement de la résistance chauffante"/>
        <s v="Changement de 3 tige d'assemblage du bobinoir"/>
        <s v="Degrippage de la fixation de la presse de soudage"/>
        <m/>
        <s v="Panne moteur dispositif amené FT ( problème"/>
        <s v="Soudage du galet de guidage sur l'arbe principal"/>
        <s v="Montage d'un refroidisseur à radiateur au niveau du groupe hydraulique"/>
        <s v="Panne moteur dispositif amené FT"/>
        <s v="Changement de l'electrovanne d'alimentation en eau"/>
        <s v="Changement des vis de fixation"/>
        <s v="Changement de 4 roulement 32008"/>
        <s v="Démontage du moteur réducteur endommagé"/>
        <s v="Changement d'un roulement de galet"/>
        <s v="Changement de nécessaire et nettoyage de la presse"/>
        <s v="Démontage du moteur de guidage pour rebobinage"/>
        <s v="Soudage de la traverse droite de la table vibrante"/>
        <s v="Elimination d'une fuite au niveau du raccord du vérin du moule"/>
        <s v="Changement du support d'electrode"/>
        <s v="Démontage du distributeur pneumatique du guide fil endommagé"/>
        <s v="Changement du tendeur du réducteur"/>
        <s v="Changement du kit joints usé"/>
        <s v="Chnagement de 4 courroie de distribution"/>
        <s v="Changement du cable de soudage"/>
        <s v="Changement de 3 galet + 6 roulement pour modification de diametre 3,40"/>
        <s v="Mise en place d'un écran LCD à la place de l'ecran tactile de commande de la machine"/>
        <s v="Montage d'un distributeur avec adaptation des branchements"/>
        <s v="Changemene de 4 roulements 32008"/>
        <s v="Extraction d'une vis +degrippage du support de fixation"/>
        <s v="Fixation du vérin pneumatique "/>
        <s v="Changement du moteur de vibration"/>
        <s v="Calage de la table vibrante"/>
        <s v="Changement des roulement de l'injecteur de planche"/>
        <s v="changement de l'axe de fixation du vérin du moule"/>
        <s v="Changement du joint da la vanne d'alimmentation du circuit d'adjuvant"/>
        <s v="Serrage des fixations du frein moteur"/>
        <s v="Chargement de surface de la partie usée"/>
        <s v="Deblocage du silo 7"/>
        <s v="Remise en place du transbordeur et fixation des cibles de capteur"/>
        <s v="Changement d'un galet au niveau de la plateforme de deux galet du multifourche et de l'arbre avant du multifourche"/>
        <s v="Changement de quatres roulements 6208 des galets de guidage"/>
        <s v="Changement des vis de fixation du frein moteur"/>
        <s v="Resserage des vis de fixation de la tôle de revetement du malaxeur"/>
        <s v="Soudage de la table vibrante"/>
        <s v="Resserage du frein moteur"/>
        <s v="Changement du compresseur "/>
        <s v="Changement du réducteur de translation de la plateforme"/>
        <s v="Changement d'une chaine de transmission B12"/>
        <s v="Changement des joints usés"/>
        <s v="Callage et mise en marche de de la table vibrante"/>
        <s v="Changement de la clavette interieur du réducteur du descensseur"/>
        <s v="Changement d'un detecteur de proximité"/>
        <s v="Changement de la soupape d'admission + changement des filtres"/>
        <s v="Changement du detecteur"/>
        <s v="Changement de quatres pales de pate"/>
        <s v="Attente livraison servomoteur"/>
        <s v="Démontage + transfert A3TEC pour réparation"/>
        <s v="Changement dun roulement endommagé "/>
        <s v="Changement de la tole de la table vibrante"/>
        <s v="Modification du système de fixation du danseur et renforcement de la soudure"/>
        <s v="Changement du chariot par un neuf préalablement confectionné par les chaudraunniers"/>
        <s v="changement de 2 roulement 32008 + zoomage"/>
        <s v="réparation du système de fixation"/>
        <s v="Changement du thyristor endommagé"/>
        <s v="Changement d'un flexible de graisse"/>
        <s v="Changement de deux roulements avec arrêt d'huile"/>
        <s v="Essai d'un compresseur GA22 occasion"/>
        <s v="Changement des roulements des galets du tir fil"/>
        <s v="Nettoyage de la carte profibus du variateur du cabestan"/>
        <s v="Montage d'un système de refroidissement à air et elimination du refroidissement à eau"/>
        <s v="Changement du contacteur du compresseur"/>
        <s v="Changement d'un distributeur festo endommagé"/>
        <s v="Changement d'un flexible d'eau"/>
        <s v="Affutage du couteau + changement de la glissière"/>
        <s v="Réglage de l'epaisseur du feuillard"/>
        <s v="Changement de l'embrayage + nettoyage de la lame de soudure"/>
        <s v="Soudage du tiroir chargeur"/>
        <s v="Changement d'un contacteur et élimination d'un court circuit"/>
        <s v="Changement d'une pièce d'ancrage récupérée de la ferraille"/>
        <s v="Changement du disjoncteur du moteur du déchargeur"/>
        <s v="Changement d'un capteur de proximité endommagé"/>
        <s v="Changement du moteur de la pince"/>
        <s v="Changement du cable antigiratoire diametre 9"/>
        <s v="Dressage du chemin du fil et changement des chapes de la cisaille"/>
        <s v="Soudage de la courroie thermosoudable"/>
        <s v="Rebaguage du guide fil + Changement d'un raccord d'eau"/>
        <s v="Changement des courroies + remplissage d'huile "/>
        <s v="Réparation du cable éléctrique endommagé"/>
        <s v="Débloquage du tir ceinture"/>
        <s v="Changement de la trappe"/>
        <s v="Changement de la courroie thermosoudable"/>
        <s v="Réglage du débit d'huile"/>
        <s v="Changement de prise rapide d'air comprimé"/>
        <s v="Soudage des cales du moule"/>
        <s v="Dépannage, un thyristor remplie la fonction de deux thyristor"/>
        <s v="Changement du réducteur d'agitation"/>
        <s v="Réglage de la température de soudage"/>
        <s v="Changement d'une courroie 1760 + calage de la table vibrante"/>
        <s v="Changement du disque de frein endommagé"/>
        <s v="Elimination des morceaux restants du guide cable et remise en place du cable antigiratoire"/>
        <s v="Changement de la console de commande"/>
        <s v="Nettoyage du clapet antiretour "/>
        <s v="Changement du transformateur de courant"/>
        <s v="Rechargement de la surface du cabestan par soudage"/>
        <s v="Changement d'un galet au niveau de la plateforme"/>
        <s v="Changement du moteur du groupe et changement du flecteur d'accouplement"/>
        <s v="Changemene de 2 roulements 32008"/>
        <s v="Dépannage du variateur "/>
        <s v="Extraction d'une vis endommagé perçage taraudage "/>
        <s v="Démontage du système de dressage - arbre de transmission usé"/>
        <s v="Changement du vérin du pilon"/>
        <s v="Changement des courroies endommagées"/>
        <s v="Réglage de la came à l'état initial"/>
        <s v="Changement des roulements et arrêts d'huile"/>
        <s v="Changement du moteur de levage ( par moteur neiri motori"/>
        <s v="Elimination d'un court circuit prevoir remplacement du moteur vibreur"/>
        <s v="Changement du compteur + Tige soupape d'admission"/>
        <s v="Montage du variateur + essai"/>
        <s v="Démontage - soudage de la partie fissurée - Montage du tiroir"/>
        <s v="Extraction d'un corps etranger au niveau de la bouche du silo"/>
        <s v="Elimination du jeu entre l'hexagone et les bieles"/>
        <s v="Changement du moteur vibreur"/>
        <s v="Changement des goupilles de la machoire d'assemblage"/>
        <s v="Nettoyage interne de la pompe à graisse"/>
        <s v="Elimination d'un mauvais contact"/>
        <s v="Changement du ressort endommagé"/>
        <s v="Elimination d'un manque de phase au niveau du moteur d'agitation"/>
        <s v="Changement du flexible"/>
        <s v="Reglage de la température de soudage"/>
        <s v="Zommage des galets"/>
        <s v="Changement de la table vibrante"/>
        <s v="Changement de la lame de soudure"/>
        <s v="Changement d'un relais à broche endommagé"/>
        <s v="Réglage de la position de la table"/>
        <s v="Installation d'un nouveau chariot collecteur"/>
        <s v="Changement des roulement de galets usés"/>
        <s v="Dressage de l'arbre du skip"/>
        <s v="Confection d'une lame + vérin de cisaille"/>
        <s v="Changement d'un jeu complet de galets crantés"/>
        <s v="Changement du flexible endommagé"/>
        <s v="Changement des galets guide fils endommagés"/>
        <s v="Changement d'u galet usé"/>
        <s v="Remplissage d'huile"/>
        <s v="Changement de la grille d'agitation"/>
        <s v="Changement d'un galet usé"/>
        <s v="Changement du moteur et du réducteur dont le clavetage est usé"/>
        <s v="Changement des goupilles usées"/>
        <s v="Changement des roulements endommagés"/>
        <s v="Changement de la courroie endommagée (2800)"/>
        <s v="Changement des roulement des galets"/>
        <s v="Changement d'embrayage endommagé"/>
        <s v="Réglage du guide fil"/>
        <s v="montage d'une courroie 2800 en provenance de poyatos 700"/>
        <s v="Soudage et renforcement du chassis"/>
        <s v="Montage d'un courroie 2800 neuve"/>
        <s v="Début des travaux de rennovation"/>
        <s v="Reglage de l'épaisseur du feuillard"/>
        <s v="Changement d'un roulement de galet et changement d'un galet usé"/>
        <s v="Changement d'un roulement usé"/>
        <s v="Changement d'un cable antigiratoire d7"/>
        <s v="Changement d'une goupille usée"/>
        <s v="Changement d'une courroie 2800"/>
        <s v="Changement de la chappe du vérin de la porte du malaxeur"/>
        <s v="Changement d'un flexible hydraulique"/>
        <s v="Changement d'une lame de découpe usée"/>
        <s v="Changement du palier de l'arbre principale"/>
        <s v="Changement de deux roulement coniques 32008"/>
        <s v="Réarmement du disjoncteur principale"/>
        <s v="Changement d'un jeu complet de galets lisses"/>
        <s v="Démontage du redresseur + transfert Tourneur pour réparation"/>
        <s v="Changement de la chaine de transmission"/>
        <s v="Changement des boulons usés"/>
        <s v="Changement d'un pont de soudage"/>
        <s v="Réglages des paramétres du variateur "/>
        <s v="Soudage de la courroie "/>
        <s v="Elimination d'un manque de  phase"/>
        <s v="Changement du raccord endommagé "/>
        <s v="Changement du flexibe endommagé "/>
        <s v="Eenlevement d'un morçeau de feuillard "/>
        <s v="Remise à niveau de la table élevatrice"/>
        <s v="Changement du cable antigiratoire du skip"/>
        <s v="Changement de 4 courroie "/>
        <s v="Changement du flexible d'eau"/>
        <s v="Chargement par soudage de la partie usé "/>
        <s v="Changement du moteur"/>
        <s v="Changement du cable de commande"/>
        <s v="Tension des chaines du descenseur + changement d'un fin de course endommagé"/>
        <s v="Nettoyage du circuit d'aire comprimé"/>
        <s v="Soudage de la partie usée"/>
        <s v="Rebobinage chez CEDP"/>
        <s v="Soudage de la partie fissurée"/>
        <s v="Rebaguage de poulie + changement de la clavette"/>
        <s v="Réglage du variateur et remise à l'état initial"/>
        <s v="Changement complet du système d'ejection des FT"/>
        <s v="Réglage du frein"/>
        <s v="Réparation chez DRIVE AUTOMATION"/>
        <s v="Soudage de la partie cassé de la grille d'agitation"/>
        <s v="Réglage de la tension du feuillard"/>
        <s v="Elimination du manque de phase"/>
        <s v="Démontage du moteur endommagé"/>
        <s v="Changement d'un relais contacteur"/>
        <s v="Elimination d'un mauvais contact au niveau du ventilateur"/>
        <s v="Insertion d'un filet rapporté"/>
        <s v="Changement de l'electrode usée"/>
        <s v="Changement des roulement endommagé"/>
        <s v="Changement des galets endommagés"/>
        <s v="Réglage de la lame de soudure"/>
        <s v="Changement du capteur endommagé"/>
        <s v="Changement des électrode de contact"/>
        <s v="Changement du détecteur"/>
        <s v="Changement du galet usé"/>
        <s v="Changement de la caisse du tiroir + ressort + galets"/>
        <s v="Changement de la lampe"/>
        <s v="Purge du circuit d'air comprimé"/>
        <s v="changement de la table vibrante et courrie 2800"/>
        <s v="Changement des électrode de contact + carte automate "/>
        <s v="Changement de garniture"/>
        <s v="Changement de l'interupteur "/>
        <s v="Serrage du galet "/>
        <s v="Changement de l'electrovanne"/>
        <s v="Changement des roulements"/>
        <s v="changement de la pompe"/>
        <s v="soudage du partie usée "/>
        <s v="Attente de confection d'un nouvel axe"/>
        <s v="Réglage du niveau de la grille "/>
        <s v="Changement de la chape du vérin"/>
        <s v="Changement des galets usés"/>
        <s v="Changement de deux contacteur usés"/>
        <s v="Brasage par cuivre au niveau du trou present sur le tube d'air comprimé"/>
        <s v="Changement de commutateur "/>
        <s v="Changement du disjoncteur "/>
        <s v="Réparation du cable éléctrique endommagé du ventulateur "/>
        <s v="Changement des lampes et des starters "/>
        <s v="Changement du boutton usé"/>
        <s v="Réparation de la partie endommagée du cable"/>
        <s v="Changement du cadre et réglage du grille"/>
        <s v="changement du courroie 2800"/>
        <s v="Changement du courroie et poulie "/>
        <s v="Changement du vérin "/>
        <s v="Réglage de la chaine du descensseur"/>
        <s v="Remplissage de deux accumulateurs par azote"/>
        <s v="Changement de la vis de fixation de la douille de cisaille"/>
        <s v="Changement d'un joint torique endommagé"/>
        <s v="Changement d'un galet usé+ 2 axes du système d'avancement"/>
        <s v="Changement de 4 roulements usés"/>
        <s v="Elimination du court circuit"/>
        <s v="Changement de 4 roulement coniques"/>
        <s v="Changement du cable antigiratoire"/>
        <s v="Nettoyage de la carte et resserage des contacts"/>
        <s v="Elimination des causes probable de freinage"/>
        <s v="Serrage des galets"/>
        <s v="Elimination de la fuite "/>
        <s v="Changment du support de garniture"/>
        <s v="Réglage du niveau de la table et remise à l'état initial"/>
        <s v="Changement du couteau"/>
        <s v="Changement du boulon usé"/>
        <s v="Marche à une seule vitesse"/>
        <s v="Changement de l'axe plongeur"/>
        <s v="Changement d'un flexible endommagé"/>
        <s v="Tendage du chaine "/>
        <s v="Changemet de la clavette aves vis de serrage"/>
        <s v="Changement d'un flexible et d'un raccord endommagé"/>
        <s v="Réajustement du niveau d'huile"/>
        <s v="Affutage d'un rouleau usé"/>
        <s v="Chengement des vis de fixation et montage du ventilateur "/>
        <s v="Changement de 2 cable "/>
        <s v="Changement du réducteur endommagé"/>
        <s v="Elimination du mauvais contact"/>
        <s v="Débavurage de 20 électrodes"/>
        <s v="Changement de 2 prises rapides"/>
        <s v="Changement du cable par un cable de diametre 8 (25m)"/>
        <s v="Réajustement du danseur"/>
        <s v="Changement du galet et nettoyage de la cassette "/>
        <s v="Changement de 2 prises rapides et vis "/>
        <s v="Changement d'interrupteur "/>
        <s v="Changement du galet crenté et 2 roulement conique "/>
        <s v="Changement de tige "/>
        <s v="Changement de nécessaire et nettoyage de la pompe "/>
        <s v="Changement des joints du régulateur"/>
        <s v="Dépannage du cable "/>
        <s v="Changement de flexible "/>
        <s v="Changement de 2 vessies pneumatique"/>
        <s v="Réglage de fixation et alignement du gaine"/>
        <s v="Changement du galet "/>
        <s v="Changement du pignon et montage et démontage de réducteur "/>
        <s v="Changement de distributeur et arret d'huile "/>
        <s v="Changement du bague et vis "/>
        <s v="Changement du chaine et des vis de fixation "/>
        <s v="Changemet du galet et réglage du camme "/>
        <s v="Soudage et moulage du rédelle "/>
        <s v="Tandage et réglafe du bonde "/>
        <s v="Dépannage du circuit  et dépannage du cable "/>
        <s v="Chanegement de 2 roulement "/>
        <s v="Changement du palier "/>
        <s v="changement de galet "/>
        <s v="Soudage du courroie "/>
        <s v="Sérrage et changement des vis et dréssage des guide"/>
        <s v="Changement du clavite "/>
        <s v="Taraudage et changement de 2 vis BTR "/>
        <s v="Changement du roulement et des vis du fixation "/>
        <s v="Redémarrer et remise de la machine "/>
        <s v="Changement du contacteur "/>
        <s v="Changement du bobine"/>
        <s v="Changement d'axe et palier "/>
        <s v="Eliminatin du mauvais contact"/>
        <s v="Changement du cable et axe dressage du skip et changement du tole "/>
        <s v="Réinitialisation du programme et mise du cycle a l'état initial"/>
        <s v="Elimination du calcaire et débouchage du circuit"/>
        <s v="Changement du chaine "/>
        <s v="Changement du commutateur endommagé"/>
        <s v="Changement des goupie endommagée"/>
        <s v="Nettoyage et zoomage de la cassette"/>
        <s v="Changement du moteur et du chaine d'accouplement "/>
        <s v="Changement d'un jeu complet de galet PR10 + zoomage"/>
        <s v="Elimination d'un corps étrangé sur le vis "/>
        <s v="Changement du pales du pattes "/>
        <s v="Changement et soudage du courroie thermosoudable "/>
        <s v="Soudage du cadre et changement du bras et des axes "/>
        <s v="Chargement de surface de la partie usée et débouchage du circuit de refroidissement "/>
        <s v="Changement des goupilles endommagée"/>
        <s v="Changement de la clavette endommagée"/>
        <s v="Changement du porte électrode"/>
        <s v="Changement de 4 roulements 6304-22"/>
        <s v="Changement du vis endommagé"/>
        <s v="Réglage de la tête chauffante"/>
        <s v="Changement de la vis et réglage de la hauteur de la table"/>
        <s v="Changement du switch endommagé"/>
        <s v="Elimination du morceau endommagé"/>
        <s v="Changement des vis"/>
        <s v="Changeent de 6 roulements 32008"/>
        <s v="Changement des goupies endommagées"/>
        <s v="Changement des goupilles endommagées"/>
        <s v="Débouchage du circuit d'air comprimé"/>
        <s v="Ajout d'un chariot collecteur"/>
        <s v="Changement de l'aimant endommagé"/>
        <s v="Changement des roulements endommagés 6207"/>
        <s v="Réparation de la chaine de la table"/>
        <s v="Changement d'un régulateur de pression"/>
        <s v="Soudage et modification du radiateur"/>
        <s v="Ajustement des parametres du redresseur"/>
        <s v="Arbre conffectionné et monté"/>
        <s v="Réparation chez Pesage promotion"/>
        <s v="Changement clapet antiretour + flexible d'admission + vidange"/>
        <s v="Ajustement du niveau d'huile"/>
        <s v="Changement de deux tresses de soudage + thyristor de soudure"/>
        <s v="Réparation de l'arbre chez TOURNEUR - Montage de l'arbe avec roulements neufs"/>
        <s v="Telemaintenance avec EVG"/>
        <s v="Changement d'un module d'automate siemens "/>
        <s v="Changmement de la partie endommagée"/>
        <s v="Revision du compresseur par air diffusion"/>
        <s v="Soudage de la rotule"/>
        <s v="Débloquage de la vis"/>
        <s v="Réglage des fin de courses"/>
        <s v="Rectification de surface à la soudure "/>
        <s v="Changement des prises rapides et rectification des lames de cisailles"/>
        <s v="Changement des raccord droit 10- 3/8"/>
        <s v="Changement d'une ampoule endommagée"/>
        <s v="Taraudage et fixation des verins tir fils"/>
        <s v="Réparation de la pompe  chez hydrautech"/>
        <s v="Réarmement du disjoncteur"/>
        <s v="Changement du galet endommagé + 6 roulements"/>
        <s v="Changement d'arret d'huile + roulement"/>
        <s v="Changement de la presse de soudage"/>
        <s v="Changement de 6 roulements endommagés"/>
        <s v="Changement de la courroie usée 8M 1040"/>
        <s v="Reparation du chariot "/>
        <s v="Elimination d'un court circuit"/>
        <s v="Changement des galet endommagés"/>
        <s v="Changement de 4 courroies endommagée"/>
        <s v="Changement d'une carte d'automate"/>
        <s v="Changement de l'axe plongeur endommagé"/>
        <s v="Changement du cable endommagé"/>
        <s v="Changement de la partie usée du cadre glissant"/>
        <s v="Changement Temporaire du compresseur en attendant l'arrivée du flexible"/>
        <s v="Changement d'un limiteur de pression"/>
        <s v="Reducteur endommagé - Modification réalisée pour adaptation d'un réducteur different (reducteur pince)"/>
        <s v="Changement du guide chaîne"/>
        <s v="Zoomage de la cassette"/>
        <s v="Réparation prévue le 19/12/2019"/>
        <s v="Reglage de la position de la cisaille"/>
        <s v="Liberation du galet et réglage de la position du vérin"/>
        <s v="Changement d'une came"/>
        <s v="Réglage de la pression  de l'air comprimé"/>
        <s v="Changement de la boite à commande"/>
        <s v="Réglage de la position de la molette de tirage"/>
        <s v="Changement du support du vérin"/>
        <s v="Changement des roulements du moteur et palier de fixation"/>
        <s v="Raccordement du cable sur l'armoire d'alimentation"/>
        <s v="Changement des joints toriques"/>
        <s v="Changement de deux galets cranté endommagé"/>
        <s v="Changement de la resistance de la plaque chauffante"/>
        <s v="Changement de deux courroies thermosoudables"/>
        <s v="Changement de deux roulements 6304"/>
        <s v="Elimination d'un court circuit nettoyage de l'ectrovanne et changement du cable de commande de l'electrovanne"/>
        <s v="Affutage du couteau de cisaillement"/>
        <s v="Vidange du bac ( eau distillée et antigel)"/>
        <s v="Confection de deux electrodes usées"/>
        <s v="Tension de la chaine et fixation de la roue codeuse"/>
        <s v="Changement d'un raccord usé + Réctification et remontage des electrodes"/>
        <s v="Dressage du bras"/>
        <s v="Changement du galet avec roulements neufs+ zoomage"/>
        <s v="Début des travaux de nettoyage et refection des chemins de cable de la machine et construction d'une chambre de protection pour l'armoire"/>
        <s v=" - Démontage des presse et support de presses_x000a_ - Démontage des portes électrodes et support des portes électrodes_x000a_ - Démontage des prises rapides et flexibles de refroidissement du bloc_x000a_ - Démontage des supports et de l'embrayage de la cisaille_x000a_ - Extraction des vis de fixation et démontage des rails inferieurs et supérieur pour confection"/>
        <s v="Nettoyage de l'electrovanne"/>
        <s v="Changement d'un connecteur endommagé"/>
        <s v="Confection d'un nouvel accouplement pour la vis à ciment"/>
        <s v="Remise en place du moteur vibreur"/>
        <s v="Changement de deux roulements et zoomage de la cassette"/>
        <s v="Changement du contacteur endommagé"/>
        <s v="Déplacement de l'armoire électrique et nettoyage des canivaux"/>
        <s v="Chargement de surface du cabestan"/>
        <s v="Changement du vérin endommagé"/>
        <s v="Changament d'un arrêt d'huile usé"/>
        <s v="Rectification de surface + réparation du filetage du dispositif"/>
        <s v="Extraction de la vis et dépannage du dispositif"/>
        <s v="Soudage de deux plaques avec support et réajustement de la fixation du vérin"/>
        <s v="Réparation et montage moteur"/>
        <s v="Changement de la plaque de la machoire + deux goupilles D7 + ressort de rappel du couteau"/>
        <s v="Changement de deux roulements 32008"/>
        <s v="Changement d'une fiche endommagée"/>
        <s v="Changement de fiche "/>
        <s v="Réparation du radiateur"/>
        <s v="Changement du  vérin du pilon - Vis à ciment - Débouchage du circuit d'eau du malaxeur"/>
        <s v="Shunt du circuit et mise en marche"/>
        <s v="Réparation de l'eletrovanne et mise en marche"/>
        <s v="Réparation de la pompe + vidange et nettoyage du circtuit de groupe"/>
        <s v="Changement du réducteur et réparation de l'ancien"/>
        <s v="Tension de la chaine porte cornière"/>
        <s v="Changement de la chaîne"/>
        <s v="Changement du moteur 1,5 par moteur de la trémie de sable"/>
        <s v="Taraudage du trou et mise en place d'un filet rapporté"/>
        <s v="Monte d'un ecrou en bronze neuf"/>
        <s v="Etude de la possibilité d'utilisation de refroidisseur de la machine techno"/>
        <s v="Soudage du raccord usé"/>
        <s v="Changement du disque d'embrayage"/>
        <s v="Changement de quatre galets guide fil du danseur n 3"/>
        <s v="Débouchage du circuit d'eau"/>
        <s v="Changement du moteur électrique"/>
        <s v="Liberation des lames de contact coincées du contacteur d'alimentation et mise en marche"/>
        <s v="Taraudage et fixation du porte électrode"/>
        <s v="En cours de réparation chez Atlas copco"/>
        <s v="Libération du cable et ajustement du guide cable"/>
        <s v="Réglage des freins des devidoir"/>
        <s v="Changement des vérins par des vérins CL 261"/>
        <s v="Fixation et ajustement de position du fin de course"/>
        <s v="Réparation du Thermostat et elimination des fuite hydrauliques et pneumatique"/>
        <s v="Soudure de la barre et ajustage d'alignement"/>
        <s v="Ajustement des cartère de protection"/>
        <s v="Changement de deux axes plongeurs et tresse neuve"/>
        <s v="Tension de la chaîne et mise à niveau de la table"/>
        <s v="réparation du selecteur MAN/AUT et mise en marche"/>
        <s v="Roulement du moteur du ventilateur"/>
        <s v="Elimination des morceaux de calcaire qui bloquent l'electrovanne"/>
        <s v="Rembourage de la partie fissuré par du polyfibre"/>
        <s v="Changement des roulements usés"/>
        <s v="Changement d'une prise rapide endommagée et d'une chappe de vérin"/>
        <s v="Débouchage du circuit de refroidissement "/>
        <s v="Extraction de vis taraudage et remontage du système de soudage"/>
        <s v="Réglage du système de récupération du feuillard"/>
        <s v="Resserage et fixation de l'encodeur"/>
        <s v="Soudage du pignon au bati"/>
        <s v="Changement du filet rapporté"/>
        <s v="Dépannage en attendant réception d'un nouveau raccord symétrique"/>
        <s v="Nettoyage du contacteur et mise en marche"/>
        <s v="Changement du ventilateur du variateur"/>
        <s v="Changement de la chappe "/>
        <s v="Changement d'un fusible endommagé et mise en marche"/>
        <s v="Changement de 12 roulements 6206 Extraction des vis cassés et Réajustement du niveau d'huile de la machine"/>
        <s v="Changement du régulateur de pression et réglage de l'avance de vérin pousse planche"/>
        <s v="Dressage des fourches"/>
        <s v="Changement des lévres par d'autres neuves"/>
        <s v="Changement de 4 courroies de transmission"/>
        <s v="Changement d'une électrovanne et reglage de pression"/>
        <s v="Dressage du bras du danseur"/>
        <s v="Réparation chez tourneur"/>
        <s v="changement des goupilles endommagées et régage des mouvements des griffes"/>
        <s v="Dépannage du raccord tournant"/>
        <s v="Changement d'un distributeur endommagé"/>
        <s v="Changement d'un disjoncteur endommagé"/>
        <s v="Garniture du frein du moteur du skip"/>
        <s v="Vidange de la table vibrante"/>
        <s v="Changements des rouleaux endommagés"/>
        <s v="Réparation che Tourneur"/>
        <s v="Rebage de la poulie de transmission"/>
        <s v="Chnagment du moteur d'agitation"/>
        <s v="Rebaguage intérieur de la poulie"/>
        <s v="Changement d'une prise rapide endommagé"/>
        <s v="Soudage de la chappe et la tige"/>
        <s v="Changement des bagues d'isolation endommagées"/>
        <s v="Taraudage de la partie foirée du pivot"/>
        <s v="Raccordement du cable + chaine guide cable"/>
        <s v="Changement d'un palier usé + capteur de proximité"/>
        <s v="Changement du flexible d'eau + zoomage"/>
        <s v="Réglage du jeu d'embrayage"/>
        <s v="Changements des roulements endommagés"/>
        <s v="Changement d'un axe plongeur"/>
        <s v="Resserage des vis et reglage de position"/>
        <s v="Extraction de la vis et reglage de position"/>
        <s v="Changement des connecteurs de contact et mise en marche du transbordeur"/>
        <s v="Changement du pignon d'accouplement moteur/réducteur"/>
        <s v="Remontage de l'electrovanne et mise en marche"/>
        <s v="Changement du cable antigiratoire D8"/>
        <s v="Changement de la chappe du vérin "/>
        <s v="tension des courroies"/>
        <s v="Changement du guide fil endommagé"/>
        <s v="Réparation des cassettes"/>
        <s v="Changement du relais endommagé"/>
        <s v="Branchement frein moteur D'occasion  et mise en marche"/>
        <s v="Changement de 2 galets de tirage"/>
        <s v="Changement de deux roulements + zoomage"/>
        <s v="Servomoteur réparé"/>
        <s v="Purge du cicuit de refroidissement"/>
        <s v="Changement des toles usées"/>
        <s v="Changement des contacteur d'alimentation + Cable méplat du transbordeur"/>
        <s v="Installation d'un nouveau refroidisseur"/>
        <s v="Dépannage d'un bloc auxiliaire de contact"/>
        <s v="Réparation du circuit d'air comprimé"/>
        <s v="Démontage, débouchage et remontage du système"/>
        <s v="Changement de deux galets endommagés"/>
        <s v="Dressage et remontage des cornière"/>
        <s v="Entretien du dispositif guide fil"/>
        <s v="Rectification chez tourneur"/>
        <s v="Changement d'accumulateur et mise en marche"/>
        <s v="Changement d'une vessie pneumatique"/>
        <s v="Changement d'axe de came + Réglage de la machine "/>
        <s v="Dressage du bobinoir"/>
        <s v="Changement de deux pales de pates"/>
        <s v="Elimination du jeu par fixation d'une tôle entre arbre et alésage"/>
        <s v="Changement des joints du vérin de cisaille"/>
        <s v="Démontage chargement de surface et réctification du support de galet du transbordeur"/>
        <s v="Changement de l'accumulateur"/>
        <s v="Changement du galet endommagé "/>
        <s v="Changement d'un filet rapporté"/>
        <s v="Vidange de la boite"/>
        <s v="Jonction de deux courroies thermosoudables sortie presse"/>
        <s v="Montage d'un variateur de puissance"/>
        <s v="Elimination du manque de phase et mise en marche"/>
        <s v="Déblocage de la chaine de levage"/>
        <s v="Remontage de l'element d'aspiration et misqe en marche"/>
        <s v="Jonction de la courroie thermosoudable du retourneur"/>
        <s v="Montage d'un arbre neuf"/>
        <s v="Démontage des galets du transbordeur pour prises des cotes"/>
        <s v="Chargement de la partie usée  Remontage et mise en marche"/>
        <s v="Changement du moteur 1,5kw"/>
        <s v="Changement des roulements des masselottes et montage des masselottes réparées"/>
        <s v="Montage des galets et arbres confectionnés et dressage des fourches"/>
        <s v="Changement d'un relais endommagé"/>
        <s v="Vidange réducteur"/>
        <s v="Changement de la courroie endommagée et remontage des masselottes réparées"/>
        <s v="Tension de la chaine"/>
        <s v="Réglage de hauteur et mise en marche"/>
        <s v="Changement de la chappe endommagée"/>
        <s v="Changments des rouelements endommagés + Zoomage"/>
        <s v="Démontage - Réparation des supports de fixation et mise en marche"/>
        <s v="Changement du moteur d'agitation et rebobinage du moteur endommagé"/>
        <s v="Changement d'un roulement et zoomage de la cssette"/>
        <s v="Reglage des guides fils"/>
        <s v="Rebaguage et taraudage du redresseur "/>
        <s v="Changement du Hacheur"/>
        <s v="Debut des travaux de montage du Palan acheté à la feraille"/>
        <s v="Dressage des fourches du transbordeur et réglage des fins de courses"/>
        <s v="Démontage du moteur "/>
        <s v="Changement de la courroie endommagée"/>
        <s v="Démontage - changement de roulement et resserrage des moyeux"/>
        <s v="Démontage -changement des segments du support et mise en marche"/>
        <s v="débouchage du circuit de refroidissement et zoomage"/>
        <s v="Changement de la rail endommagée"/>
        <s v="Nettoyage et graissage général"/>
        <s v="Changement d'un circlip endommagé"/>
        <s v="Chargement de surface et mise en marche"/>
        <s v="Changement du roulement endommagé"/>
        <s v="Soudage du bras et mise en marche"/>
        <s v="Vidange du réducteur du sytème d'avancement"/>
        <s v="Changement de la fiche endommagée"/>
        <s v="Vidange à l'eau distillé"/>
        <s v="Début des travaux de réparation du système de tirage"/>
        <s v="Début des travaux d'entretien"/>
        <s v="Lubrification et déblocage de l'axe vérin"/>
        <s v="confection des galets suivant model"/>
        <s v="Elimination d'une fuite d'huile, Réalimentation en gaz Réfrigérant, dépoussiérage "/>
        <s v="DA réalisée pour bouttons neufs -Traitement en cours"/>
        <s v="Lubrification et déblocage du sytème"/>
        <s v="Changement des cales du moule"/>
        <s v="Débouchage du circuit + lubrfication"/>
        <s v="Changement du cadre et réglage de la grille"/>
        <s v="dressage et rectification de la plaque"/>
        <s v="Changement d'arrêt d'huile endommagée"/>
        <s v="Chargement de surface et rectification"/>
        <s v="Changement de la tole inférieur"/>
        <s v="Lubrification de tous les graisseurs de la table"/>
        <s v="Changement d'un roulement endommagé + arrêt d'huile"/>
        <s v="Rectification de surface"/>
        <s v="Changement d'une plaque isolante en bakélite+ changement des filets rapportés endommagés + rectification de surface"/>
        <s v="Démontage pour soudage"/>
        <s v="Changement de roulement + Zoomage"/>
        <s v="Extraction et insertion d'un filet rapporté"/>
        <s v="Changement de la tige filetée"/>
        <s v="Changement des roulement endommagé + zoomage"/>
        <s v="Changement du flexible de refoulement de la pompe hydraulique"/>
        <s v="Entretien du mécanisme de synchronisation"/>
        <s v="Changement de deux vis M16x50 endomagée"/>
        <s v="Libération du disjoncteur coincé"/>
        <s v="Entretien général des silos de ciment"/>
        <s v="Changement du vérin pneumatique et mise en marche"/>
        <s v="Réparation de la vis sans fin chez tourneur"/>
        <s v="Changement du capteur de proximité"/>
        <s v="Changement de la calette endommagée"/>
        <s v="Resserage du support et nettoyage de la tête de cerclage"/>
        <s v="Démontage et entretien général de la pompe"/>
        <s v="Nettoyage du circuit de passage du feuillard"/>
        <s v="Réparation du réducteur chez tourneur"/>
        <s v="Changement de la partie endommagée du cable"/>
        <s v="Changement des roulement et arrêt d'huiles  de la table"/>
        <s v="Changement de deux galets de tirage"/>
        <s v="Décoincement du contacteur"/>
        <s v="Changement du disjoncteur endommagé"/>
        <s v="Changement de deux roulements sur galets guide fil"/>
        <s v="Débouchage du circuit et purge de la pompe"/>
        <s v="Changement de la goupille endommagée"/>
        <s v="Dressage et soudage "/>
        <s v="En cours de décision pour Intervention Afric Roulement "/>
        <s v="Chargement de surface à la soudure"/>
        <s v="Changement des parties de cable endommagé"/>
        <s v="Changement de pignon et de la clavette du reducteur "/>
        <s v="Renforcement par soudage de la partie endommagée"/>
        <s v="Changements des roulements et zoomage des galets"/>
        <s v="Dépannage en attendant reception des chariots porte cable "/>
        <s v="Changement des roulements enommagés"/>
        <s v="Chnagement d'un flexible endommagé"/>
        <s v="Arrêt à prévoir pour confection  flexible"/>
        <s v="Changement de la courroie "/>
        <s v="Soudage de la partie endommagée"/>
        <s v="Changement de la courroie et revision des poulies"/>
        <s v="Démontage  nettoyage et elimination des morceaux de calcairea"/>
        <s v="Changement de l'arret d'huile endommagée"/>
        <s v="Verification des roulement et zoomage des galets"/>
        <s v="Changement de la pierre meuleuse"/>
        <s v="Changement du transformateur T3"/>
        <s v="Soudage du support et changement des roulements"/>
        <s v="Changement des supports du guide + paliers + vérins + tube guide fil  "/>
        <s v="Changements des roulements + zommage"/>
        <s v="Changement des roulements axes et poulies usés + Courroies_x000a_Réparation de la grille d'agitation_x000a_Changement des roulements de la pince_x000a_Réparation du mécanisme du magasin de palette"/>
        <s v="Vidange du groupe hydraulique"/>
        <s v="Vidange du groupe hydraulique / et changement des filtres aspiration / pression / retour"/>
        <s v="Réarmement du disjoncteur principale et élimination d'un mauvais contact"/>
        <s v="Réparation du tiroir d'agitation"/>
        <s v="Vidange du groupe hydrauque avec changemlent des filtres ( pression aspiration retour)"/>
        <s v="Soudage du raccord endommagé"/>
        <s v="Montage de la courroie livrée le 13/05/2020"/>
        <s v="Nettoyage et déblocage du circuit"/>
        <s v="Démontage et réparation "/>
        <s v="Changement de deux roulements endommagés"/>
        <s v="Surfaçage du cabestan et mise en marche"/>
        <s v="Démontage général + changement d'un roulement endommagé et entretien général du mécanisme de vitesse du cabestan"/>
        <s v="Elimination d'un court circuit au niveau du cablage"/>
        <s v="Démontage et changement de l'ecrou d'assemblage"/>
        <s v="Déchargement du reservoir et nettoyage de la savonniere"/>
        <s v="Changement de l'encodeur du bobinoir"/>
        <s v="Elimination du blocage et nettoyage du circuit"/>
        <s v="Extraction et changement des vis endommagés"/>
        <s v="Réglage de l'encodeur et mise en marche"/>
        <s v="Confection de deux cartere et fixation au dessus du moteur d'entrainement"/>
        <s v="Démontage et changement du deux roulements 32008"/>
        <s v="Changement d'une resistance de soudage + réglage de l'embrayage"/>
        <s v="Changement de la resistance endommagée + reglage de l'embrayage"/>
        <s v="Démontage des corniere et dressage des parties déformées"/>
        <s v="Changement d'ecrou d'assemblage et roulements"/>
        <s v="Changement de pompe hydraulique et mise en marche"/>
        <s v="Démontage et changement du support du vérin de soudage"/>
        <s v="Remontage d'un accouplement confectionné chez att - remise en marche de la vis"/>
        <s v="Remontage de la courroie et changement d'un roulement 6208"/>
        <s v="Changement du chariot guide fil"/>
        <s v="Changement d'un galet endommagé et 4 roulements"/>
        <s v="Montage d'un moteur neuf"/>
        <s v="Réglage et mise à niveau du convoyeur + changement du vérin pneumatique de la cerleuse"/>
        <s v="Changement du moteur et mise en marche"/>
        <s v="Changement du disjonteur HS et mise en marche"/>
        <s v="Changement de la tete de fixation"/>
        <s v="Changement de la borne sortie endommagée de l'automate ( programme)"/>
        <s v="En cours"/>
        <s v="Renouvelement des trous taraudé  montage et mise en marche"/>
        <s v="Attente de disponibilité du pont"/>
        <s v="Changement de l'arbre d'entrainement du bobinoire"/>
        <s v="Réglage du capteur de proximité"/>
        <s v="Démontage du cabestan et chargement de surface"/>
        <s v="Réglage du support du porte de soudage"/>
        <s v="Attente livraison du cable "/>
        <s v=" - Rectification de la trappe du malaxeur_x000a_- Changement des machoires de la pince_x000a_-Graissage des poulies de la table vibrante"/>
        <s v="Nettoyage du circuit d'air comprimé"/>
        <s v="Changement de 3 galets lisse + 6 roulements "/>
        <s v="Jonction d'une nouvelle courroie thermosoudable"/>
        <s v="Changement de 4 roulements"/>
        <s v="Achat en cours"/>
        <s v="Changement de la prompe et adaptation des canalisations"/>
        <s v="Changement du clapet antiretour et réglage du temps de démarrage"/>
        <s v="Changement de la pompe à eau immérgée"/>
        <s v="Chagement d'un galet et 2 roulements"/>
        <s v="Changement du cable"/>
        <s v="Changement de trois galets lisses + 6roulements + un galet cranté"/>
        <s v="Changement du clapet"/>
        <s v="Changement du contacteur HS"/>
        <s v="Changement du réducteur"/>
        <s v="Changement de l'axe du galet + roulements"/>
        <s v="Changement des tiges de fixation du réducteur"/>
        <s v="Extraction des vis taraudage et changemùent des vis"/>
        <s v="Changement du vérin et rélasisation d'une demande pour achat du necessaire du vérin"/>
        <s v="Changement du galet et mise en marche"/>
        <s v="Changement de la tôle du tiroir d'agitation"/>
        <s v="Changement du comùutateur endommagé"/>
        <s v="Chaangement de  2 roulements NU210 ECP et 1 roulement 6210"/>
        <s v="Montage du porte clavette d'entrainement de l'embrayage et mise en marche"/>
        <s v="Changement des axes et roulement NJ207"/>
        <s v="Soudage de la partie usée du galet"/>
        <s v="Changement de la bande reflechissante"/>
        <s v="Changement de la grille du tioroir"/>
        <s v="Changement du chariot collecteur endommagé"/>
        <s v="Changement du cable antigiratoire d6"/>
        <s v="Réglage du capteur de position"/>
        <s v="Changement de trois rouleaux + changement de la chaine de transmission"/>
        <s v="Réparation du support de fixation"/>
        <s v="Nettoyage du circuit et mise en marche"/>
        <s v="Changement du galet endommagé"/>
        <s v="Changement de la crépine endommagée"/>
        <s v="Changement de la chaine endommagée"/>
        <s v="Changement du vérin ( fuite interne coupelles endommagée)"/>
        <s v="Changement de deux roulements 6206 et 2 arrêt d'huile 45-68-10"/>
        <s v="Changement d'un galet + zoomage"/>
        <s v="Changement d'un roulement 16012"/>
        <s v="Soudage de la patie cassée"/>
        <s v="Changement des joints toriques usés"/>
        <s v="Changment d'un ballon de surpression"/>
        <s v="Devis en cours de validation"/>
        <s v="Changement du variteur en attendant la réception d'un variateur neuf de chez POYATOS"/>
        <s v="Changement du réducteur et mise en marche"/>
        <s v="Changement de 2 roulement 6206"/>
        <s v="Changement des cartes endommagées"/>
        <s v="Changement de 2 roulement NA4900"/>
        <s v="Changement de 4 courroies A38"/>
        <s v="Changement de 4 courroies A58"/>
        <s v="Changement de l'arbre hexagonal confectionné chez Tourneur"/>
        <s v="Changement des tuyaux endommagés"/>
        <s v="Changement de l'arrêt d'huile endommagée"/>
        <s v="Changement du disjonceteur 80A"/>
        <s v="Changement du fin de course endommgé"/>
        <s v="Changement du commutateur 3position"/>
        <s v="Changement de la alme de soudure + résistance"/>
        <s v="Changement de la roue endommagée"/>
        <s v="Chargement de surface a la soudure"/>
        <s v="Réajustement et protection du branchement et mise en marche"/>
        <s v="Changement du commutateur"/>
        <s v="Changement de 4 courroies 1850"/>
        <s v="Entretien systèmatique"/>
        <s v="Changement du cable "/>
        <s v="Changement du réducteur "/>
        <s v="Changement de l'accouplement ( dépannage en attendant l'arrivée d'un accouplement neuf)"/>
        <s v=" - Elimination des fuites sur le groupe hydraulique_x000a_ - Changement des tôles du malaxeur_x000a_ - Changement de deux Galets de Transbordeur avec axes et pignons_x000a_ - Changement d'un tendeur + roulement des poulies de vibration"/>
        <s v="Dépannage par union Froid "/>
        <s v="Changement de deux goupilles et d'une bielle de cerclage"/>
        <s v="Montage du redresseur et mise en marche"/>
        <s v="Changement d'un contacteur LC1D18 220V"/>
        <s v="Chnagement de 2 roulements 32008"/>
        <s v="Réparation du cable et changement du chariot porte cable"/>
        <s v="Changement du capteur en attendant arrivé de capteurs de bonne qualité"/>
        <s v="changement de l'interrupteur endommagé"/>
        <s v="Changement d'une attache B12"/>
        <s v="Rajout d'huile 140"/>
        <s v="Rajout d'huile DTE 26"/>
        <s v="Changement de 2 courroies A50"/>
        <s v="Changement de 2 prises rapides 10x3/8"/>
        <s v="Elimination d'un court circuit et mise en marche"/>
        <s v="Reboot du sytème - elimination des erreurs et mise en marche"/>
        <s v="Changement de deux raccord pneumatique "/>
        <s v="Changement de deux relais OMRON 24AC"/>
        <s v="Changement du cable D6"/>
        <s v="Chnagement d'un galet d37"/>
        <s v="Changement de deux Capteur de proximité"/>
        <s v="Rajout d'huile et changement du filtre"/>
        <s v="Changement d'un flexible 3/4 3/4 "/>
        <s v="Changement d'un contacteur LC1D18 24V"/>
        <s v="mise en place de deux detecteurs de lumiere"/>
        <s v="Changement d'un galet et axe de galet"/>
        <s v="Changement d'un arrêt d'huile60x85x10 et roulement 16012 (  et entretien du compresseur GA37)"/>
        <s v="Changement d'un distributeur festo NE 6420"/>
        <s v="Révision générale de la savonniere"/>
        <s v="Changement d'un raccord coudé 1/4 - 8"/>
        <s v="Chnargement de surface à la soudure"/>
        <s v="Changement d'un tuyau armé"/>
        <s v="changement piece moleuse "/>
        <s v="Confection d'un frein d'embrayage"/>
        <s v="Changement du kit joints CL299"/>
        <s v="Changement de la courroie"/>
        <s v="Changement d'un flexible d'eau "/>
        <s v="Changement de la chaine B12"/>
        <s v="Changement d'un arrêt d'huile 35x62x8 et 2 roulements"/>
        <s v="Rajout d'huile AW68"/>
        <s v="Changement du reflecteur et mise en marche"/>
        <s v="Changement d'un distributeur 5-1/4"/>
        <s v="Vidange du groupe et changement des filtres A11OC25"/>
        <s v="Changement d'un disque de frein d120"/>
        <s v="Changement du cable electrique d'alimentation"/>
        <s v="Changement des palier de la vis"/>
        <s v="Mise en place de la nouvelle solution proposée par schlatter"/>
        <s v="Changement du distributeur endommagé"/>
        <s v="Réglage du débit et mise en marche"/>
        <s v="Changement des galets de dressage"/>
        <s v="Changement de l'electrovanne endomm"/>
        <s v="Changement d'un ressort de rappel et d'un raccord pneumatique"/>
        <s v="Changement de 2 roulements 32008"/>
        <s v="Dégagement du colematage et mise en marche"/>
        <s v="Soudage et renforcement du support"/>
        <s v="Changement de l'isolant"/>
        <s v="Changement de la  partie endommagée de la chaine"/>
        <s v="Vidange du réducteur du redresseur"/>
        <s v="Débouchage du circuit et mise en marche"/>
        <s v="Changement de l'embrayage"/>
        <s v="Changement des paliers du rouleau"/>
        <s v="Changement des pale de pates"/>
        <s v="Rajout d'huile DTE26"/>
        <s v="Changement de la pince et couteau de cisaille"/>
        <s v="Chnagment du tuyau et raccords d'air comprimé"/>
        <s v="Changement de la tige de la sonde"/>
        <s v="Changement de deux goupilles d7 - d8"/>
        <s v="Changement des vis de fixation de la table"/>
        <s v="Changement de la pompe et des canalisation"/>
        <s v="Soudage et renforcement du cadre"/>
        <s v="Changement du klaxon"/>
        <s v="Changement d'un raccord d14 endommagé"/>
        <s v="Changement de courroie thermosoudable"/>
        <s v="Changement d'un mamelon"/>
        <s v="Changement du cadre ressorts et grille d'agitation"/>
        <s v="Changement d'un cable electrique endommagé"/>
        <s v="Changement de l'electrovanne de deuxieme pression"/>
        <s v="Changement de l'arrêt d'huile 18-30-7"/>
        <s v="Changement de detecteuret réglage de tête de cercleuse"/>
        <s v="Changement d'arret d'huile + joints"/>
        <s v="Changement de garniture et de coupelle"/>
        <s v="Changement de 2 roulement "/>
        <s v="Charge de partie usée"/>
        <s v="Changement de 4 galets"/>
        <s v="Débouchage du flexible"/>
        <s v="Changement de 2 roulement 6305 -6206 endommagé"/>
        <s v="changement de 6 roulement"/>
        <s v="Changement du palier d'agitation"/>
        <s v="Demontage de 2 transformateurs (Attente de livraison)"/>
        <s v="Confection de 4 electrodes"/>
        <s v="Changement du thyristor"/>
        <s v="Changement de prise rapide et tuyau D8"/>
        <s v="Changement d'embrayage"/>
        <s v="Réglage de zoomage"/>
        <s v="Debouchage de circuit"/>
        <s v="Changement de prise rapide"/>
        <s v="Changement du contacteur"/>
        <s v="Installation du chariot et du cable d'alimentation"/>
        <s v="Changement de clavette"/>
        <s v="Changement de pierre meleuse"/>
        <s v="Demontage et remontage du cabeston et soudage de partie usée"/>
        <s v="Mise à niveau d'huile 90 de groupe de graissage"/>
        <s v="Demontage du reducteur et changement du roulement 6206"/>
        <s v="Demontage du cabeston-Soudage de partie usee-Remontage du cabeston"/>
        <s v="Vidange d'huile hydaulique 68 sur le groupe hydraulique"/>
        <s v="Vidange de circuit de refroidissement et changement d'eau distillée"/>
        <s v="changement de ressort"/>
        <s v="Changement de bride de fixation"/>
        <s v="Changement d'ecrou"/>
        <s v="Demontage et reglage de cassette"/>
        <s v="Changement de courroie"/>
        <s v="Confection de deux electrodes de couteau"/>
        <s v="Changement du flexible et du distributeur"/>
        <s v="Changement des joints et nettoyage du distributeur"/>
        <s v="Montage du galet et motoreducteur - Installation du cable d'alimentation du moteur"/>
        <s v="Défaillance d'alimentation 12V"/>
        <s v="Dressage de fixation"/>
        <s v="Serrage des vis"/>
        <s v="Changement de nécessaire  et du distributeur"/>
        <s v="Confection de 27 electrodes"/>
        <s v="Changement d'ecrou M24"/>
        <s v="Changement de deux prises rapides et silencieuse et de kits de joints de distributeur"/>
        <s v="Changement de 2 roulements "/>
        <s v="Changement de flexible et mamelon"/>
        <s v="Changement de disjoncteur"/>
        <s v="Changement de mamelon 1/8"/>
        <s v="Changement de circuit et de flexible"/>
        <s v="Vidange d'huile DTE26 13l"/>
        <s v="Changement du support"/>
        <s v="Changement de galet et axe de fixation "/>
        <s v="Changement de détecteur"/>
        <s v="Soudage de partie usée et dressage du guide fil"/>
        <s v="Vidange d'eau de refroidissement"/>
        <s v="Changement de lampe et amorçeur"/>
        <s v="Changement de roulement"/>
        <s v="Changement de courroie et réglage de calage "/>
        <s v="Changement de 2 roulements et reglage du zoomage"/>
        <s v="Attente livraison d'arrêt d'huile"/>
        <s v="Changement de chaîne"/>
        <s v="Changement de flexible"/>
        <s v="Nettoyage et réparation du distributeur"/>
        <s v="Mamelon 1/8&quot; usée"/>
        <s v="Changement du cable cable antigiratoire D16 / et réducteur"/>
        <s v="Demontage de cassette et changement de galet et 4 roulements "/>
        <s v="Mamelon 1/8&quot; usée et raccord 1/8&quot; usée"/>
        <s v="Changement d'embout"/>
        <s v="Installation de l'indicateur Alpha C2 du systeme de colorant"/>
        <s v="Changement de cable"/>
        <s v="Demontage de cassete et changement de 2 roulements"/>
        <s v="Changement des jeus de bras et 2 bielles et changement et 2 roulements"/>
        <s v="Changement du distributeur "/>
        <s v="Changement de galet complet"/>
        <s v="Réparation de cable"/>
        <s v="Changement de chaîne "/>
        <s v="Soudage de partie usée sur la clavette"/>
        <s v="Changement du galet"/>
        <s v="Changement de deux pignons"/>
        <s v="Changement du kit joint et changement de chappe"/>
        <s v="Changement de 6 roulements et réglage de zoomage"/>
        <s v="Mise à niveau  correcte d'huile VP90"/>
        <s v="Changement de 4 lampes et de 4 startaires"/>
        <s v="Installation de deux projecteurs 400W"/>
        <s v="Changement de commutateur"/>
        <s v="Changement de deux relais"/>
        <s v="Changement de 2 clavettes"/>
        <s v="Changement de bobine"/>
        <s v="Changement du bielle"/>
        <s v="Changement de chaine"/>
        <s v="Changement du silent bloc"/>
        <s v="Changement de deux embouts"/>
        <s v="Changement de deux pignons et de deux roulements"/>
        <s v="Mise à niveau d'huile sur le groupe hydraulique "/>
        <s v="Depannage de cable"/>
        <s v="Changement de detecteur"/>
        <s v="Changement de pompe"/>
        <s v="Chanegement de raccord coudé"/>
        <s v="Changement de 4 roulements et reglage de zoomage"/>
        <s v="Changement de bague"/>
        <s v="Changement du verin"/>
        <s v="Changement des vis et des ecrous"/>
        <s v="Montage de deux transformateurs "/>
        <s v="Débouchage de flexibles du circuit"/>
        <s v="Reglage de calage"/>
        <s v="Changement du tôle"/>
        <s v="Réglage de grille et remise a l'état initial"/>
        <s v="Charge de partie usée par soudage"/>
        <s v="Surfacage de 4 electrodes"/>
        <s v="Changement de clavette et ressort"/>
        <s v="Changement de distibuteur, du tecalon et du raccord"/>
        <s v="Changemement des courroies "/>
        <s v="Confection des electrodes"/>
        <s v="Changement de 4 tiges blocage bobinoir avec les creus en cuivre"/>
        <s v="Reglage de pince / Nettoyage de la plaque fixe et mobile"/>
        <s v="Charge les bras de guide fil"/>
        <s v="Changement de distributeur"/>
        <s v="Changement de 6 roulements/changement de flexible/Reglage de zoomage"/>
        <s v="Perçage des electrodes"/>
        <s v="changement de moteur de refroidissement"/>
        <s v="Changement de deux roulements et changement de flexible"/>
        <s v="Fraisage des electrodes"/>
        <s v="Demontage de la chaine/Dressage du pignon tendeur/Mise a niveau des 2 chaines et changement des pales de pates"/>
        <s v="Rectification des electrodes"/>
        <s v="Soudage du support"/>
        <s v="demontage et soudage de la vis/Remontage et mise a nieau du systeme de colorant"/>
        <s v="Corection du niveau d'huile sur le G.H"/>
        <s v="Changement de flexible de verin"/>
        <s v="Soudage de la grille"/>
        <s v="Changement de galet et reglage de zoomage"/>
        <s v="Changement de tole de revetement interieur /changement du silent bloc/Mise a niveau des pales de patte"/>
        <s v="Changement de courroie "/>
        <s v="Changement de 2 contacteurs"/>
        <s v="Demontage du mecanisme et extraction du morceau"/>
        <s v="Changement de 3 galets crantés et reglage de zoomage"/>
        <s v="Chanfreinage de partie de soudure et mise en place de la grille apres soudure"/>
        <s v="Demontage et changement de la tige"/>
        <s v="Changement de deux roulements 32008 et axe de galet"/>
        <s v="Changement de deux roulements et reglage de zoomage"/>
        <s v="Demontage et changement de la tole du trappe/Remise en marche du malaxeur"/>
        <s v="Detension de la chaine/Attachement par vis M12x80"/>
        <s v="Purge de pompe "/>
        <s v="Changement de 4 goupies "/>
        <s v="Mise a niveau et renforcement par calle/Soudage/Revetement du sol par beton"/>
        <s v="demontage de la savonniere pour revetement et elimination de la fuite "/>
        <s v="Extraction du vis/Perçage et taraudage du support/changement de vis"/>
        <s v="Soudage de partie usée"/>
        <s v="renforcement des pats par soudage"/>
        <s v="Soudage de partie fissurée"/>
        <s v="tester l'encodeur de TEUREMA 2 sur TEUREMA 3"/>
        <s v="Centrage de roulement et elimination de jeu"/>
        <s v="Reglage de tete et serrage des molettes de maintien/Nettoyage de lame de soudage"/>
        <s v="Reglage de chaine et mise a niveau correct"/>
        <s v="Changement de place du transformateur T6 pour eviter l'endommagement de T4"/>
        <s v="Montage de vibreur de ciment"/>
        <s v="Elimination de partie bouchee/Sertissage du cable et remontage"/>
        <s v="Changement de 6 roulements et moyau/Reglage de zoomage"/>
        <s v="Debouchage de flexible"/>
        <s v="Changement de fixation"/>
        <s v="Revision et controle du circuit de refroidissement du transformateur et controle de l'etat des plots de contatct de soudage"/>
        <s v="2 flexibles endommages"/>
        <s v="Reparation du fil(Depannage) / Attente de livraison de cable commande"/>
        <s v="Reglage de raille"/>
        <s v="Changement de galet"/>
        <s v="Changement de support"/>
        <s v="Attente de livraison du flexible/ Mise a niveau d'huile DTE 26"/>
        <s v="Changement de 4 roulements/Zoomage et remontage de cassette"/>
        <s v="Changement du réducteur/Attente livraison du reducteur endommagé"/>
        <s v="Changement de chape"/>
        <s v="Changement du tuyeau "/>
        <s v="Reglage de pression"/>
        <s v="Surfacage des ponts de soudage"/>
        <s v="Reparation des fils/Attente livraison de cable"/>
        <s v="Reglage de temperature"/>
        <s v="Changement de 4 bagues"/>
        <s v="Changement du moteur/ Demontage et remontage du nouveau moteur"/>
        <s v="Reparation du cable"/>
        <s v="Changement du reducteur"/>
        <s v="Changement du presse-étoupe endommagée"/>
        <s v="Reparation des cables de a commande "/>
        <s v="Changement de 2 roulements"/>
        <s v="Installation d'une nouvelle pompe de refroidissement Pegasus"/>
        <s v="Changement de la pompe/modification de la canalisation d'eau "/>
        <s v="Deblocage de molette/Remise de la chaine en marche"/>
        <s v="Extraction du vis/changement de vis "/>
        <s v="Reglage de chaine/serrage du tendeur"/>
        <s v="Reparation du cable et mise de pince en marche"/>
        <s v="Changement de pompe/Mofification de canalisation d'eau"/>
        <s v="Changement de courroie B63"/>
        <s v="Changement de 2 courroies endommagée et soudage"/>
        <s v="Changement clavette "/>
        <s v="Changement du vis de fixation et reparation du cable"/>
        <s v="Isolation de deux cables"/>
        <s v="Changement du joint usée et deblocage du distributeur "/>
        <s v="Montage de distributeur et electrovanne/Installation de canalisaton/debouchage du verin pneumatique"/>
        <s v="Extraction de 2 vis cassés/changement de vis "/>
        <s v="mauvais contact sur la switch de commande de butterfly valve"/>
        <s v="Changement de la bielle cassée"/>
        <s v="Reglage de capteur de poids"/>
        <s v="Deblocage de vis"/>
        <s v="Démontage/attente des nouveaux pignons"/>
        <s v="Changement des joints"/>
        <s v="Chanegement de clavette et pignon "/>
        <s v="Reglage et remise a marche  "/>
        <s v="Demontage de cassette /changement des roulement /Remontage zoomage /Changement flexible "/>
        <s v="Changement prise rapide et serrage des raccords"/>
        <s v="Montage des nouveaux galets/installation du cable d'alimentation "/>
        <s v="Demontage de cassette /changement des roulement /Remontage zoomage "/>
        <s v="Changement du capteur et reglage photo cellule"/>
        <s v="Changement du serre clipse et remontage d'axe"/>
        <s v="Changement du reducteur endommagé "/>
        <s v="Fixation du cable"/>
        <s v="Changement du reducteur et reparation du reducteur endommagé"/>
        <s v="Changement des 2 courroies"/>
        <s v="Changement du vis cassé"/>
        <s v="Fixation du cable de la commande "/>
        <s v="Changement d'axe et remontage de la cassette "/>
        <s v="Changement du moteur et du réducteur "/>
        <s v="Changement mamlo 1/4x10"/>
        <s v="Changement prise rapide "/>
        <s v="Changement de fixation "/>
        <s v="Changement du cable antigiratoire "/>
        <s v="Soudage de la partie cassé du support et remontage du support "/>
        <s v="Installation du pulverisateur et modification de la fixation"/>
        <s v="Changement manometre "/>
        <s v="Changement de maillon "/>
        <s v="Demontage de la cassette/changement de roulements/zoomage et remontage "/>
        <s v="Changement de la poulie"/>
        <s v="changement des modules de l'automate"/>
        <s v="Controle de la temperature du frigo"/>
        <s v="Changement de la tige et reglage de la cisaille"/>
        <s v="Changement d'axe et remontage du rouleau"/>
        <s v="changement du disque "/>
        <s v="changement des vis "/>
        <s v="Changement de 3 pales de patte"/>
        <s v="Démontage de la pompe/attente de reparation de la pompe "/>
        <s v="Dépannage du cable et chagement de la cosse "/>
        <s v="Réglage du débit "/>
        <s v="Changement de 4 silent bloc"/>
        <s v="Changement de la courroie et reglage de calage "/>
        <s v="Mise a niveau de l'huile 68 et 90 sur tout les groupes hydraulique"/>
        <s v="Changement de la tige et d'ecrou"/>
        <s v="Changement du prise rapide et verification du circuit d'air "/>
        <s v="Changement du compresseur /  réparation du compresseur"/>
        <s v="Achat en cours de traitement"/>
        <s v="Changement du cadre/grille/ ressort du tiroir"/>
        <s v="Installation du manométre de la venteuse / verin pousse planche"/>
        <s v="Changement du support/demontage et nettoyage /verification/peinture/remontage "/>
        <s v="Installation du frigo et branchement du cable d'alimentation"/>
        <s v="Changement de la courroie 1760 / changement de 2 roulements"/>
        <s v="Changement des courroies"/>
        <s v="Changement du flexible / remise a niveau de l'huile 68"/>
        <s v="Changement du raccord / embout /flexible"/>
        <s v="Changement de l'echappe du verin "/>
        <s v="Changement du levier"/>
        <s v="Changemet de fiche et detecteur"/>
        <s v="chnagement d'un contacteur"/>
        <s v="Demontage/rebobinage/installation du moteur"/>
        <s v="Réparation du terminal"/>
        <s v="Changement du pignon et changement d'attache"/>
        <s v="Changement de l'arbre et du revetement du malaxeur"/>
        <s v="Taroudage du plot et changement du ressort "/>
        <s v="Correction du niveau d'huile au niveau du groupe hydraulique "/>
        <s v="Installation de 2 manometres du vitesse du moule"/>
        <s v="Changement de la courroie et calage de la table"/>
        <s v="Reglage de la table et mise a niveau correcte "/>
        <s v="Correction du niveau d'huile hydraulique "/>
        <s v="Changement du fer plat"/>
        <s v="Changement bride"/>
        <s v="Changement du galet et des 6 roulements "/>
        <s v="Changement du mamelon endommagé"/>
        <s v="Demontage du cassette/changement du galet/remontage de la cassette "/>
        <s v="Changement du tige "/>
        <s v="Changement du rouleaux "/>
        <s v="Changement de prise rapide "/>
        <s v="Livraison en cours de chez Eurolls"/>
        <s v="Réglage du calage / changement des silent blocs "/>
        <s v="Changement du roue "/>
        <s v="Changement  du lame et la  résistance "/>
        <s v="Correction du niveau d'huile hydrolique "/>
        <s v="Changement du fin de course"/>
        <s v="Demontage cassette/changement du galet et des 8 roulements / remontage/zoomage "/>
        <s v="Changement du flexible "/>
        <s v="Changement de roulement "/>
        <s v="Changement des kit joints"/>
        <s v="Changement d'accouplement "/>
        <s v="Attent changement de Flow Switch "/>
        <s v="Réparation complete de la cassette "/>
        <s v="Changement du fusible "/>
        <s v="Changement du couteau  "/>
        <s v="Changement de detecteur "/>
        <s v="Reparation du tecalon diametre 10 "/>
        <s v="Changement du raccord "/>
        <s v="Changement du findee course / changement du fixation "/>
        <s v="Changement de vis "/>
        <s v="Changement de hexagon "/>
        <s v="Changement de la tige "/>
        <s v="Changement du pignon et changement de chaine "/>
        <s v="Changement de circlips "/>
        <s v="Réparation du panel chez AMS electronique"/>
        <s v="Changement du ballon d'eau 100L"/>
        <s v="Changement de la pompe en attente d'achat d'une nouvelle"/>
        <s v="Changement d'un palier usé"/>
        <s v="Entretien général"/>
        <s v="dépannage"/>
        <s v="Changement du roulement et vidange de la boite à vitesse"/>
        <s v="Chnagement du nécessaire de vérin"/>
        <s v="Changement de la courroie et réglage des positions de poulies"/>
        <s v="Changement du rouleau endommagé"/>
        <s v="Révision générale du mécanisme de vibtation de la presse"/>
        <s v="Changement de l'arrêt d'huile des poulies"/>
        <s v="Elimination de la fuite et mise en marche"/>
        <s v="Changement des courroies A50"/>
        <s v="Mise en place d'un  Réducteur en attendant confection de pignons neufs"/>
        <s v=" - Révision du  système mooule/pilon ( changement des coussinet et confection de tous les élements usés_x000a_- Révision du transbordeur ( changement des roues et arbres de roues)_x000a_- Changement du revetement du malaxeur et portes du malaxeur"/>
        <s v="Changement des ecrous en bronze"/>
        <s v="Equilibrage des trois transfo restant"/>
        <s v="Confection et changement des galets endommagés"/>
        <s v="Réparation servomoteur"/>
        <s v="Entretien du moteur ( dépannage avec compresseur ATMAINT"/>
        <s v="Changement des vis + réglage"/>
        <s v=" - Rebobinage moteur 22kw_x000a_ - Changement d'un flexible endommagé_x000a_ - Changement des courroies endommagées"/>
        <s v="Confection d'une poulie / soudage du support"/>
        <s v="Remplacement par Un réducteur en attendant reception des pignons en confection"/>
        <s v="Changement des coupelles du vérin"/>
        <s v="Défaillance d'un capteur de proximité"/>
        <s v="Rebobinage moteur chez Voselec"/>
        <s v=" - Vidange du groupe hydraulique_x000a_- Changement des filtres aspiration / retour /pression"/>
        <s v="Vidange du réducteur"/>
        <s v="Vidange du réducteur du malaxeur"/>
        <s v="Changement flexible"/>
        <s v="Montage d'un transformateur réparé"/>
        <s v="Changement du racleur et ajustement avec paroies malaxeur"/>
        <s v="Extraction des vis et changements de ceux-ci "/>
        <s v="Changement d'une clavette et mise en marche"/>
        <s v="Chnagment d'un flexible endommagé"/>
        <s v="Changement de la clavette"/>
        <s v="Soudage du rouleau convoyeur et changement de deux pieds de malaxeur"/>
        <s v="Rechargement des poulies"/>
        <s v="Réparation de la pompe"/>
        <s v="Raccordement de la partie endommagée et mise en marche"/>
        <s v="Soudage de la porte"/>
        <s v="Changement de deux flexibles endommagés"/>
        <s v="Raccordement du cble et mise en marche"/>
        <s v="Changement de la clavette du réducteur"/>
        <s v="Changement de deux roulements"/>
        <s v="Changemen du cone endommagé"/>
        <s v="Soudage des parties endommagées"/>
        <s v="changement du distributeur"/>
        <s v="Révision générale du devidoir"/>
        <s v="Changement des roulement endommagés + zoomage"/>
        <s v="chengement des roulemments serrage "/>
        <s v="rearmement "/>
        <s v="Changement des vis de réglage"/>
        <s v="Changement de la courroie endommagé"/>
        <s v="Changement de la courroie 2800"/>
        <s v="Changement du cadre glissant"/>
        <s v="changement de l'ampe "/>
        <s v="chengement flexible "/>
        <s v="Revision du devidoir"/>
        <s v="chengement d'axe plus repation du chaine "/>
        <s v="rectifacation d'arbere et changement des ronlements ( revision generale ) "/>
        <s v="reparation  de ronlement d'avance _x000a_le devidoir en cour de revision general"/>
        <s v="soudage du chariot "/>
        <s v="Dépannage du système en attendant de refaire la tuyauterie"/>
        <s v="Soudage et dressage des pieds"/>
        <s v="Changement des roumlements"/>
        <s v="chongement des reulemnt , nettoyage _x000a_"/>
        <s v="chongement des flexibles "/>
        <s v="Changement du moteur et rebobinage du moteur grillé"/>
        <s v="remplement du moteur "/>
        <s v="chengement du cable "/>
        <s v="soudage "/>
        <s v="depannage eu attemstaut changer "/>
        <s v="confection d'une table pour cassette "/>
        <s v="confection d'une table "/>
        <s v=" - Regarnissage du disque de frein _x000a_ - Changement de l'arbre hexagonal_x000a_ - Changement des bielles endommagées / ajustement / mise en marche"/>
        <s v="Realignement du cable au niveau du treuil"/>
        <s v="Changement des ventouses endommagés"/>
        <s v="nettoyage , chengement des roulement "/>
        <s v="chengment cable multifilairde tele commande  "/>
        <s v="chongement du garniture de frein _x000a_chongement d'hyaxagon _x000a_chongement système d'excentrique ( paliers ) d'hyaxage _x000a_soudage support moteur cisaille _x000a_"/>
        <s v="reparation "/>
        <s v="reglage et soudage "/>
        <s v="chongement de venteuse "/>
        <s v="chongement de roulement +reglage , nettoyage "/>
        <s v="reglage + nettoyage "/>
        <s v="nettoyage + chongement de roulement et reglage "/>
        <s v="chongement des vis + reglage "/>
        <s v="nettoyage , soudage "/>
        <s v="remise a zero "/>
        <s v="chongement du vonteuse "/>
        <s v="chongement du reducteur "/>
        <s v="Changement des courroies endommagés"/>
        <s v="reglage la tension des courrois  + serrage "/>
        <s v="chongement des reulements "/>
        <s v="nettoyage + reglage "/>
        <s v="chongement des reulements + nettoyage +reglage "/>
        <s v="reparation d'embrayage chongement deu garniture "/>
        <s v="chongement des galets + reulement "/>
        <s v="chongement du reducteur par un autre nauveau "/>
        <s v="reglage + serrage des vis "/>
        <s v="nettoyage reglage + chongementr des reulements "/>
        <s v="chongement ds galets "/>
        <s v="chongement du verin "/>
        <s v="Changement d'une electrovanne endommagée"/>
        <s v="Changement des vis de réglage du frein"/>
        <s v="Changement du detecteur endommagé"/>
        <s v="Changement de l'abre du système ecarteur"/>
        <s v="Réparation du système et mise en marche"/>
        <s v="Consultation EVG / Réparation des vérins de compensation et mise en marche"/>
        <s v="Changement du detecteur sortie magasin"/>
        <s v="Reglage de position et mise en marche"/>
        <s v="Elimination des fuites d'air _x000a_Changement des necessaires de vérin 920 et 930_x000a_Confection de guides fils_x000a_Changement du guide fil longitudinal_x000a_Réparation du vérin amortisseur 4550M"/>
        <s v="Elimination du mauvais contact et mise en marche"/>
        <s v="Changement des relais d'interface"/>
        <s v="Changement d'un roulement endommagé + Recharge galet"/>
        <s v="Ventilateur endommagé / changement du ventilateur et mise en marche"/>
        <s v="Changement des vis et ecrou"/>
        <s v="Chargement de surface a la soudure et rectification des galets"/>
        <s v="Changement des necessaires de vérin"/>
        <s v="changement du distributeur HS"/>
        <s v="changement du tiroir endommagé"/>
        <s v="Confection d'un raccord hydraulique montage et mise en marche"/>
        <s v="Diagnostic à établir"/>
        <s v="changement d'une fin de course"/>
        <s v="Changement des galets sués"/>
        <s v="Changement des paliers edommagés"/>
        <s v="Révision du distributeur et mise en marche"/>
        <s v="Changement du cone de fixation"/>
        <s v="Changement des vis endommagés"/>
        <s v="Déblocage de la trappe et mise en marche"/>
        <s v="Changement du relais electromécanique usé"/>
        <s v="Changement d''un axe plongeur endommagé"/>
        <s v="chongement d'une axe de plangeur"/>
        <s v="chongement de cable elctrique du pince "/>
        <s v="chongement verin"/>
        <s v="réparation de la balance + vidange malaxeur"/>
        <s v="Montage d'un moteur réparé / rebobinage de l'ancien"/>
        <s v="Soudage de la parite endommagée"/>
        <s v="Changement du coupleur de profibus WAGO"/>
        <s v="hangement des roulements du réducteur et mise en marche"/>
        <s v="Changement de l'arbre et du galet endommagé"/>
        <s v="chongement des bras d'agitation _x000a_chongement bielle d'agitation _x000a_ dressage de les grille _x000a_mise en mareche du système "/>
        <s v="Changement d'un boutton endommagé"/>
        <s v="Changement de deux roulements 32008 _x000a_Zoomage des galets crantés"/>
        <s v="Changement d'un galet  avec axe de rotation"/>
        <s v="Changement d'une vis M10x30"/>
        <s v="Entretien chez Cielece"/>
        <s v="Prêt de chez Karkachi"/>
        <s v="chongement de "/>
        <s v="rectification à la surface "/>
        <s v="chongement la boton possoir "/>
        <s v="chongement la mourceur et tronsfomateur"/>
        <s v="chongement les vis M10*30"/>
        <s v="démontage du mecanisme / Changement des résistances et remise en marche"/>
        <s v="Mise en place d'un moteur plus robuste en attendant arrivée d'un réducteur neuf"/>
        <s v="Changement des boulons endommégs"/>
        <s v="chongement de moteur "/>
        <s v="reparation de comteur _x000a_branchement et remis en marche "/>
        <s v="percé , taroude et remis  demarrage "/>
        <s v="chongement de redecteur + rementage le moteur "/>
        <s v="chongement des vis "/>
        <s v="Changement d'un chariot guide fil"/>
        <s v="Elimination des fuites et entretien des distributeurs"/>
        <s v="arrets fuite de l'air _x000a_ chongement des joins torique "/>
        <s v="Extraction des vis endommagés Changement des boulons et fixation du pignon d'attaque"/>
        <s v="chongement disque d'embriage"/>
        <s v="chongement de transformateur "/>
        <s v="dressage du profilé du guide et ajustage d'alignement"/>
        <s v="chargement à la soudure + répatation de la cassette 3,8L"/>
        <s v="reglage dispositif d'éjection de fil "/>
        <s v="Changement des courroies A58 Qté 5"/>
        <s v="Changement des pignons du réducteur"/>
        <s v="Changement de trois galets + 12 roulement 32008"/>
        <s v="Changement de 6 roulements 32008"/>
        <s v="Changement du fil endommagé"/>
        <s v="chongement des fils rupture par un autre "/>
        <s v="chongement du vis cassé et reglage de l'eutre vis "/>
        <s v="Réparation de la chaine et remise en marche"/>
        <s v="Elimination d'une cartouche et nettoyage de la soupape de sécurité"/>
        <s v="soudage de deux courroies thermosoudable"/>
        <s v="Changement des vis et soudage de la partie endommagé"/>
        <s v="chongement  du cable electrique "/>
        <s v="chongement du flexible "/>
        <s v="imentage guide rile et soudage rementage "/>
        <s v="chongement les vis et soudage "/>
        <s v="reglage vitesse moteur hydraulique _x000a_foubage fiche electrique "/>
        <s v="chongement du cable electrique _x000a_remise en mareche du pince "/>
        <s v="chongement la chaine B10"/>
        <s v="chongement du tuyau "/>
        <s v="remontage la case se verin"/>
        <s v="reglage le moteur et reparation "/>
        <s v="Changement d'un galet PR5 + 4 roulements 32008"/>
        <s v="Fixation de la pompe et mise en marchea"/>
        <s v="Rectification de surface du boc de soudure / révision de tous les trous taraudés / Changement des axes plongeurs endommagés / Revision des isolation / révision du circuit de refroidissement / montage de deux transformateurs réparés"/>
        <s v="rairemé de disjancteur"/>
        <s v="chongement l'axe et tronsformateur "/>
        <s v=" - Montage de la table vibrante n°3 _x000a_- Changement des positions des tendeurs de courroies 2800 ( Ne plus confondre entre tendeur droit et tendeur gauche)_x000a_- Réparation de l'electrovanne proportionnelle de l'injecteur de planche_x000a_- Réglage de la vitesse seuil du variateur du transbordeur_x000a_- Réglage de la vitesse lente moyenne et rapide de l'injecteur de planche _x000a_- Entretien de la table vibrante n°1"/>
        <s v="Changement du chariot confectionné"/>
        <s v="confection les calles baguellete suivenb modèle "/>
        <s v="Vidange du reducteur du tambour du skip"/>
        <s v="chongement des cables didiectur "/>
        <s v="Entretien des tôles des tremies et et tôles du convoyeur à agrégats"/>
        <s v="Débouchage du circuit de refroidissement et chargement de surface"/>
        <s v="reparation des cables electrique "/>
        <s v="reparation cable electrique "/>
        <s v="Démontage de la chaine / Demontage des galets de guidage / nettoyage / remontage et mise en marche"/>
        <s v="chongement des galeis "/>
        <s v="Changement de 4 roulements endommagés + Zoomage cassette"/>
        <s v="reset   thermique disjancteur sanfflage moteur "/>
        <s v="Dressage et soudage de la partie fissurée"/>
        <s v="chongement la lamp  chongement amorceur"/>
        <s v="dereglage de la pince de maintien"/>
        <s v="Montage d'un nouveau chariot + Chargement de surface de la poulie"/>
        <s v="Affutage du couteau"/>
        <s v="Changement du relais thermique endommagé"/>
        <s v="Entretien chez VOSELEC"/>
        <s v="reglage de système "/>
        <s v="chongement d'huile et filtre de cartouche "/>
        <s v="chongement les roulements "/>
        <s v="chongement boton possoir TLC "/>
        <s v="chongement des courroies "/>
        <s v="Changhement du moto-frein / Changement des couroires A 35 remise en marce"/>
        <s v="Calage des courroie et mise en marche"/>
        <s v="demontage nettoyage et remontage du clapet antiretour"/>
        <s v="Réglage du ppoint zero et mise en marchz"/>
        <s v="souder fixation  vibron _x000a_branchemant vibron "/>
        <s v="dressage du système de didecteur "/>
        <s v="reglage la position de dedicteur "/>
        <s v="Changement des ecrous avec tiges d'assemblage"/>
        <s v="Révision de l'etancheité de la cercleuse"/>
        <s v="chongement charbon de calecteur"/>
        <s v="racourdi de cable "/>
        <s v="Changement du cable d6 endommagé"/>
        <s v="branchement la bobine electrovane _x000a_nettoyage electrovane "/>
        <s v="chongement du roulement "/>
        <s v="nettoyage electrovane "/>
        <s v="Montage du reducteur réparé"/>
        <s v="chongement comitateur  "/>
        <s v="Vidante du réducteur du tambour du skip"/>
        <s v="Démontage du moteur _x000a_Remontage d'un autre moteur présent au magasin_x000a_Mise en marche"/>
        <s v="reglage de frin de moteur "/>
        <s v="chongement bage en brenze filte "/>
        <s v="chongement de chape rotule "/>
        <s v="reparation des cable electrique "/>
        <s v="chongement du boton possoir "/>
        <s v="reparation des cabels "/>
        <s v="chongement le berisa de soudage "/>
        <s v="chongement cable electrique  motour _x000a_chongement chaine ponte  cable "/>
        <s v="chongement comitateur 3 position "/>
        <s v="chongement detecteur de procsimité "/>
        <s v="chongement buide de omlion "/>
        <s v="Changement d'une courroie thermosoudable"/>
        <s v="Démontage du mécanisme et liberation des galets de tirage"/>
        <s v="chongement  des courroies"/>
        <s v="charege  de soudeur ( rectification ) "/>
        <s v="déplacement transfomateur"/>
        <s v="Démontage et changement du réducteur"/>
        <s v="Démontage et changement de la lame de coupe + pince de serrage"/>
        <s v="surfasage la course et birsage"/>
        <s v="chongement transformateur "/>
        <s v="chongzmznt comitateur 2 position "/>
        <s v="demounter la bouton de balase "/>
        <s v="chongement des courrioes et serrage de courrioe "/>
        <s v="chongement roulement "/>
        <s v="Démontage et dressage des supports du rouleau"/>
        <s v="soudeur cale dansem _x000a_chonegement detecteur de proscimites_x000a_reglage dansem et detecteur "/>
        <s v="chongement la l'ampe 400Wsur la l'ampe 100W   E27"/>
        <s v="Changement du vérin hydraulique"/>
        <s v="Changement du moteur frein par un autre réparé"/>
        <s v="cchangement l'axe et roulement "/>
        <s v="chongement rou crouse et reglage la machine "/>
        <s v="soudage la pignion et rectification "/>
        <s v="Soudage de calles sur les paerties usés"/>
        <s v="chongement du bloc soudure "/>
        <s v="Jonction des courroies et mise en marche"/>
        <s v="changement des trois chariots guides cables par des anneaux"/>
        <s v="Demontage et cha,gement des cartouches _x000a_nettoyage du soupape securite _x000a_nettoyage de la vis sans  fin "/>
        <s v="demontage  du bloc_x000a_nettoyage d'electrovanne_x000a_nettoyage regulateur de debut _x000a_nettoyage clapet double pilotage "/>
        <s v="Changement d'un axe plongeur Des isolant et motange des electrodes de soudage"/>
        <s v="demontage du mecanisme et changement du courroie_x000a_mise en marche du  cucleuse 08"/>
        <s v="chongement cantacteur LC1D25"/>
        <s v="zommage des galets cranté du cassette daimmetre 7 "/>
        <s v="Réglage de la came de cisaille et mise en marche"/>
        <s v="chongement comitateur de position "/>
        <s v="changement 6 roulement conique 32008_x000a_zommage "/>
        <s v="Distributeur HS / Réparation et montage"/>
        <s v="changement 2 roulement conique 32008 sur partie cranté "/>
        <s v="débochage circuit d'air au neveau distrubiteur d'air pour fermé la porte securité "/>
        <s v="changement 2 goupielle daimmetre 7 "/>
        <s v="demantage du bloc de distributeur de moule et chengement des joint torique  _x000a_chengement des silents bloc usues et mise en marche de la machine "/>
        <s v="demantage et chengement du palier p212_x000a_changement de 2 guides chaine asceuseur  "/>
        <s v="reset disjancteur "/>
        <s v="reparation du cable electrique  "/>
        <s v="chongement alimentation electrique INP=380v AC   OUT = 24 v DC"/>
        <s v="reparation cable electrique de puissance moteur machaine "/>
        <s v="démantage la pompe hydraulique pour réparation la coplement du la limontation du rotation pompe hydraulique ( acoblage la coploment ) "/>
        <s v="Nettoyage des distributeurs et mise en marche"/>
        <s v="chengement du courroie double  crantée_x000a_chengement du poulée dentée_x000a_changement  du poulée moltée_x000a_changement d'un guide de feuillard _x000a_refaire l'alignement du profil guide feuillard "/>
        <s v="instalation un noveau tronsformateur _x000a_débochage circuit du ronfraidisment_x000a_tarodage des trous su transformateur  du fexation transformateur sur la machain _x000a_"/>
        <s v="reglage un pied sur poste ( bien mounter et serrage tous les vis et ecrous sur poste )"/>
        <s v="changement 3 ecrous en cuivre du acemblage bobiniare "/>
        <s v="demantage et remantage de la nouvalle tole "/>
        <s v="soudage du tige verin avec la chapp"/>
        <s v="Chnagement des roulements tension des courroies et mise en marche"/>
        <s v="Taraudage des trous de fixation et Raccordement et mise en marche"/>
        <s v="changement 2 goupielle daimmetre 8 L 40 _x000a_changement 2 goupielle daimmetre 7 L 30 _x000a_changement 2 goupielle  afutage coteau du coupe "/>
        <s v="démantage cabistan pour changement sodeur inosce et molage la surface usé _x000a_ remantage cabistan "/>
        <s v="demantage polét guide file pour changement sodaur ( inosc )  _x000a_rementege polét "/>
        <s v="zommage des galet crante du daimmetre 3,2 "/>
        <s v="Vidange du reducteur"/>
        <s v="changement 2 roulements conique 23008"/>
        <s v="changement flexible  du graissage L 250mm"/>
        <s v="Changement des lames du rouleaux"/>
        <s v="changement 6 roulements  32008 _x000a_ zommage "/>
        <s v="Réglage du frein moteur et mise en marche"/>
        <s v="changement du 16 silents blocs de T,V _x000a_changement du courroie double crante 2800_x000a_dressage des corniése d'asceuseus _x000a_reparation cable pince "/>
        <s v="Changement du bloc d'alimentation"/>
        <s v="démantage le destributeur d'air pour débochage cércuit d'air du frénage "/>
        <s v="élèmination fuite d'eau _x000a_changement flexible d'eau L 300_x000a_changement raccord coudé 1/8 * 10_x000a_tarodage un traus du fexation raccord 1/8"/>
        <s v="Changement des roulements endommagés et mise en marche"/>
        <s v="extraction de la vis changement et fixation du mecanisme"/>
        <s v="démantage bobinaire pour extraction des boulon casses _x000a_tarodage des traus M14_x000a_changement 8 boulon M14*60 TH"/>
        <s v="nettoyage circuit d'air ( poussiere ) _x000a_serrage tous les article sur pompe "/>
        <s v="changement galéte (PR12)"/>
        <s v="Garniture d'un disque de frein et mise en marche"/>
        <s v="changement 8 roulements conique 32008_x000a_  * 4 sur partie entré cassete _x000a_  * 4 sur partie sortie cassete _x000a_1 oumage des galéts "/>
        <s v="changement 6 roulements conique 32008  zoumage "/>
        <s v="changement flexible du graissage L 250 mm"/>
        <s v="Nettoyage de l'electrovanne et mise en marche"/>
        <s v="Raccordement et mise en marche"/>
        <s v="Changement d'un roulement endommagé et changement d'un vérin / mise en marche"/>
        <s v="dementage et altenti l'arrivé d'un nouvveau flexible ( flexible n'est pas en stock )"/>
        <s v="demontage du verin tirroir _x000a_chengement de la plaque  fissurée _x000a_soudage du partie du socle fissurée _x000a_remontage verin et se mise en mareche "/>
        <s v="élémination fuit d'air au neveau biston du cercleuse _x000a_afutage coteau   "/>
        <s v="changement cable daimmetre 6 L 2m _x000a_tirrage un rosour du rappel sur support cercleuse "/>
        <s v="Raccordement du cable electrique et mise en marche"/>
        <s v="demantage et changement d'embrayage "/>
        <s v="Chnagement d'un raccord / elimination de la fuite et mise en marche"/>
        <s v="reglage 2 pédale du poste soudage "/>
        <s v="changement du galét cranté (PR12° _x000a_ ZOUMAGE "/>
        <s v="Entretien du distributeur montage et mise en marche"/>
        <s v="dementage de la pompe _x000a_nettoyage du circuit hydraulique _x000a_chenegement des filters_x000a_remontage de la nouvalle pompe  et reglage du pression "/>
        <s v="nettoyage cassete  _x000a_vérification tout les galét sur cassete "/>
        <s v="Nettoyage du distributeur d'air et mise en marche"/>
        <s v="Nettoyage et entretien du distributeur et mise en marche"/>
        <s v="Extraction d'une vis et changement d'une vis"/>
        <s v="dementage du pignon tendeur _x000a_deblocage du chaine _x000a_ mise en marche de la table "/>
        <s v="Démontage du frein moteur et liberation du moteur "/>
        <s v="Changement garniture et mise en marche"/>
        <s v="changement moteur electrique "/>
        <s v="Remplacement par GA22"/>
        <s v="Réparation du cable endommagé"/>
        <s v="changement  galét lisse (RO0)_x000a_changement 2 roulement conique 32008 "/>
        <s v="Démontage et changement du moteur endommagé"/>
        <s v="Changement d'un galet guide fil"/>
        <s v="Déblocage de la vis et mise en marche"/>
        <s v="Elimination de la fuite et mise en d'une vanne d'arret"/>
        <s v="Démontage du système de cisaillage et entretien"/>
        <s v="Soudage de la partie endommagée et mise en marche"/>
        <s v="Soudage de la parite endommagée et mise en marche"/>
        <s v="Changement du cable du skip D16MM et changement de deux pales de malaxeur"/>
        <s v="Raccordement du cable de l'electrovanne"/>
        <s v="Changement des roulement + surfaçage "/>
        <s v="Confection d'un acouplement et vidange du GH"/>
        <s v="Changement de l'axe plongeur déformé"/>
        <s v="Changement de la pompe 3kw à patte Centrifuge 1&quot;1/12 - 1&quot; "/>
        <s v="Débouchage du circuit de refroidissement"/>
        <s v="Changement du palier du tiroir"/>
        <s v="Démontage et changement des bras et de la grille d'agitation"/>
        <s v="Elimination de la fuite ( changement d'un flexible)"/>
        <s v="Changement de 4 roulement conique 32008"/>
        <s v="Démontage de la boite de transmission changement des roulements et mise en marche"/>
        <s v="Réglage de la came de cisaille"/>
        <s v="Débouchage et mise en marche"/>
        <s v="Démontage des griffes de la lance fixation et mise en marche"/>
        <s v="Changement de la chaine et tension "/>
        <s v="Changement d'un distributeur hydrauklique 5/2"/>
        <s v="Changement de la presse etoupe endomagée"/>
        <s v="Changement de 4 galets guide fils"/>
        <s v="Réparation du porte clavette et mise en marchez"/>
        <s v="Soudure de la partie endommagée et mise en marche"/>
        <s v="Changement d'un distributeur d'eau"/>
        <s v=" Extraction et mise en marche de la machine"/>
        <s v="Chnagement des roulements et mise en marche"/>
        <s v="Changement de deux roulements a bille et mise en marche"/>
        <s v="Changement d'une presse etoupe"/>
        <s v="Changement de trois courroies endommagées"/>
        <s v="Changement des coussinet endommagés"/>
        <s v="Démontage de la poulie changement des roulement et mise en marche"/>
        <s v="Changement des roulements enodommagés"/>
        <s v="Changement de deux roulement zoomage et mise en marche"/>
        <s v="Nottoyage et graisse du rducteur"/>
        <s v="Changement de 4 roulements + zoomage"/>
        <s v="Changement du chariot endommagé"/>
        <s v="Changement d'un roulement conique endommagé et mise en marche"/>
        <s v="Installation d'un nouveau système de compensation et système de tirage Par Mr Bougadda"/>
        <s v="Serrage et elimination du jeu"/>
        <s v="Changement d'un commutateur endommagé"/>
        <s v="Changement du vérin du tiroir"/>
        <s v="Changement de la tôle de la table vibrante et mise en marche"/>
        <s v="Changement de 6 roulmements 32008 et d'un galet lisse R1"/>
        <s v="Chargement de surface et montage du cabestan"/>
        <s v="Chnagment des courroies endommagées"/>
        <s v="Changement d'un detecteur endommagé"/>
        <s v="Démontage de la poulie et changement de deux roulements endommagés"/>
        <s v="Changement des chappe endommagée"/>
        <s v="Elimination du jeu par mise en place de bagues en bronze"/>
        <s v="Réglage du detecteur haut du chariot"/>
        <s v="Réparation de la carte electronique et mise en marche"/>
        <s v="Elimination de l'erreur et changement de la carte"/>
        <s v="Changement des isolant et mise en  marche"/>
        <s v="Changement de la partie endommagée du cable "/>
        <s v="Changement d'un ventilateur endommagé"/>
        <s v="Démontage de la boite du bobinoir changement des vis endommagé et mise en marche"/>
        <s v="Réparation du cable et mise en marche"/>
        <s v="Changement de 2 roulement à bille / remontage du redresseur"/>
        <s v="changement du moteur 1500tr/min endommagé"/>
        <s v="Nettoyage et zoomage des cassette"/>
        <s v="Démontage du guide fil ajustement du filetage et mise en marche"/>
        <s v="Changement du capteur et mise en marche"/>
        <s v="Changement de trois tige d'assemblage endommagée"/>
        <s v="Changement d'un couteau de cercleuse"/>
        <s v="Changement d'un relais statique"/>
        <s v="Démontage chargement de surface et mise en marche"/>
        <s v="Serrage d'un raccord d'eau"/>
        <s v="Changement de 6 roulements 32008 + zoomage "/>
        <s v="Changement du ballon d'eau et mise en marche"/>
        <s v="Changemen du chariot guide fil et mise en marche"/>
        <s v="Elimination du court circuit et mise en marche"/>
        <s v="Cchangement du contact et mise en marche"/>
        <s v="Fuite d"/>
        <s v="Changemnt d'un bouton endommagé"/>
        <s v="Changement du cable d'alimentation de la pince"/>
        <s v="Changement de la partie endommagée et mise en marche"/>
        <s v="Changement du moteur endommagé"/>
        <s v="Changement de deux galets guide fil endommagés (d30x60mm Roulement 6000) ZZ"/>
        <s v="Changement de 6 roulements conique 32008"/>
        <s v="Changement d'un commutateur 3 position"/>
        <s v="Changement de la partie endommagée du cable d'alimentation"/>
        <s v="Changement d'une adresse sur programme"/>
        <s v="Changement d'un arbre d20x70"/>
        <s v="Changement de 2 galets guide fil"/>
        <s v="Démontage et chargement de surface et mise en marche"/>
        <s v="Changement du chariot et mise en marche"/>
        <s v="Changement de 6 roulements endommagés + zoomage"/>
        <s v="Purge de la pompe et mise en marche"/>
        <s v="Soudage de la partie endommagé"/>
        <s v="Changement d'un capteur endommagé"/>
        <s v="Changement d'une courroie calage et mise en marche"/>
        <s v=" - Changement des galet du paletiseur_x000a_ - Changement des galets du tiroir_x000a_ - Changement de la tôle du malaxeur"/>
        <s v="Changement D'un transformateur endommagé"/>
        <s v="Réglage de la hauteur et mise en marche"/>
        <s v="Changement de l'arrêt d'huile 60x85x10 et d'un roulement 16012"/>
        <s v="Changement d'un flexibe endommagé"/>
        <s v="Démontage des cabestan chargement de surface et mise en marche"/>
        <s v="Zommage de la cassette"/>
        <s v="Nettoyage changement des roulement zoomage et mise en marche"/>
        <s v="Changement de 4 goupilles et mise en marche"/>
        <s v="Changement du flexible endommagé d10x600mm"/>
        <s v="Ressort de rappel endommagé"/>
        <s v="Changement de lapartie endommagée du cable et mise en marche"/>
        <s v="Réparation de la rail et et PDR de chariot porte cable"/>
        <s v="Changement de 2 roulements et remontage de la poulie"/>
        <s v="Changement d'un roulement endommagé"/>
        <s v="Elimination d'un manque de phase montage et mise en marche"/>
        <s v="Elimination d'une fuite d'air"/>
        <s v="Changement d'une lame de coupe"/>
        <s v="Déblocage du moteur et mise en marche"/>
        <s v="Chnagement d'un roulement endommagé"/>
        <s v="Extraction de la vis Serrage d'une vis M8x100 pour fixation frein"/>
        <s v="Changement d'une courroie endommagée"/>
        <s v="Changement d'un pignon confectionné"/>
        <s v="Changement d'un vérin pneumatique et mise en marche"/>
        <s v="Changement de 6 roulements 32008 et zoomage de la cassette"/>
        <s v="Chargement à la soudure et mise en marche"/>
        <s v="Debouchage du circuit d'air comprimé et mise en marche"/>
        <s v="Démontage du cabestan chargement de surface et mise en marche"/>
        <s v="Réajustement de pieds de malaxage et mise en marche"/>
        <s v="Serrage des bornes de cable de commande"/>
        <s v="Changement du disjoncteur"/>
        <s v="Réglage de position des danseur et mise en marche"/>
        <s v="Changement de la parite endommagée du cable et mise en marche"/>
        <s v="Reprogrammation du variateur "/>
        <s v="Intervention d'un technicien EVG pour la résolution du probleme d'endommagement des transformateurs"/>
        <s v="Rearmement  du disjoncteur et mise en marche"/>
        <s v="Intervention OMS pour entretien general des cercleuses"/>
        <s v="Changement d'une amppoule endommagée"/>
        <s v="Resserage elimination du jeu et nettoyage du circuit d'air comprimé"/>
        <s v="Soudage de la partie usée et mise en marche"/>
        <s v="Changement d'un réducteur et mise en marche"/>
        <s v="Soudage de la partie fissurée et mise en marche"/>
        <s v="Changement de l'automate HS et mise en marche"/>
        <s v="Elimination du jeu et mise en marche"/>
        <s v="Purge du circuit d'air comprimé et mise en marche"/>
        <s v="Changement de la goulotte et mise en marche"/>
        <s v="Changement du cadre glissant et mise en marche"/>
        <s v="Extraction et changement de l'axe plongeur endommagé"/>
        <s v="Changement d'un variateur Micromaster"/>
        <s v=" Diagnostic et elimination d'un court circuit"/>
        <s v="Changement de l'arbre et palier d'agitation"/>
        <s v="Réparation de l'axe de guidage et grille d'agitation"/>
        <s v="Rechargement à la soudure du chariot et mise en marche"/>
        <s v="Réhaussement des helices de l'arbe et mise en marche"/>
        <s v="Changement d'un arbre endommagé"/>
        <s v="Changement du tiroir par un tiroir confectionné chez tourneur"/>
        <s v="Elimination d'une surcharge et lmise en marche"/>
        <s v="Changement de la tole et du cadre glissant du tiroir"/>
        <s v="Changement d'un roulement endommagé au niveau du reducteur et mise en marche"/>
        <s v="Changement de la courroie 1760 et mise en marche"/>
        <s v="Changement de l'arrêt d'huile remontage de la table et mise en marche"/>
        <s v="Changement d'une bobine d'electrovanne endommagée"/>
        <s v="Rebagage du danseur et confections des axes usés / montage et mise en marche"/>
        <s v="Réglage de l'ascensseur et mise en marche"/>
        <s v="Changement de la courroie 2800 et mise en marche"/>
        <s v="Elimination d'un defaut d'isolement et mise en marche"/>
        <s v="Reinitialisation du variateur et mise en marche"/>
        <s v="Restauration du sytème et mise en marche"/>
        <s v="Changement d'un boutton endommagé et mise en marche"/>
        <s v="Remontage d'un accouplement desseré et mise en marche"/>
        <s v="Elimination de mauvais contacts au niveau des E/S et mise en marche"/>
        <s v="Changement des roulements E207 callage de la table"/>
        <s v="Changement d'un roulement 2210 - roulement 207E - Roulement NJ313 EC3 Montage d'une courroie 1760 et calage de la table"/>
        <s v="Entretien et vidange compresseur"/>
        <s v="Changement d'un roulement E207"/>
        <s v="Soudage de la partie usée des rails et changement des galets du convoyeur"/>
        <s v="Entretien de la pompe et mise en marche"/>
        <s v="Changement du vérin et mise en marche"/>
        <s v="Restauration des données systèmes et mise en marche"/>
        <s v="Réglage de la grille et soudage de la partie fissurée"/>
        <s v="Soudage de la partie fissurée - Soudage des supports de tiroir changement des cales du tiroir"/>
        <s v="Nettoyage de la tete de cerclage et mise en marche"/>
        <s v="Changement du flexible et mise en marche"/>
        <s v="Changement de la poulie endommagée et calage de la table"/>
        <s v="Démontage extraction des vis endommagés dressage du guide fil et montage"/>
        <s v="Confection de galet montage et mise en marcue"/>
        <s v="Changement d'un moteur 1,5kW"/>
        <s v="Réglache de la chaine réparation d'un tendeur de chaine B16 et mise en marche"/>
        <s v="Changement d'un chariot collecteur et mise en marche"/>
        <s v="Changement des silent blox endommagés et mise en marche"/>
        <s v="Deblocage du frein et mise en marche"/>
        <s v="Changement de 2 roulements à billes 6206 remontage des poulies et mise en marche"/>
        <s v="Changement des tetons endommagés et mise en marche"/>
        <s v="Changement du cable antigiratoire et mise en marche"/>
        <s v="démontage et nettoyage du vérin montage et mise en marche"/>
        <s v="Changement de roulements et mise en marche"/>
        <s v="Changement du maodule et mise en marche"/>
        <s v="Changement d'un rouleau endommagé et mise en marche"/>
        <s v="Deblocage du réducteur changement de la chaine B10 et mise en marche"/>
        <s v="Deblocage et réglage de la lame de guide fil"/>
        <s v="Changement de roulements endommagés et mise en marche"/>
        <s v="Changement d'un module d'entrée et mise en marche"/>
        <s v="Dressage de la lame de guidage et mis en marche"/>
        <s v="Entretien général du mécanisme de vibration"/>
        <s v="Confection d'un accouplement montage et mise en marche"/>
        <s v="Confection d'un chappe de vérin montage et mise en marche"/>
        <s v="Nettoyage vérin montage et mise en marche"/>
        <s v="Changement de 2 roulements à bille remontage galets et mise en marche"/>
        <s v="Changement des courroies et mise marche"/>
        <s v="Changement du cable et mise en marche"/>
        <s v="Resserrage des vis de fixation du frein et mise en marche"/>
        <s v="Changement de deux roulement galets natr n32"/>
        <s v="Dressage des ridelles graissage et mise en marche"/>
        <s v="Changement d'un galet lisse changement de 6 roulements 32008 remontage cassette "/>
        <s v="Confection de nouveau axes et mise en marche"/>
        <s v="Chnagement du distributeur et mise en marche"/>
        <s v="Chnagement du moteur et du réducteur de la pince"/>
        <s v="Changement des pales de pattes et mise en marche"/>
        <s v="Démontage changement de roulements arrêt d'huile mpontage et mise en marche"/>
        <s v="Réglage de la rail et mise en marche"/>
        <s v="Changement des galet du tiroir et soudage des pattes du malaxeur"/>
        <s v="Changement du cable de la boite à commande"/>
        <s v="Changement de roulements 6208"/>
        <s v="Changement de courroies A50"/>
        <s v="Changement motoreducteur et mise en marche"/>
        <s v="Reparation chez cielec"/>
        <s v="Changement des vis de fixation et mise en marche"/>
        <s v="Changement du motoreducteur et mise en marche"/>
        <s v="Changement des vis et mise en marche"/>
        <s v="Changement du reducteur et mise en marche"/>
        <s v="Changement des vis de fixation "/>
        <s v="entretien des fixation et mise en marche"/>
        <s v="Changemtn de l'axe plongeur et mise en marche"/>
        <s v="Vidange malaxeur"/>
        <s v="Soudage des parties endommagées et mise en marche"/>
        <s v="Changement du boulon d'entrainement et mise en marche"/>
        <s v="Changement de la courroie réglage et calage de la table"/>
        <s v="Changement de l'ensemble caisse tiroir et mise en marche"/>
        <s v=" - Changement du cable electrique transbordeur_x000a_- Changement des la chaine du descensseur_x000a_- Changement des guide de chaine du descensseur_x000a_- Soudage de la tole du convoyeur à agregats"/>
        <s v="Changement tendeur courroie "/>
        <s v="Changement des pattes usées"/>
        <s v="Demontage nettoyage edu distributeur et mise en marche"/>
        <s v="Reparation tole malaxeur"/>
        <s v="Changement du vérin du support des vessies et d'un clapet antiretour"/>
        <s v="Changement d'une courroie pj1270"/>
        <s v="Changement des vis endommagés "/>
        <s v="Changement de 16 silents blocs vidange et callage de la table vibrante"/>
        <s v="Changement de la chaine et mise en marche"/>
        <s v="Réparation du support de fixation et mise en marche"/>
        <s v="Changement du palier et mise en marche"/>
        <s v="Changement du support de lame et mise en marche"/>
        <s v="Chanegement de l'axe et mise en marche"/>
        <s v="Changement guide de lame nettoyage de la tete et mise en marche"/>
        <s v="Changement d'un roulement nj205 changement courroie callage et mise en marche"/>
        <s v="Soudage et remise en marche"/>
        <s v="Changement de la crépine et mise en marche"/>
        <s v="Changement de la chaine b12 et mise en marche"/>
        <s v="Changement guide fil "/>
        <s v="Entretien compresseur air comprimé"/>
        <s v="Changement des pattes et mise en marche"/>
        <s v="Reglage de la lame de soudage et mise en marche"/>
        <s v="Ajout d'une rondelle entre galet transbordeur et palier f212 "/>
        <s v=" - Changement des toles du malaxeur et mise en marche_x000a_- Changement du tiroir complet"/>
        <s v="Changement du flexible de verin et mise en marche"/>
        <s v="Elimination d'une fuite et mise au point du niveau d'huile"/>
        <s v="Montage du système de refroidissement"/>
        <s v="changement de la chappe du verin de la porte et mise en marche"/>
        <s v="Changement du moteur et de 4 courroies A38"/>
        <s v="Changement des toles et mise en marche"/>
        <s v="Changement des poulies et mise en marche"/>
        <s v="Serrage de l'ecrou et mise en marche"/>
        <s v="Changement des roulement du vibreur et mise en marche"/>
        <s v="Rectification de surface à la soudure et mise marche"/>
        <s v="Changement de deux roulement 6206 et montage poulie"/>
        <s v="Changement de deux ecrous bobinoir usés"/>
        <s v="Changemen,t d'un clapet antiretour endommagé et mise en marche"/>
        <s v="Changement des roulement du rotor changement d'une poulie endommagée changement des courroies"/>
        <s v="Changement de l'acumulateur et mise en marche"/>
        <s v="Changement de deux galets et un arbre et mise en marche"/>
        <s v="Changement d'une courroie 1760 calage et mise en marche"/>
        <s v="Demontage cabestan set chargement de surface"/>
        <s v="Changement de la roue reglage de soudage et mise en marche"/>
        <s v="Soudage de teton neufs et mise en marche"/>
        <s v="Changement ddes courroies et mise en marche"/>
        <s v="Extraction des vis endommagés changement des vis et mise en marche"/>
        <s v="Changement du servomoteur et mise en marche"/>
        <s v="Debouchage du circuit d'eau et mise en marche"/>
        <s v="Demontage chargement de surface et mise en marche"/>
        <s v="Changement des ventouse et mise en marche"/>
        <s v="Changement du guide fil inferieur"/>
        <s v="Chargement à la soudure de la presse et mise en marche"/>
        <s v="Changelent du cable du pont roulant et mise en marche"/>
        <s v="Changement de la chaine de pliage et mise en marche"/>
        <s v="Changement des goupilles et rectification d'un couteau de coupe"/>
        <s v="Changement de l'arbre et de la bielle et mise en marche"/>
        <s v="Changement des roulements et mise en marche"/>
        <s v="chargement de surface à la soudure et mise en marche"/>
        <s v="Réparation du régulateur et mise en marche"/>
        <s v="Changement du verin du pilon et mise en marche"/>
        <s v="Changement de la courroie et mise en marche"/>
        <s v="Intervention de cielec pour modification variateur et mise en place d'un variateur à communication Fireware ( 130 Kw) en attentant arrivée d'un variateur 55kw conforme à l'origine"/>
        <s v="Changement du clapet endommagé et mise en marche"/>
        <s v="Changement de la fin de course et mise en marche"/>
        <s v="Changement des pates de malaxeur et mise en march"/>
        <s v="Fuite interne verin pneumatique"/>
        <s v="Changement du support de porte electrode"/>
        <s v="Soudure de la partie usée et mise en marche"/>
        <s v="Demontage soudage de la partie en endommagée montage et mise en marche"/>
        <s v="Demontage et nettoyage du distributeur pneumatique"/>
        <s v="Entretien du distributeur deblocage et mise en marche"/>
        <s v="Changement De la fixation et mise en marche"/>
        <s v="Changement du verin et mise en marche"/>
        <s v="Demontage nettoyage de la came ajustement de la roue et mise en marche"/>
        <s v="Changement de l'axe plongeur et mise en marche"/>
        <s v="Soudage de la fixation et mise en marche"/>
        <s v="Changement des roulements entretien de la table et mise en marche"/>
        <s v="Liberation de la vis et mise en marche"/>
        <s v="Changement de la tôle du tiroir et reparation du cadre glissant"/>
        <s v="Changement du moteur vibreur et mise en marche"/>
        <s v="Réglage et fixation de la lance"/>
        <s v="Changement du verin et mise en arche"/>
        <s v="Chsoudage des pattes du moteur et mise en marche"/>
        <s v="Réglage de la porte et mise en marche"/>
        <s v="Changement du verin du tiroir par un autre de course plus grande"/>
        <s v="Reglage du calage et mise en marche"/>
        <s v="Soudage de la partie endomaggée changemnt d'une clavette et mise en marche"/>
        <s v="Telemaintenance EVG pour résolution du probleme - résultat : Absence de courant au niveau des bouttons du pupitre de commande"/>
        <s v="Réparation et soudage du bras de la grille d'agitation - changement des pattes du malaxeur"/>
        <s v="Réparation du tendeur et changement des courroies"/>
        <s v="Changement du cable du skip et mise en marche"/>
        <s v="Changement du flexible hydraulique du pilon et mise en marche"/>
        <s v="Changement des roulements du redresseur et mise en marche"/>
        <s v="Changement des silents bloc et mise en marche"/>
        <s v="Changement des pattes du malaxeur et du verin pneumatique de la trape - réparation du guide chaine du descensseur"/>
        <s v="Extraction des vis changement et mise en marche"/>
        <s v="Temps de livraison longs "/>
      </sharedItems>
    </cacheField>
    <cacheField name="Date fin intervention" numFmtId="14">
      <sharedItems containsNonDate="0" containsDate="1" containsString="0" containsBlank="1" minDate="2011-11-28T00:00:00" maxDate="2024-01-03T00:00:00" count="1047">
        <d v="2019-01-31T00:00:00"/>
        <d v="2019-02-01T00:00:00"/>
        <d v="2019-02-04T00:00:00"/>
        <d v="2019-02-05T00:00:00"/>
        <d v="2019-02-06T00:00:00"/>
        <d v="2019-02-07T00:00:00"/>
        <d v="2019-02-08T00:00:00"/>
        <d v="2019-02-09T00:00:00"/>
        <d v="2019-02-11T00:00:00"/>
        <d v="2019-02-12T00:00:00"/>
        <d v="2019-02-13T00:00:00"/>
        <d v="2019-02-14T00:00:00"/>
        <d v="2019-02-20T00:00:00"/>
        <d v="2019-02-23T00:00:00"/>
        <d v="2019-02-25T00:00:00"/>
        <d v="2019-02-26T00:00:00"/>
        <d v="2019-02-27T00:00:00"/>
        <d v="2019-03-01T00:00:00"/>
        <d v="2019-03-02T00:00:00"/>
        <d v="2019-03-04T00:00:00"/>
        <d v="2019-03-05T00:00:00"/>
        <d v="2019-03-06T00:00:00"/>
        <d v="2019-03-07T00:00:00"/>
        <d v="2019-03-08T00:00:00"/>
        <d v="2019-03-11T00:00:00"/>
        <d v="2019-03-12T00:00:00"/>
        <d v="2019-03-13T00:00:00"/>
        <d v="2019-03-14T00:00:00"/>
        <d v="2019-03-15T00:00:00"/>
        <d v="2019-03-16T00:00:00"/>
        <d v="2019-03-18T00:00:00"/>
        <d v="2019-03-19T00:00:00"/>
        <d v="2019-03-20T00:00:00"/>
        <d v="2019-03-23T00:00:00"/>
        <d v="2019-03-28T00:00:00"/>
        <d v="2019-04-01T00:00:00"/>
        <d v="2019-04-02T00:00:00"/>
        <d v="2019-04-03T00:00:00"/>
        <d v="2019-04-04T00:00:00"/>
        <d v="2019-04-08T00:00:00"/>
        <d v="2019-04-09T00:00:00"/>
        <d v="2019-04-10T00:00:00"/>
        <d v="2019-06-10T00:00:00"/>
        <d v="2019-04-11T00:00:00"/>
        <d v="2019-04-12T00:00:00"/>
        <d v="2019-04-15T00:00:00"/>
        <d v="2019-04-13T00:00:00"/>
        <d v="2019-04-17T00:00:00"/>
        <d v="2019-04-20T00:00:00"/>
        <d v="2019-04-19T00:00:00"/>
        <d v="2019-04-22T00:00:00"/>
        <d v="2019-04-24T00:00:00"/>
        <d v="2019-05-17T00:00:00"/>
        <d v="2019-06-17T00:00:00"/>
        <d v="2019-05-01T00:00:00"/>
        <d v="2019-05-02T00:00:00"/>
        <d v="2019-05-04T00:00:00"/>
        <d v="2019-05-03T00:00:00"/>
        <d v="2019-05-06T00:00:00"/>
        <d v="2019-05-07T00:00:00"/>
        <d v="2019-05-10T00:00:00"/>
        <d v="2019-05-11T00:00:00"/>
        <d v="2019-05-13T00:00:00"/>
        <d v="2019-05-14T00:00:00"/>
        <d v="2019-05-15T00:00:00"/>
        <d v="2019-05-16T00:00:00"/>
        <d v="2019-05-18T00:00:00"/>
        <d v="2019-05-20T00:00:00"/>
        <d v="2019-05-21T00:00:00"/>
        <d v="2019-05-30T00:00:00"/>
        <d v="2019-05-22T00:00:00"/>
        <d v="2019-05-25T00:00:00"/>
        <d v="2019-05-27T00:00:00"/>
        <d v="2019-05-28T00:00:00"/>
        <d v="2019-05-29T00:00:00"/>
        <d v="2019-06-01T00:00:00"/>
        <d v="2019-06-03T00:00:00"/>
        <d v="2019-06-04T00:00:00"/>
        <d v="2019-06-11T00:00:00"/>
        <d v="2019-06-12T00:00:00"/>
        <d v="2019-06-13T00:00:00"/>
        <d v="2020-02-10T00:00:00"/>
        <d v="2019-06-14T00:00:00"/>
        <d v="2019-06-27T00:00:00"/>
        <d v="2019-06-15T00:00:00"/>
        <d v="2019-06-16T00:00:00"/>
        <d v="2019-06-19T00:00:00"/>
        <d v="2019-06-18T00:00:00"/>
        <d v="2019-06-20T00:00:00"/>
        <d v="2019-06-21T00:00:00"/>
        <d v="2019-06-22T00:00:00"/>
        <d v="2019-06-25T00:00:00"/>
        <d v="2019-06-26T00:00:00"/>
        <d v="2019-06-28T00:00:00"/>
        <d v="2019-07-01T00:00:00"/>
        <d v="2019-07-03T00:00:00"/>
        <d v="2019-07-15T00:00:00"/>
        <d v="2019-07-04T00:00:00"/>
        <d v="2019-07-05T00:00:00"/>
        <d v="2019-07-06T00:00:00"/>
        <d v="2019-07-08T00:00:00"/>
        <d v="2019-07-09T00:00:00"/>
        <d v="2019-07-10T00:00:00"/>
        <d v="2019-07-11T00:00:00"/>
        <d v="2019-07-27T00:00:00"/>
        <d v="2019-07-13T00:00:00"/>
        <d v="2019-07-14T00:00:00"/>
        <d v="2019-09-18T00:00:00"/>
        <d v="2019-07-16T00:00:00"/>
        <d v="2019-07-17T00:00:00"/>
        <d v="2019-07-18T00:00:00"/>
        <d v="2019-07-19T00:00:00"/>
        <d v="2019-07-20T00:00:00"/>
        <d v="2019-07-22T00:00:00"/>
        <d v="2019-07-24T00:00:00"/>
        <d v="2019-07-26T00:00:00"/>
        <d v="2019-07-25T00:00:00"/>
        <d v="2019-08-27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6T00:00:00"/>
        <d v="2019-08-07T00:00:00"/>
        <d v="2019-08-09T00:00:00"/>
        <d v="2019-08-22T00:00:00"/>
        <d v="2019-08-21T00:00:00"/>
        <d v="2019-08-24T00:00:00"/>
        <d v="2019-08-23T00:00:00"/>
        <d v="2019-08-26T00:00:00"/>
        <d v="2020-04-25T00:00:00"/>
        <d v="2019-09-03T00:00:00"/>
        <d v="2019-09-06T00:00:00"/>
        <d v="2019-09-07T00:00:00"/>
        <d v="2019-09-10T00:00:00"/>
        <d v="2019-09-12T00:00:00"/>
        <d v="2019-09-13T00:00:00"/>
        <d v="2019-09-14T00:00:00"/>
        <d v="2019-09-16T00:00:00"/>
        <d v="2019-09-17T00:00:00"/>
        <d v="2019-10-02T00:00:00"/>
        <d v="2019-09-19T00:00:00"/>
        <d v="2019-09-20T00:00:00"/>
        <d v="2019-09-21T00:00:00"/>
        <d v="2019-09-23T00:00:00"/>
        <d v="2019-09-24T00:00:00"/>
        <d v="2019-09-25T00:00:00"/>
        <d v="2019-10-24T00:00:00"/>
        <d v="2019-09-27T00:00:00"/>
        <d v="2019-09-28T00:00:00"/>
        <d v="2019-09-30T00:00:00"/>
        <d v="2019-10-01T00:00:00"/>
        <d v="2019-10-03T00:00:00"/>
        <d v="2019-10-04T00:00:00"/>
        <d v="2019-10-05T00:00:00"/>
        <d v="2019-10-07T00:00:00"/>
        <d v="2019-10-08T00:00:00"/>
        <d v="2019-10-09T00:00:00"/>
        <d v="2019-10-10T00:00:00"/>
        <d v="2019-10-12T00:00:00"/>
        <d v="2019-10-15T00:00:00"/>
        <d v="2019-10-17T00:00:00"/>
        <d v="2019-10-18T00:00:00"/>
        <d v="2019-10-19T00:00:00"/>
        <d v="2019-10-25T00:00:00"/>
        <d v="2019-10-21T00:00:00"/>
        <d v="2019-10-22T00:00:00"/>
        <d v="2019-10-23T00:00:00"/>
        <d v="2019-10-26T00:00:00"/>
        <d v="2019-10-27T00:00:00"/>
        <d v="2019-10-28T00:00:00"/>
        <d v="2019-01-28T00:00:00"/>
        <d v="2019-10-29T00:00:00"/>
        <d v="2019-10-30T00:00:00"/>
        <d v="2019-10-31T00:00:00"/>
        <d v="2019-11-01T00:00:00"/>
        <d v="2019-11-04T00:00:00"/>
        <d v="2019-11-05T00:00:00"/>
        <d v="2019-11-07T00:00:00"/>
        <d v="2019-11-11T00:00:00"/>
        <d v="2019-11-12T00:00:00"/>
        <d v="2019-11-16T00:00:00"/>
        <d v="2019-11-13T00:00:00"/>
        <d v="2019-11-14T00:00:00"/>
        <d v="2019-11-15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6T00:00:00"/>
        <d v="2019-11-25T00:00:00"/>
        <d v="2019-11-27T00:00:00"/>
        <d v="2019-12-09T00:00:00"/>
        <d v="2019-12-14T00:00:00"/>
        <d v="2019-12-02T00:00:00"/>
        <d v="2019-11-29T00:00:00"/>
        <d v="2019-11-30T00:00:00"/>
        <d v="2019-12-04T00:00:00"/>
        <d v="2019-11-02T00:00:00"/>
        <d v="2019-12-03T00:00:00"/>
        <d v="2019-12-06T00:00:00"/>
        <d v="2019-12-11T00:00:00"/>
        <d v="2019-12-10T00:00:00"/>
        <d v="2019-12-12T00:00:00"/>
        <d v="2019-12-13T00:00:00"/>
        <d v="2019-12-16T00:00:00"/>
        <d v="2019-12-18T00:00:00"/>
        <d v="2019-12-17T00:00:00"/>
        <d v="2019-12-19T00:00:00"/>
        <d v="2019-12-20T00:00:00"/>
        <d v="2019-12-21T00:00:00"/>
        <d v="2019-12-23T00:00:00"/>
        <d v="2019-12-24T00:00:00"/>
        <d v="2019-12-25T00:00:00"/>
        <d v="2019-12-26T00:00:00"/>
        <d v="2020-02-24T00:00:00"/>
        <d v="2020-01-07T00:00:00"/>
        <d v="2019-12-27T00:00:00"/>
        <d v="2020-01-03T00:00:00"/>
        <d v="2019-12-28T00:00:00"/>
        <d v="2019-12-29T00:00:00"/>
        <d v="2019-12-30T00:00:00"/>
        <d v="2019-12-31T00:00:00"/>
        <d v="2020-01-01T00:00:00"/>
        <d v="2020-01-02T00:00:00"/>
        <d v="2020-01-04T00:00:00"/>
        <d v="2020-01-05T00:00:00"/>
        <d v="2020-01-06T00:00:00"/>
        <d v="2020-01-08T00:00:00"/>
        <d v="2020-02-18T00:00:00"/>
        <d v="2020-01-09T00:00:00"/>
        <d v="2020-01-10T00:00:00"/>
        <d v="2020-01-12T00:00:00"/>
        <d v="2020-01-13T00:00:00"/>
        <d v="2020-03-10T00:00:00"/>
        <d v="2020-01-14T00:00:00"/>
        <d v="2020-01-15T00:00:00"/>
        <d v="2020-01-16T00:00:00"/>
        <d v="2020-01-18T00:00:00"/>
        <d v="2020-01-20T00:00:00"/>
        <d v="2020-01-21T00:00:00"/>
        <d v="2020-01-23T00:00:00"/>
        <d v="2020-01-22T00:00:00"/>
        <d v="2020-01-27T00:00:00"/>
        <d v="2020-01-24T00:00:00"/>
        <d v="2020-01-28T00:00:00"/>
        <d v="2020-01-30T00:00:00"/>
        <d v="2020-02-01T00:00:00"/>
        <d v="2020-02-03T00:00:00"/>
        <d v="2020-02-04T00:00:00"/>
        <d v="2020-02-06T00:00:00"/>
        <d v="2020-02-07T00:00:00"/>
        <d v="2020-02-08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20T00:00:00"/>
        <d v="2020-02-21T00:00:00"/>
        <d v="2020-02-22T00:00:00"/>
        <d v="2020-03-03T00:00:00"/>
        <d v="2020-02-25T00:00:00"/>
        <d v="2020-02-26T00:00:00"/>
        <d v="2020-02-27T00:00:00"/>
        <d v="2020-02-28T00:00:00"/>
        <d v="2020-02-29T00:00:00"/>
        <d v="2020-03-04T00:00:00"/>
        <d v="2020-03-05T00:00:00"/>
        <d v="2020-03-06T00:00:00"/>
        <d v="2020-03-07T00:00:00"/>
        <d v="2020-03-09T00:00:00"/>
        <d v="2020-03-11T00:00:00"/>
        <d v="2020-03-12T00:00:00"/>
        <d v="2020-03-14T00:00:00"/>
        <d v="2020-04-16T00:00:00"/>
        <d v="2020-03-17T00:00:00"/>
        <d v="2020-03-16T00:00:00"/>
        <d v="2020-03-18T00:00:00"/>
        <d v="2020-03-25T00:00:00"/>
        <d v="2020-03-28T00:00:00"/>
        <d v="2020-04-03T00:00:00"/>
        <d v="2020-04-08T00:00:00"/>
        <d v="2020-04-09T00:00:00"/>
        <d v="2020-04-10T00:00:00"/>
        <d v="2020-04-14T00:00:00"/>
        <d v="2020-04-23T00:00:00"/>
        <d v="2020-04-21T00:00:00"/>
        <d v="2020-04-22T00:00:00"/>
        <d v="2020-09-28T00:00:00"/>
        <d v="2020-04-24T00:00:00"/>
        <d v="2020-04-28T00:00:00"/>
        <d v="2020-04-29T00:00:00"/>
        <d v="2020-04-30T00:00:00"/>
        <d v="2020-05-01T00:00:00"/>
        <d v="2020-05-02T00:00:00"/>
        <d v="2020-05-04T00:00:00"/>
        <d v="2020-05-05T00:00:00"/>
        <d v="2020-05-08T00:00:00"/>
        <d v="2020-05-09T00:00:00"/>
        <d v="2020-05-12T00:00:00"/>
        <d v="2020-06-09T00:00:00"/>
        <d v="2020-06-04T00:00:00"/>
        <d v="2020-06-03T00:00:00"/>
        <d v="2020-06-02T00:00:00"/>
        <d v="2021-09-28T00:00:00"/>
        <d v="2021-10-13T00:00:00"/>
        <d v="2021-11-25T00:00:00"/>
        <d v="2021-12-04T00:00:00"/>
        <d v="2022-04-09T00:00:00"/>
        <d v="2020-06-07T00:00:00"/>
        <d v="2020-06-05T00:00:00"/>
        <d v="2020-06-06T00:00:00"/>
        <d v="2020-06-08T00:00:00"/>
        <d v="2020-06-10T00:00:00"/>
        <d v="2020-06-16T00:00:00"/>
        <d v="2020-06-17T00:00:00"/>
        <d v="2020-06-20T00:00:00"/>
        <d v="2020-06-18T00:00:00"/>
        <d v="2020-06-21T00:00:00"/>
        <d v="2020-06-19T00:00:00"/>
        <d v="2020-06-27T00:00:00"/>
        <d v="2020-06-23T00:00:00"/>
        <d v="2020-06-24T00:00:00"/>
        <d v="2020-06-25T00:00:00"/>
        <d v="2020-07-01T00:00:00"/>
        <d v="2020-07-02T00:00:00"/>
        <d v="2020-07-03T00:00:00"/>
        <d v="2020-07-04T00:00:00"/>
        <d v="2020-07-08T00:00:00"/>
        <d v="2020-07-05T00:00:00"/>
        <d v="2020-07-06T00:00:00"/>
        <d v="2020-07-17T00:00:00"/>
        <d v="2021-01-26T00:00:00"/>
        <d v="2020-07-09T00:00:00"/>
        <d v="2020-07-07T00:00:00"/>
        <d v="2020-07-15T00:00:00"/>
        <d v="2020-07-10T00:00:00"/>
        <d v="2020-07-11T00:00:00"/>
        <d v="2020-07-13T00:00:00"/>
        <d v="2020-07-14T00:00:00"/>
        <d v="2020-07-16T00:00:00"/>
        <d v="2020-07-18T00:00:00"/>
        <d v="2020-07-20T00:00:00"/>
        <d v="2020-07-21T00:00:00"/>
        <d v="2020-07-22T00:00:00"/>
        <d v="2020-07-27T00:00:00"/>
        <d v="2020-08-10T00:00:00"/>
        <d v="2020-07-28T00:00:00"/>
        <d v="2020-08-05T00:00:00"/>
        <d v="2020-08-11T00:00:00"/>
        <d v="2020-08-12T00:00:00"/>
        <d v="2020-08-15T00:00:00"/>
        <d v="2020-05-13T00:00:00"/>
        <d v="2020-05-14T00:00:00"/>
        <d v="2020-08-17T00:00:00"/>
        <d v="2020-08-16T00:00:00"/>
        <d v="2020-08-21T00:00:00"/>
        <d v="2020-09-07T00:00:00"/>
        <d v="2020-08-26T00:00:00"/>
        <d v="2020-08-31T00:00:00"/>
        <d v="2020-09-01T00:00:00"/>
        <d v="2020-09-02T00:00:00"/>
        <d v="2020-09-03T00:00:00"/>
        <d v="2020-09-04T00:00:00"/>
        <d v="2020-09-05T00:00:00"/>
        <d v="2020-09-09T00:00:00"/>
        <d v="2020-09-08T00:00:00"/>
        <d v="2020-09-22T00:00:00"/>
        <d v="2020-09-11T00:00:00"/>
        <d v="2020-09-10T00:00:00"/>
        <d v="2020-09-21T00:00:00"/>
        <d v="2020-09-12T00:00:00"/>
        <d v="2020-09-14T00:00:00"/>
        <d v="2020-09-15T00:00:00"/>
        <d v="2020-09-16T00:00:00"/>
        <d v="2020-09-17T00:00:00"/>
        <d v="2020-09-24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2T00:00:00"/>
        <d v="2020-10-13T00:00:00"/>
        <d v="2020-10-14T00:00:00"/>
        <d v="2020-10-16T00:00:00"/>
        <d v="2020-10-17T00:00:00"/>
        <d v="2020-10-19T00:00:00"/>
        <d v="2020-10-20T00:00:00"/>
        <d v="2020-10-21T00:00:00"/>
        <d v="2020-10-22T00:00:00"/>
        <d v="2020-10-23T00:00:00"/>
        <d v="2020-10-24T00:00:00"/>
        <d v="2020-10-26T00:00:00"/>
        <d v="2020-10-29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3T00:00:00"/>
        <d v="2020-11-14T00:00:00"/>
        <d v="2020-11-15T00:00:00"/>
        <d v="2020-11-16T00:00:00"/>
        <d v="2020-11-17T00:00:00"/>
        <d v="2020-11-20T00:00:00"/>
        <d v="2020-11-21T00:00:00"/>
        <d v="2020-11-22T00:00:00"/>
        <d v="2020-11-25T00:00:00"/>
        <d v="2020-11-27T00:00:00"/>
        <d v="2020-11-28T00:00:00"/>
        <d v="2020-11-29T00:00:00"/>
        <d v="2020-11-30T00:00:00"/>
        <d v="2020-12-01T00:00:00"/>
        <d v="2020-12-02T00:00:00"/>
        <d v="2020-12-30T00:00:00"/>
        <d v="2020-12-05T00:00:00"/>
        <d v="2020-12-08T00:00:00"/>
        <d v="2020-12-11T00:00:00"/>
        <d v="2020-12-09T00:00:00"/>
        <d v="2020-12-10T00:00:00"/>
        <d v="2020-12-12T00:00:00"/>
        <d v="2020-12-14T00:00:00"/>
        <d v="2020-12-15T00:00:00"/>
        <d v="2020-12-16T00:00:00"/>
        <d v="2020-12-17T00:00:00"/>
        <d v="2020-12-20T00:00:00"/>
        <d v="2020-12-19T00:00:00"/>
        <d v="2020-12-21T00:00:00"/>
        <d v="2020-12-22T00:00:00"/>
        <d v="2020-12-23T00:00:00"/>
        <d v="2020-12-24T00:00:00"/>
        <d v="2020-12-25T00:00:00"/>
        <d v="2020-12-26T00:00:00"/>
        <d v="2020-12-28T00:00:00"/>
        <d v="2020-12-29T00:00:00"/>
        <d v="2020-12-31T00:00:00"/>
        <d v="2021-01-02T00:00:00"/>
        <d v="2022-01-03T00:00:00"/>
        <d v="2021-01-15T00:00:00"/>
        <d v="2021-01-04T00:00:00"/>
        <d v="2021-01-05T00:00:00"/>
        <d v="2021-01-06T00:00:00"/>
        <d v="2021-01-07T00:00:00"/>
        <d v="2021-01-08T00:00:00"/>
        <d v="2021-01-09T00:00:00"/>
        <d v="2021-01-11T00:00:00"/>
        <d v="2021-01-12T00:00:00"/>
        <d v="2021-01-13T00:00:00"/>
        <d v="2021-01-14T00:00:00"/>
        <d v="2021-01-16T00:00:00"/>
        <d v="2021-01-18T00:00:00"/>
        <d v="2021-01-19T00:00:00"/>
        <d v="2021-01-20T00:00:00"/>
        <d v="2021-01-21T00:00:00"/>
        <d v="2021-01-22T00:00:00"/>
        <d v="2021-01-27T00:00:00"/>
        <d v="2021-01-28T00:00:00"/>
        <d v="2021-01-29T00:00:00"/>
        <d v="2021-01-30T00:00:00"/>
        <d v="2021-02-01T00:00:00"/>
        <d v="2021-02-02T00:00:00"/>
        <d v="2021-02-03T00:00:00"/>
        <d v="2021-02-04T00:00:00"/>
        <d v="2021-02-05T00:00:00"/>
        <d v="2021-02-08T00:00:00"/>
        <d v="2021-02-09T00:00:00"/>
        <d v="2021-02-10T00:00:00"/>
        <d v="2021-02-11T00:00:00"/>
        <d v="2021-02-12T00:00:00"/>
        <d v="2021-02-13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5T00:00:00"/>
        <d v="2021-02-26T00:00:00"/>
        <d v="2021-02-27T00:00:00"/>
        <d v="2021-03-01T00:00:00"/>
        <d v="2021-03-02T00:00:00"/>
        <d v="2021-03-03T00:00:00"/>
        <d v="2021-03-04T00:00:00"/>
        <d v="2021-03-05T00:00:00"/>
        <d v="2021-03-06T00:00:00"/>
        <d v="2021-03-08T00:00:00"/>
        <d v="2021-03-09T00:00:00"/>
        <d v="2021-03-10T00:00:00"/>
        <d v="2021-03-11T00:00:00"/>
        <d v="2021-03-12T00:00:00"/>
        <d v="2021-03-13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5T00:00:00"/>
        <d v="2021-04-06T00:00:00"/>
        <d v="2021-04-07T00:00:00"/>
        <d v="2021-04-08T00:00:00"/>
        <d v="2021-04-09T00:00:00"/>
        <d v="2021-04-10T00:00:00"/>
        <d v="2021-04-12T00:00:00"/>
        <d v="2021-04-13T00:00:00"/>
        <d v="2021-04-14T00:00:00"/>
        <d v="2021-04-15T00:00:00"/>
        <d v="2021-04-16T00:00:00"/>
        <d v="2021-04-17T00:00:00"/>
        <d v="2021-04-19T00:00:00"/>
        <d v="2021-04-20T00:00:00"/>
        <d v="2021-04-21T00:00:00"/>
        <d v="2021-04-22T00:00:00"/>
        <d v="2021-04-23T00:00:00"/>
        <d v="2021-04-24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31T00:00:00"/>
        <d v="2021-05-07T00:00:00"/>
        <d v="2021-05-15T00:00:00"/>
        <d v="2021-05-08T00:00:00"/>
        <d v="2021-05-09T00:00:00"/>
        <d v="2021-05-10T00:00:00"/>
        <d v="2021-05-11T00:00:00"/>
        <d v="2021-05-12T00:00:00"/>
        <d v="2021-05-17T00:00:00"/>
        <d v="2021-05-18T00:00:00"/>
        <d v="2021-05-21T00:00:00"/>
        <d v="2021-05-22T00:00:00"/>
        <d v="2021-05-26T00:00:00"/>
        <d v="2021-05-27T00:00:00"/>
        <d v="2021-05-28T00:00:00"/>
        <d v="2021-05-29T00:00:00"/>
        <d v="2021-06-01T00:00:00"/>
        <d v="2021-06-30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5T00:00:00"/>
        <d v="2021-06-16T00:00:00"/>
        <d v="2021-06-19T00:00:00"/>
        <d v="2021-06-17T00:00:00"/>
        <d v="2021-06-18T00:00:00"/>
        <d v="2021-06-23T00:00:00"/>
        <d v="2021-06-25T00:00:00"/>
        <d v="2021-06-28T00:00:00"/>
        <d v="2021-07-01T00:00:00"/>
        <d v="2021-07-05T00:00:00"/>
        <d v="2021-07-31T00:00:00"/>
        <d v="2021-08-05T00:00:00"/>
        <d v="2021-08-04T00:00:00"/>
        <d v="2021-08-06T00:00:00"/>
        <d v="2021-08-07T00:00:00"/>
        <d v="2021-08-31T00:00:00"/>
        <d v="2021-08-19T00:00:00"/>
        <d v="2021-08-23T00:00:00"/>
        <d v="2021-08-24T00:00:00"/>
        <d v="2021-08-27T00:00:00"/>
        <d v="2021-08-30T00:00:00"/>
        <d v="2021-09-30T00:00:00"/>
        <d v="2021-09-01T00:00:00"/>
        <d v="2021-09-03T00:00:00"/>
        <d v="2021-09-06T00:00:00"/>
        <d v="2021-09-07T00:00:00"/>
        <d v="2021-09-08T00:00:00"/>
        <d v="2021-09-09T00:00:00"/>
        <d v="2021-09-10T00:00:00"/>
        <d v="2021-09-11T00:00:00"/>
        <d v="2021-09-13T00:00:00"/>
        <d v="2021-09-14T00:00:00"/>
        <d v="2021-09-15T00:00:00"/>
        <d v="2021-09-16T00:00:00"/>
        <d v="2021-08-16T00:00:00"/>
        <d v="2021-09-17T00:00:00"/>
        <d v="2021-09-21T00:00:00"/>
        <d v="2021-09-18T00:00:00"/>
        <d v="2021-09-20T00:00:00"/>
        <d v="2021-09-22T00:00:00"/>
        <d v="2021-09-23T00:00:00"/>
        <d v="2021-09-24T00:00:00"/>
        <d v="2021-09-25T00:00:00"/>
        <d v="2021-09-26T00:00:00"/>
        <d v="2021-09-27T00:00:00"/>
        <d v="2021-09-29T00:00:00"/>
        <d v="2021-10-01T00:00:00"/>
        <d v="2021-10-02T00:00:00"/>
        <d v="2021-10-05T00:00:00"/>
        <d v="2021-10-04T00:00:00"/>
        <d v="2021-10-15T00:00:00"/>
        <d v="2021-10-06T00:00:00"/>
        <d v="2021-10-07T00:00:00"/>
        <d v="2021-10-09T00:00:00"/>
        <d v="2021-10-11T00:00:00"/>
        <d v="2021-10-12T00:00:00"/>
        <d v="2021-10-14T00:00:00"/>
        <d v="2021-10-18T00:00:00"/>
        <d v="2021-10-21T00:00:00"/>
        <d v="2021-10-22T00:00:00"/>
        <d v="2021-10-23T00:00:00"/>
        <d v="2021-10-25T00:00:00"/>
        <d v="2021-10-28T00:00:00"/>
        <d v="2021-10-26T00:00:00"/>
        <d v="2021-10-29T00:00:00"/>
        <d v="2021-10-30T00:00:00"/>
        <d v="2021-10-31T00:00:00"/>
        <d v="2021-11-01T00:00:00"/>
        <d v="2021-11-27T00:00:00"/>
        <d v="2021-11-17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9T00:00:00"/>
        <d v="2021-11-15T00:00:00"/>
        <d v="2021-11-23T00:00:00"/>
        <d v="2021-11-16T00:00:00"/>
        <d v="2021-11-18T00:00:00"/>
        <d v="2021-11-20T00:00:00"/>
        <d v="2021-11-21T00:00:00"/>
        <d v="2021-11-22T00:00:00"/>
        <d v="2021-11-24T00:00:00"/>
        <d v="2021-11-26T00:00:00"/>
        <d v="2021-11-29T00:00:00"/>
        <d v="2021-11-28T00:00:00"/>
        <d v="2011-11-28T00:00:00"/>
        <d v="2021-11-30T00:00:00"/>
        <d v="2021-12-01T00:00:00"/>
        <d v="2021-12-02T00:00:00"/>
        <d v="2021-12-03T00:00:00"/>
        <d v="2021-12-06T00:00:00"/>
        <d v="2021-12-09T00:00:00"/>
        <d v="2021-12-07T00:00:00"/>
        <d v="2021-12-08T00:00:00"/>
        <d v="2021-12-10T00:00:00"/>
        <d v="2021-12-11T00:00:00"/>
        <d v="2021-12-13T00:00:00"/>
        <d v="2021-12-14T00:00:00"/>
        <d v="2021-12-15T00:00:00"/>
        <d v="2021-12-16T00:00:00"/>
        <d v="2021-12-18T00:00:00"/>
        <d v="2021-12-20T00:00:00"/>
        <d v="2021-12-21T00:00:00"/>
        <d v="2021-12-22T00:00:00"/>
        <d v="2021-12-23T00:00:00"/>
        <d v="2021-12-24T00:00:00"/>
        <d v="2021-12-25T00:00:00"/>
        <d v="2021-12-27T00:00:00"/>
        <d v="2021-12-28T00:00:00"/>
        <d v="2021-12-29T00:00:00"/>
        <d v="2021-12-31T00:00:00"/>
        <d v="2021-12-30T00:00:00"/>
        <d v="2022-01-02T00:00:00"/>
        <d v="2022-01-01T00:00:00"/>
        <d v="2022-01-04T00:00:00"/>
        <d v="2022-01-05T00:00:00"/>
        <d v="2022-01-06T00:00:00"/>
        <d v="2022-01-10T00:00:00"/>
        <d v="2022-01-07T00:00:00"/>
        <d v="2022-01-08T00:00:00"/>
        <d v="2022-01-09T00:00:00"/>
        <d v="2022-01-12T00:00:00"/>
        <d v="2022-01-13T00:00:00"/>
        <d v="2022-01-14T00:00:00"/>
        <d v="2022-01-16T00:00:00"/>
        <d v="2022-01-15T00:00:00"/>
        <d v="2022-01-18T00:00:00"/>
        <d v="2022-01-19T00:00:00"/>
        <d v="2022-01-20T00:00:00"/>
        <d v="2022-01-24T00:00:00"/>
        <d v="2022-01-25T00:00:00"/>
        <d v="2022-01-26T00:00:00"/>
        <d v="2022-01-27T00:00:00"/>
        <d v="2022-01-28T00:00:00"/>
        <d v="2022-01-31T00:00:00"/>
        <d v="2022-01-29T00:00:00"/>
        <d v="2022-02-02T00:00:00"/>
        <d v="2022-02-05T00:00:00"/>
        <d v="2022-02-07T00:00:00"/>
        <d v="2022-02-08T00:00:00"/>
        <d v="2022-02-11T00:00:00"/>
        <d v="2022-02-16T00:00:00"/>
        <d v="2022-02-14T00:00:00"/>
        <d v="2022-02-15T00:00:00"/>
        <d v="2022-02-19T00:00:00"/>
        <d v="2022-02-17T00:00:00"/>
        <d v="2022-02-18T00:00:00"/>
        <d v="2022-02-21T00:00:00"/>
        <d v="2022-02-22T00:00:00"/>
        <d v="2022-02-24T00:00:00"/>
        <d v="2022-02-25T00:00:00"/>
        <d v="2022-02-26T00:00:00"/>
        <d v="2022-03-14T00:00:00"/>
        <d v="2022-02-28T00:00:00"/>
        <d v="2022-03-01T00:00:00"/>
        <d v="2022-03-04T00:00:00"/>
        <d v="2022-03-05T00:00:00"/>
        <d v="2022-03-07T00:00:00"/>
        <d v="2022-03-09T00:00:00"/>
        <d v="2022-03-11T00:00:00"/>
        <d v="2022-03-12T00:00:00"/>
        <d v="2022-03-13T00:00:00"/>
        <d v="2022-03-21T00:00:00"/>
        <d v="2022-03-22T00:00:00"/>
        <d v="2022-03-23T00:00:00"/>
        <d v="2022-03-24T00:00:00"/>
        <d v="2022-03-26T00:00:00"/>
        <d v="2022-03-28T00:00:00"/>
        <d v="2022-03-29T00:00:00"/>
        <d v="2022-03-30T00:00:00"/>
        <d v="2022-03-31T00:00:00"/>
        <d v="2022-04-01T00:00:00"/>
        <d v="2022-04-05T00:00:00"/>
        <d v="2022-04-06T00:00:00"/>
        <d v="2022-04-07T00:00:00"/>
        <d v="2022-04-11T00:00:00"/>
        <d v="2022-04-12T00:00:00"/>
        <d v="2022-04-13T00:00:00"/>
        <d v="2022-04-14T00:00:00"/>
        <d v="2022-04-15T00:00:00"/>
        <d v="2022-04-17T00:00:00"/>
        <d v="2022-04-18T00:00:00"/>
        <d v="2022-04-19T00:00:00"/>
        <d v="2022-04-20T00:00:00"/>
        <d v="2022-04-23T00:00:00"/>
        <d v="2022-04-25T00:00:00"/>
        <d v="2022-04-26T00:00:00"/>
        <d v="2022-04-27T00:00:00"/>
        <d v="2022-05-01T00:00:00"/>
        <d v="2022-05-04T00:00:00"/>
        <d v="2022-05-05T00:00:00"/>
        <d v="2022-05-07T00:00:00"/>
        <d v="2022-05-06T00:00:00"/>
        <d v="2022-05-09T00:00:00"/>
        <d v="2022-05-10T00:00:00"/>
        <d v="2022-05-11T00:00:00"/>
        <d v="2022-05-12T00:00:00"/>
        <d v="2022-05-17T00:00:00"/>
        <d v="2022-05-18T00:00:00"/>
        <d v="2022-05-19T00:00:00"/>
        <d v="2022-05-20T00:00:00"/>
        <d v="2022-05-21T00:00:00"/>
        <d v="2022-05-23T00:00:00"/>
        <d v="2022-05-24T00:00:00"/>
        <d v="2022-05-25T00:00:00"/>
        <d v="2022-05-27T00:00:00"/>
        <d v="2022-05-28T00:00:00"/>
        <d v="2022-05-30T00:00:00"/>
        <d v="2022-06-01T00:00:00"/>
        <d v="2022-06-30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5T00:00:00"/>
        <d v="2022-06-16T00:00:00"/>
        <d v="2022-06-19T00:00:00"/>
        <d v="2022-06-17T00:00:00"/>
        <d v="2022-06-18T00:00:00"/>
        <d v="2022-06-23T00:00:00"/>
        <d v="2022-06-25T00:00:00"/>
        <d v="2022-06-28T00:00:00"/>
        <d v="2022-07-01T00:00:00"/>
        <d v="2022-07-05T00:00:00"/>
        <d v="2022-07-31T00:00:00"/>
        <m/>
        <d v="2022-07-22T00:00:00"/>
        <d v="2022-08-05T00:00:00"/>
        <d v="2022-08-04T00:00:00"/>
        <d v="2022-08-06T00:00:00"/>
        <d v="2022-08-07T00:00:00"/>
        <d v="2022-08-31T00:00:00"/>
        <d v="2022-08-19T00:00:00"/>
        <d v="2022-08-23T00:00:00"/>
        <d v="2022-08-24T00:00:00"/>
        <d v="2022-08-27T00:00:00"/>
        <d v="2022-08-26T00:00:00"/>
        <d v="2022-08-30T00:00:00"/>
        <d v="2022-09-30T00:00:00"/>
        <d v="2022-09-01T00:00:00"/>
        <d v="2022-09-03T00:00:00"/>
        <d v="2022-09-06T00:00:00"/>
        <d v="2022-09-07T00:00:00"/>
        <d v="2022-09-08T00:00:00"/>
        <d v="2022-09-09T00:00:00"/>
        <d v="2022-09-10T00:00:00"/>
        <d v="2022-09-11T00:00:00"/>
        <d v="2022-09-13T00:00:00"/>
        <d v="2022-09-28T00:00:00"/>
        <d v="2022-09-14T00:00:00"/>
        <d v="2022-09-15T00:00:00"/>
        <d v="2022-09-16T00:00:00"/>
        <d v="2022-08-16T00:00:00"/>
        <d v="2022-09-17T00:00:00"/>
        <d v="2022-09-21T00:00:00"/>
        <d v="2022-09-18T00:00:00"/>
        <d v="2022-09-20T00:00:00"/>
        <d v="2023-01-02T00:00:00"/>
        <d v="2023-01-03T00:00:00"/>
        <d v="2023-01-04T00:00:00"/>
        <d v="2023-01-06T00:00:00"/>
        <d v="2023-01-07T00:00:00"/>
        <d v="2023-01-12T00:00:00"/>
        <d v="2023-01-31T00:00:00"/>
        <d v="2023-01-24T00:00:00"/>
        <d v="2023-01-29T00:00:00"/>
        <d v="2023-01-27T00:00:00"/>
        <d v="2023-02-08T00:00:00"/>
        <d v="2023-02-09T00:00:00"/>
        <d v="2023-02-14T00:00:00"/>
        <d v="2023-02-16T00:00:00"/>
        <d v="2023-02-17T00:00:00"/>
        <d v="2023-02-18T00:00:00"/>
        <d v="2023-02-20T00:00:00"/>
        <d v="2023-02-21T00:00:00"/>
        <d v="2023-02-22T00:00:00"/>
        <d v="2023-02-23T00:00:00"/>
        <d v="2023-02-25T00:00:00"/>
        <d v="2023-03-02T00:00:00"/>
        <d v="2023-03-08T00:00:00"/>
        <d v="2023-03-03T00:00:00"/>
        <d v="2023-03-04T00:00:00"/>
        <d v="2023-03-06T00:00:00"/>
        <d v="2023-03-07T00:00:00"/>
        <d v="2023-03-09T00:00:00"/>
        <d v="2023-03-11T00:00:00"/>
        <d v="2023-03-10T00:00:00"/>
        <d v="2023-03-14T00:00:00"/>
        <d v="2023-03-16T00:00:00"/>
        <d v="2023-03-20T00:00:00"/>
        <d v="2023-03-27T00:00:00"/>
        <d v="2023-03-22T00:00:00"/>
        <d v="2023-03-23T00:00:00"/>
        <d v="2023-03-24T00:00:00"/>
        <d v="2023-03-31T00:00:00"/>
        <d v="2023-04-02T00:00:00"/>
        <d v="2023-04-04T00:00:00"/>
        <d v="2023-04-05T00:00:00"/>
        <d v="2023-04-06T00:00:00"/>
        <d v="2023-04-08T00:00:00"/>
        <d v="2023-04-07T00:00:00"/>
        <d v="2023-04-09T00:00:00"/>
        <d v="2023-04-10T00:00:00"/>
        <d v="2023-05-10T00:00:00"/>
        <d v="2023-04-11T00:00:00"/>
        <d v="2023-04-12T00:00:00"/>
        <d v="2023-04-13T00:00:00"/>
        <d v="2023-04-15T00:00:00"/>
        <d v="2023-04-18T00:00:00"/>
        <d v="2023-04-19T00:00:00"/>
        <d v="2023-04-21T00:00:00"/>
        <d v="2023-04-26T00:00:00"/>
        <d v="2023-04-27T00:00:00"/>
        <d v="2023-04-28T00:00:00"/>
        <d v="2023-04-29T00:00:00"/>
        <d v="2023-05-02T00:00:00"/>
        <d v="2023-05-03T00:00:00"/>
        <d v="2023-05-04T00:00:00"/>
        <d v="2023-05-05T00:00:00"/>
        <d v="2023-05-12T00:00:00"/>
        <d v="2023-05-14T00:00:00"/>
        <d v="2023-05-16T00:00:00"/>
        <d v="2023-05-17T00:00:00"/>
        <d v="2023-05-18T00:00:00"/>
        <d v="2023-05-22T00:00:00"/>
        <d v="2023-05-23T00:00:00"/>
        <d v="2023-05-25T00:00:00"/>
        <d v="2023-05-27T00:00:00"/>
        <d v="2023-05-29T00:00:00"/>
        <d v="2023-05-30T00:00:00"/>
        <d v="2023-05-31T00:00:00"/>
        <d v="2023-06-01T00:00:00"/>
        <d v="2023-06-30T00:00:00"/>
        <d v="2023-06-02T00:00:00"/>
        <d v="2023-06-03T00:00:00"/>
        <d v="2023-06-05T00:00:00"/>
        <d v="2023-06-06T00:00:00"/>
        <d v="2023-06-08T00:00:00"/>
        <d v="2023-06-09T00:00:00"/>
        <d v="2023-06-10T00:00:00"/>
        <d v="2023-06-12T00:00:00"/>
        <d v="2023-06-13T00:00:00"/>
        <d v="2023-06-16T00:00:00"/>
        <d v="2023-06-14T00:00:00"/>
        <d v="2023-06-22T00:00:00"/>
        <d v="2023-06-24T00:00:00"/>
        <d v="2023-07-31T00:00:00"/>
        <d v="2023-07-05T00:00:00"/>
        <d v="2023-07-10T00:00:00"/>
        <d v="2023-07-11T00:00:00"/>
        <d v="2023-07-12T00:00:00"/>
        <d v="2023-07-13T00:00:00"/>
        <d v="2023-07-14T00:00:00"/>
        <d v="2023-07-15T00:00:00"/>
        <d v="2023-07-18T00:00:00"/>
        <d v="2023-07-20T00:00:00"/>
        <d v="2023-07-21T00:00:00"/>
        <d v="2023-07-25T00:00:00"/>
        <d v="2023-07-26T00:00:00"/>
        <d v="2023-07-27T00:00:00"/>
        <d v="2023-07-29T00:00:00"/>
        <d v="2023-08-01T00:00:00"/>
        <d v="2023-08-31T00:00:00"/>
        <d v="2023-08-02T00:00:00"/>
        <d v="2023-08-03T00:00:00"/>
        <d v="2023-08-07T00:00:00"/>
        <d v="2023-08-08T00:00:00"/>
        <d v="2023-08-10T00:00:00"/>
        <d v="2023-08-16T00:00:00"/>
        <d v="2023-08-15T00:00:00"/>
        <d v="2023-08-17T00:00:00"/>
        <d v="2023-08-18T00:00:00"/>
        <d v="2023-08-22T00:00:00"/>
        <d v="2023-08-23T00:00:00"/>
        <d v="2023-08-25T00:00:00"/>
        <d v="2023-08-29T00:00:00"/>
        <d v="2023-09-01T00:00:00"/>
        <d v="2023-09-02T00:00:00"/>
        <d v="2023-09-10T00:00:00"/>
        <d v="2023-09-06T00:00:00"/>
        <d v="2023-09-07T00:00:00"/>
        <d v="2023-09-09T00:00:00"/>
        <d v="2023-09-11T00:00:00"/>
        <d v="2023-09-13T00:00:00"/>
        <d v="2023-08-14T00:00:00"/>
        <d v="2023-09-14T00:00:00"/>
        <d v="2023-09-15T00:00:00"/>
        <d v="2023-09-18T00:00:00"/>
        <d v="2023-09-20T00:00:00"/>
        <d v="2023-09-22T00:00:00"/>
        <d v="2023-10-07T00:00:00"/>
        <d v="2023-10-11T00:00:00"/>
        <d v="2023-10-12T00:00:00"/>
        <d v="2023-10-18T00:00:00"/>
        <d v="2023-11-01T00:00:00"/>
        <d v="2023-11-02T00:00:00"/>
        <d v="2023-11-03T00:00:00"/>
        <d v="2023-11-07T00:00:00"/>
        <d v="2023-11-09T00:00:00"/>
        <d v="2023-11-11T00:00:00"/>
        <d v="2023-11-13T00:00:00"/>
        <d v="2023-11-16T00:00:00"/>
        <d v="2023-11-20T00:00:00"/>
        <d v="2023-11-21T00:00:00"/>
        <d v="2023-11-27T00:00:00"/>
        <d v="2023-11-28T00:00:00"/>
        <d v="2023-11-29T00:00:00"/>
        <d v="2023-11-30T00:00:00"/>
        <d v="2023-12-01T00:00:00"/>
        <d v="2023-12-13T00:00:00"/>
        <d v="2023-12-02T00:00:00"/>
        <d v="2023-12-04T00:00:00"/>
        <d v="2023-12-06T00:00:00"/>
        <d v="2023-12-07T00:00:00"/>
        <d v="2023-10-27T00:00:00"/>
        <d v="2023-10-25T00:00:00"/>
        <d v="2023-11-24T00:00:00"/>
        <d v="2023-12-12T00:00:00"/>
        <d v="2023-12-19T00:00:00"/>
        <d v="2023-12-18T00:00:00"/>
        <d v="2023-12-20T00:00:00"/>
        <d v="2023-09-28T00:00:00"/>
        <d v="2023-10-05T00:00:00"/>
        <d v="2023-10-03T00:00:00"/>
        <d v="2023-10-04T00:00:00"/>
        <d v="2023-10-10T00:00:00"/>
        <d v="2023-10-09T00:00:00"/>
        <d v="2023-10-17T00:00:00"/>
        <d v="2023-10-24T00:00:00"/>
        <d v="2023-09-26T00:00:00"/>
        <d v="2023-10-26T00:00:00"/>
        <d v="2023-10-28T00:00:00"/>
        <d v="2023-12-24T00:00:00"/>
        <d v="2023-12-22T00:00:00"/>
        <d v="2023-12-23T00:00:00"/>
        <d v="2023-12-26T00:00:00"/>
        <d v="2024-01-02T00:00:00"/>
        <d v="2023-12-27T00:00:00"/>
        <d v="2023-12-29T00:00:00"/>
      </sharedItems>
    </cacheField>
    <cacheField name="Observations / Avancement" numFmtId="0">
      <sharedItems containsBlank="1" containsMixedTypes="1" containsNumber="1" containsInteger="1" minValue="9" maxValue="45" count="140">
        <s v="Came ajustée_x000a_Machine opérationelle"/>
        <s v="Cassette opérationnelle"/>
        <s v="Niveau d'huile corrigé"/>
        <s v="Eclairage en bon état"/>
        <s v="Préparation de 14 électrodes en cuivre prêtes à l'emploi"/>
        <s v="Réducteur vidangé"/>
        <s v="Enroulement de la bobine du frein coupé_x000a_- Démontage prévu: 01/02/2019 + Transmission vers CEDP pour réparation"/>
        <s v="Fuite éliminée"/>
        <s v="Préparation de 20 éléctrodes en cuivres"/>
        <s v="Fuite éliminée _x000a_Vérin monté"/>
        <s v="Chaines tendue"/>
        <s v="Cercleuse opérationnelle "/>
        <s v="Disjoncteur réarmé - pont roulant opérationnel"/>
        <s v="Circuit de refroidissement en bon état"/>
        <s v="Fosse séptique vidangée_x000a_La taille de la fosse est très petite environ 10 metre cube"/>
        <s v="Réducteur opérationel prêt à l'emploie"/>
        <s v="Attente CEDP pour réparation"/>
        <s v="Cassette opérationelle"/>
        <m/>
        <s v="Fuite éliminée _x000a_-Bruit anormal au niveau du réducteur_x000a_Prévoir un arrêt pour vérification du réducteur"/>
        <s v="Machine opérationelle"/>
        <s v="Pont roulant opérationel"/>
        <s v="10 électrodes prêtes pour le surfaçage"/>
        <s v="RAS"/>
        <s v="Vérin prêt à l'emploi"/>
        <s v="Intervention d'un plombier nécessaire (prévu le 07/02/2019)"/>
        <s v="Travaux en cours"/>
        <s v="Travaux en cours - Disponibilité de la machine prévu le 07/02/2019 à 10H"/>
        <s v="Sabot opérationnel"/>
        <s v="Circuit RAS"/>
        <s v="Machine opérationnelle"/>
        <s v="Machine OP"/>
        <s v="Jeu au niveau de la poulie du moteur - usure de l'arbre moteur probable - Démontage en cours"/>
        <s v="circuit provisoirement débouché - Changement de la canalisation prévu ( selon la disponibilité du plombier) "/>
        <s v="Moteur monté provisoirement en attendant l'achat d'un moteur plus compatible (achat prévu le 09/02/2019)"/>
        <s v="Circuit purgé machine opérationnelle"/>
        <s v="Machine opérationnelle nécessité de commander un moteur de marque ABB conformément à la conception initiale du constructeur"/>
        <s v="Fuite éliminée "/>
        <s v="Fils d'alimentation comprimés par le chassis de la machine, attente de résultat après liberation de ceux-ci"/>
        <s v="Réclamation prévu le lundi 11/02/2019 au près de CEDP pour explication le frein en question a été monté le 04/02/2019"/>
        <s v="En attente de livraison relance 11/02/2019"/>
        <s v="2 Courroies disponibles en stock"/>
        <s v="Poste de soudage opérationnel"/>
        <s v="4 électrodes disponibles en stock"/>
        <s v="Réparation prévu le 12/02/2019"/>
        <s v="22 électrodes disponibles"/>
        <s v="Sabots réctifiés"/>
        <s v="Réclamation au près de CEDP pour explication. le frein en question a été monté et remonté plusieurs fois"/>
        <s v="En attente de confection chez tourneur"/>
        <s v="RAS en attente de résultats"/>
        <s v="Prévoir le changement de celle-ci"/>
        <s v="Prévoir la confection de tige d'assemblage"/>
        <s v="Prevoir la confection d'un nouvel arbre"/>
        <s v="La température enregistrée est de 37° au niveau de la pompe et 35° sur tous les autres organes"/>
        <s v="Changement de la grille et du jeu d'agitation prévu le 16/03/2019"/>
        <s v="Preévoir l'achat d'une nouvelle électrovanne"/>
        <s v="Attente d'achat d'un nouveau moteur réducteur "/>
        <s v="Attente d'achat d'un nouveau distributeur"/>
        <s v="Prévoir l'achat d'un nouvel écran"/>
        <s v="Attente réception du distributeur d'origine de chez eurolls"/>
        <s v="Attente livraison du pont de diode du moteur de levage"/>
        <s v="Attente achat moteur réducteur Poyatos (import)"/>
        <s v="Attente Réparation du variateur / Réparé attente essai 18/06/2019"/>
        <s v="Prêt karkachi"/>
        <s v="Fuite au niveau de l'élément"/>
        <s v="Attente livraison arret d'huile"/>
        <s v="Attente livraison thyristor"/>
        <s v="Prévoir achat guide cable. Suivi auprès chaque jour en féraille"/>
        <s v="Dépanné - Console disponible en cas de problème"/>
        <s v="Attente réception variateur neuf prévu fin décembre. Envoi le 14/12/19"/>
        <s v="Achat urgent de filets rapportés diamètre 12 "/>
        <s v="Attente confection d'un nouvel arbre commandé chez tourneur"/>
        <s v="Prévoir le changement de l'arret d'huile endommagée"/>
        <s v="Attente Réparation du terminal / achat si irréparable"/>
        <s v="14/ 7/ 19 : courroie 2800 de poyatos 800 endommagée remplacement par courroie de poyatos 700 pour cause d'absence de magasin"/>
        <s v="Travaux Terminés le 18/09/2019 - Opérationnel. Attente rapport ministère"/>
        <s v="Attente livraison d'un flexible neuf"/>
        <s v="attente livraison d'un rouleau convoyeur"/>
        <s v="Cable livré le 27/08/2019"/>
        <s v="Aid Al Adha"/>
        <s v="Attente de livraison de fusible pour éliminer totalement la défaillance"/>
        <n v="9"/>
        <s v="Attente de livraison d'une nouvelle boite à commande"/>
        <s v="Arrêt prévu du pont roulant après achat d'un pont roulant 12T"/>
        <s v="Réparation du réducteur endommagé"/>
        <s v="Attent livraison d'un filtre "/>
        <s v="Attente de confection d'un nouvel arbre chez tourneur"/>
        <s v="OK"/>
        <s v="Réparation chez pesage promotion"/>
        <s v="Attente livraison accumulateur"/>
        <s v="Prêt de chez Karkachi"/>
        <s v="Attente réception roulements avec cache poussière"/>
        <s v="Attente intervention air diffusion"/>
        <s v="Revision generale du groupe hydraulique"/>
        <s v="Chnagement des roulements des masselotes à prévoir"/>
        <s v="Réparation prévue le 19/12/2019"/>
        <s v="confection vis spécial en cours"/>
        <s v="Achat bobine neuve en cours"/>
        <s v=" réparation chez ATT en cours"/>
        <s v="Moteur à remettre sur la trémie"/>
        <s v="En attente de devis d'installation"/>
        <s v="Plus de disque en stock - Prévoir achat"/>
        <s v="En cours de réparation chez atlas Copco"/>
        <s v="Achat tôle pour confection de nouvelle tôle pour la table en cours"/>
        <s v="Tube carré guide fil à confectionner"/>
        <s v="En attente de livraison relance 22/01/2020"/>
        <s v="Frein Opérationnel - Ancien frein stocké au magasin"/>
        <s v="La machine tourne à vitesse réduite / En attente de décision de la DG pour assistance sur place d'un technicien EVG"/>
        <s v="Attente réception Bloc de contact"/>
        <s v="Rebobinage du moteur endommagé chez CEDP"/>
        <s v="Devis de Réparation en cours (Drive center Automation)"/>
        <s v="Moteur  endommagé-en cours de prospection/ Essai de réparation chez spécialiste"/>
        <s v="Attente réception roulements commandés le 13/05/2020"/>
        <s v="En attente confection chez Tourneur"/>
        <s v="Démontage du compresseur n°2 pour diagnostic"/>
        <s v="DA réalisée pour bouttons neufs -Traitement en cours"/>
        <s v="En cours de décision pour Intervention Afric Roulement "/>
        <s v="Rapport d'incident envoyé a poyatos (en attente de réponse)"/>
        <s v="Attente de recpetion du deuxième motocompresseur (cystech)"/>
        <s v="Moteur en garantie ( en cours de négoiation )"/>
        <s v="Confection en cours"/>
        <n v="45"/>
        <s v="Rénnovation de la cisaille (peinture ,,,)"/>
        <s v="Entretien général à prévoir / Intervention technicien Poyatos"/>
        <s v="Confection à suivre"/>
        <s v="DA réalisé pour vérin stock"/>
        <s v="Machine en marche / attente réponse production pour montage du devidoir"/>
        <s v="Fer rond commandés / en attente de réception pour cintrage et mise en place"/>
        <s v="Diagnostic à établir"/>
        <s v="DA réalisé pour alimenter le stock de sécurité_x000a_Pièce toujours indisponible sur le marché"/>
        <s v="DA Réalisé pour achat réducteur neuf_x000a_Réducteur indisponible pour le moment sur le marché_x000a_Consultations en cours"/>
        <s v="DA pour cartouches neuves réalisée_x000a_Consultation en cours ( 1 devis ) "/>
        <s v="Suivie continu du magasin pour la réalimentation du  stock de câbles antigiratoires"/>
        <s v="Prévoir entretien général du mécanisme de vibration de la novable pour Janvier 2021 (Date précise à convenir fin décembre"/>
        <s v="Moteur réparé (roulement 6311) et stocké au magasin "/>
        <s v="Achat Compresseur Neuf en cours"/>
        <s v="Prévoir la mise en place de relais electromécaniques pour proteger les I/O"/>
        <s v=" - Intervention de socar béton sans succès_x000a_- Attente solution de chez EUROLLS"/>
        <s v="PDR à vérifier et  à valider avec la DG ( liste reçu le 2/09/2022 "/>
        <s v="Intervention technicien OMS en cours"/>
      </sharedItems>
    </cacheField>
    <cacheField name="Temps d'arrêts" numFmtId="0">
      <sharedItems containsBlank="1" containsMixedTypes="1" containsNumber="1" containsInteger="1" minValue="0" maxValue="24960"/>
    </cacheField>
    <cacheField name="Mois" numFmtId="166">
      <sharedItems containsSemiMixedTypes="0" containsString="0" containsNumber="1" containsInteger="1" minValue="1" maxValue="2021"/>
    </cacheField>
    <cacheField name="An" numFmtId="0">
      <sharedItems containsString="0" containsBlank="1" containsNumber="1" containsInteger="1" minValue="1900" maxValue="2024"/>
    </cacheField>
    <cacheField name="Rappel" numFmtId="0">
      <sharedItems containsBlank="1" count="3">
        <m/>
        <s v="R"/>
        <s v="Dépannage avec variateur 130 Kw en attendant réception d'un variateur 55 KW conforme à l'origine de la part de cielec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Badr" refreshedDate="45313.465337615744" createdVersion="7" refreshedVersion="8" minRefreshableVersion="3" recordCount="2559">
  <cacheSource type="worksheet">
    <worksheetSource name="Tableau13"/>
  </cacheSource>
  <cacheFields count="16">
    <cacheField name="Date début" numFmtId="14">
      <sharedItems containsSemiMixedTypes="0" containsNonDate="0" containsDate="1" containsString="0" minDate="2019-01-31T00:00:00" maxDate="2024-10-03T00:00:00"/>
    </cacheField>
    <cacheField name="Code machine" numFmtId="0">
      <sharedItems containsBlank="1" containsMixedTypes="1" containsNumber="1" containsInteger="1" minValue="53" maxValue="950" count="45">
        <n v="560"/>
        <n v="582"/>
        <n v="800"/>
        <n v="700"/>
        <n v="565"/>
        <n v="533"/>
        <n v="901"/>
        <n v="571"/>
        <n v="562"/>
        <n v="950"/>
        <n v="581"/>
        <n v="580"/>
        <n v="607"/>
        <n v="605"/>
        <n v="568"/>
        <n v="940"/>
        <n v="570"/>
        <n v="606"/>
        <n v="561"/>
        <n v="603"/>
        <n v="590"/>
        <n v="583"/>
        <n v="604"/>
        <n v="573"/>
        <n v="584"/>
        <n v="601"/>
        <n v="620"/>
        <n v="534"/>
        <n v="610"/>
        <n v="574"/>
        <n v="920"/>
        <n v="502"/>
        <n v="572"/>
        <s v="G.S"/>
        <n v="602"/>
        <n v="440"/>
        <n v="591"/>
        <n v="452"/>
        <n v="569"/>
        <m/>
        <n v="722"/>
        <n v="454"/>
        <n v="609"/>
        <n v="588" u="1"/>
        <n v="53" u="1"/>
      </sharedItems>
    </cacheField>
    <cacheField name="Section" numFmtId="0">
      <sharedItems count="17">
        <s v="Acier"/>
        <s v="Béton"/>
        <s v="Enrobage"/>
        <s v="Gestion de stock"/>
        <s v="Ponts roulants"/>
        <s v="Usine"/>
        <s v="Acier PN"/>
        <s v="Cisailles"/>
        <s v="Compresseurs"/>
        <s v=""/>
        <s v="Secheurs"/>
        <s v="Acier PTS" u="1"/>
        <s v="beton  " u="1"/>
        <s v="Acier TR" u="1"/>
        <s v="Refroidisseurs" u="1"/>
        <s v="Acier Redresseur" u="1"/>
        <s v="Cisaille" u="1"/>
      </sharedItems>
    </cacheField>
    <cacheField name="Machine" numFmtId="0">
      <sharedItems count="47">
        <s v="Schlatter"/>
        <s v="Teurema 2"/>
        <s v="Poyatos 2"/>
        <s v="Poyatos 1"/>
        <s v="EVG GE12"/>
        <s v="CAROSSEL"/>
        <s v="Grue à tour 1"/>
        <s v="EVG PN 1"/>
        <s v="Pont roulant GH Beasain 12T"/>
        <s v="Fosse septique"/>
        <s v="Teurema 1"/>
        <s v="Techno Impiante"/>
        <s v="Vitari 3"/>
        <s v="Vitari 1"/>
        <s v="Pont roulant Demag 5T (milieu)"/>
        <s v="Ateliers"/>
        <s v="Sigmatic"/>
        <s v="Vitari 2"/>
        <s v="Pont roulant Demag 5T TS"/>
        <s v="Wafios Reutlingen"/>
        <s v="Teurema 3"/>
        <s v="Pont roulant Abus 5T (teurema1)"/>
        <s v="TI"/>
        <s v="Pont roulant Demag 1 3,5T "/>
        <s v="Pont roulant Demag 3,2T (teurema2)"/>
        <s v="TI 9505/9"/>
        <s v="EVG PN 2"/>
        <s v="ELKON 2"/>
        <s v="MEP91"/>
        <s v="Pont roulant Demag 2 3,2T (Charge)"/>
        <s v="Pont bascule"/>
        <s v="PONT ROULANT Enrobage "/>
        <s v="Cisaille PN (GTA)"/>
        <s v="Balance bal 03"/>
        <s v="Wafios Ritecno"/>
        <s v="GA 37 (schlatter)"/>
        <s v="Pont roulant Demag 5T(nouveau hangar)"/>
        <s v="GA 55 (evg)"/>
        <s v=""/>
        <s v="GA 22 (poyatos) "/>
        <s v="FD 345 (evg)"/>
        <s v="Vitari 4"/>
        <s v="Pont roulant Demag 5T" u="1"/>
        <s v="MALAXEUR ELKON CAROSSEL" u="1"/>
        <s v="Refroidisseur  Cliref I147/4" u="1"/>
        <s v="Vitari" u="1"/>
        <s v="PONT ROULANT " u="1"/>
      </sharedItems>
    </cacheField>
    <cacheField name="N°Fiche d'intervention" numFmtId="0">
      <sharedItems containsBlank="1" containsMixedTypes="1" containsNumber="1" containsInteger="1" minValue="12336" maxValue="260210"/>
    </cacheField>
    <cacheField name="Type d'intervention" numFmtId="0">
      <sharedItems containsBlank="1"/>
    </cacheField>
    <cacheField name="Partie Machine" numFmtId="0">
      <sharedItems containsBlank="1"/>
    </cacheField>
    <cacheField name="Réclamation / problème" numFmtId="0">
      <sharedItems containsBlank="1"/>
    </cacheField>
    <cacheField name="Type d'intervention2" numFmtId="0">
      <sharedItems containsBlank="1"/>
    </cacheField>
    <cacheField name="Détail Intervention" numFmtId="0">
      <sharedItems containsBlank="1" longText="1"/>
    </cacheField>
    <cacheField name="Date fin intervention" numFmtId="14">
      <sharedItems containsNonDate="0" containsDate="1" containsString="0" containsBlank="1" minDate="2011-11-28T00:00:00" maxDate="2024-01-03T00:00:00"/>
    </cacheField>
    <cacheField name="Observations / Avancement" numFmtId="0">
      <sharedItems containsBlank="1" containsMixedTypes="1" containsNumber="1" containsInteger="1" minValue="9" maxValue="45"/>
    </cacheField>
    <cacheField name="Temps d'arrêts" numFmtId="0">
      <sharedItems containsBlank="1" containsMixedTypes="1" containsNumber="1" containsInteger="1" minValue="0" maxValue="24960"/>
    </cacheField>
    <cacheField name="Mois" numFmtId="166">
      <sharedItems containsSemiMixedTypes="0" containsString="0" containsNumber="1" containsInteger="1" minValue="1" maxValue="2021" count="13">
        <n v="1"/>
        <n v="2"/>
        <n v="3"/>
        <n v="4"/>
        <n v="6"/>
        <n v="5"/>
        <n v="7"/>
        <n v="9"/>
        <n v="8"/>
        <n v="10"/>
        <n v="11"/>
        <n v="12"/>
        <n v="2021"/>
      </sharedItems>
    </cacheField>
    <cacheField name="An" numFmtId="0">
      <sharedItems containsString="0" containsBlank="1" containsNumber="1" containsInteger="1" minValue="1900" maxValue="2024" count="9">
        <n v="2019"/>
        <n v="2020"/>
        <n v="2021"/>
        <n v="2022"/>
        <m/>
        <n v="2011"/>
        <n v="1900"/>
        <n v="2023"/>
        <n v="2024"/>
      </sharedItems>
    </cacheField>
    <cacheField name="Rappel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59">
  <r>
    <x v="0"/>
    <n v="560"/>
    <x v="0"/>
    <x v="0"/>
    <m/>
    <m/>
    <x v="0"/>
    <x v="0"/>
    <s v="Réglage"/>
    <x v="0"/>
    <x v="0"/>
    <x v="0"/>
    <m/>
    <n v="1"/>
    <n v="2019"/>
    <x v="0"/>
  </r>
  <r>
    <x v="0"/>
    <n v="582"/>
    <x v="0"/>
    <x v="1"/>
    <m/>
    <m/>
    <x v="1"/>
    <x v="0"/>
    <s v="Réparation"/>
    <x v="1"/>
    <x v="0"/>
    <x v="1"/>
    <m/>
    <n v="1"/>
    <n v="2019"/>
    <x v="0"/>
  </r>
  <r>
    <x v="0"/>
    <n v="800"/>
    <x v="1"/>
    <x v="2"/>
    <m/>
    <m/>
    <x v="2"/>
    <x v="0"/>
    <s v="Contrôle"/>
    <x v="2"/>
    <x v="0"/>
    <x v="2"/>
    <m/>
    <n v="1"/>
    <n v="2019"/>
    <x v="0"/>
  </r>
  <r>
    <x v="0"/>
    <n v="700"/>
    <x v="1"/>
    <x v="3"/>
    <m/>
    <m/>
    <x v="3"/>
    <x v="0"/>
    <s v="Réparation"/>
    <x v="3"/>
    <x v="0"/>
    <x v="3"/>
    <m/>
    <n v="1"/>
    <n v="2019"/>
    <x v="0"/>
  </r>
  <r>
    <x v="0"/>
    <n v="565"/>
    <x v="0"/>
    <x v="4"/>
    <m/>
    <m/>
    <x v="4"/>
    <x v="0"/>
    <s v="Confection"/>
    <x v="4"/>
    <x v="0"/>
    <x v="4"/>
    <m/>
    <n v="1"/>
    <n v="2019"/>
    <x v="0"/>
  </r>
  <r>
    <x v="0"/>
    <n v="533"/>
    <x v="2"/>
    <x v="5"/>
    <m/>
    <m/>
    <x v="5"/>
    <x v="0"/>
    <s v="Vidange"/>
    <x v="5"/>
    <x v="0"/>
    <x v="5"/>
    <m/>
    <n v="1"/>
    <n v="2019"/>
    <x v="0"/>
  </r>
  <r>
    <x v="0"/>
    <n v="901"/>
    <x v="3"/>
    <x v="6"/>
    <m/>
    <m/>
    <x v="6"/>
    <x v="0"/>
    <m/>
    <x v="6"/>
    <x v="0"/>
    <x v="6"/>
    <m/>
    <n v="1"/>
    <n v="2019"/>
    <x v="0"/>
  </r>
  <r>
    <x v="1"/>
    <n v="571"/>
    <x v="0"/>
    <x v="7"/>
    <m/>
    <m/>
    <x v="0"/>
    <x v="0"/>
    <s v="Réparation"/>
    <x v="7"/>
    <x v="1"/>
    <x v="7"/>
    <m/>
    <n v="2"/>
    <n v="2019"/>
    <x v="0"/>
  </r>
  <r>
    <x v="1"/>
    <n v="571"/>
    <x v="0"/>
    <x v="7"/>
    <m/>
    <m/>
    <x v="4"/>
    <x v="0"/>
    <s v="Confection"/>
    <x v="8"/>
    <x v="1"/>
    <x v="8"/>
    <m/>
    <n v="2"/>
    <n v="2019"/>
    <x v="0"/>
  </r>
  <r>
    <x v="1"/>
    <n v="700"/>
    <x v="1"/>
    <x v="3"/>
    <m/>
    <m/>
    <x v="7"/>
    <x v="0"/>
    <s v="Réparation"/>
    <x v="9"/>
    <x v="1"/>
    <x v="9"/>
    <m/>
    <n v="2"/>
    <n v="2019"/>
    <x v="0"/>
  </r>
  <r>
    <x v="1"/>
    <n v="800"/>
    <x v="1"/>
    <x v="2"/>
    <m/>
    <m/>
    <x v="8"/>
    <x v="0"/>
    <s v="Contrôle"/>
    <x v="10"/>
    <x v="1"/>
    <x v="10"/>
    <m/>
    <n v="2"/>
    <n v="2019"/>
    <x v="0"/>
  </r>
  <r>
    <x v="1"/>
    <n v="800"/>
    <x v="1"/>
    <x v="2"/>
    <m/>
    <m/>
    <x v="9"/>
    <x v="0"/>
    <s v="Contrôle"/>
    <x v="11"/>
    <x v="1"/>
    <x v="11"/>
    <m/>
    <n v="2"/>
    <n v="2019"/>
    <x v="0"/>
  </r>
  <r>
    <x v="1"/>
    <n v="562"/>
    <x v="4"/>
    <x v="8"/>
    <m/>
    <m/>
    <x v="10"/>
    <x v="0"/>
    <s v="Réparation"/>
    <x v="12"/>
    <x v="1"/>
    <x v="12"/>
    <m/>
    <n v="2"/>
    <n v="2019"/>
    <x v="0"/>
  </r>
  <r>
    <x v="1"/>
    <n v="565"/>
    <x v="0"/>
    <x v="4"/>
    <m/>
    <m/>
    <x v="11"/>
    <x v="0"/>
    <s v="Réparation"/>
    <x v="13"/>
    <x v="1"/>
    <x v="13"/>
    <m/>
    <n v="2"/>
    <n v="2019"/>
    <x v="0"/>
  </r>
  <r>
    <x v="1"/>
    <n v="950"/>
    <x v="5"/>
    <x v="9"/>
    <m/>
    <m/>
    <x v="12"/>
    <x v="0"/>
    <s v="Vidange"/>
    <x v="14"/>
    <x v="1"/>
    <x v="14"/>
    <m/>
    <n v="2"/>
    <n v="2019"/>
    <x v="0"/>
  </r>
  <r>
    <x v="2"/>
    <n v="800"/>
    <x v="1"/>
    <x v="2"/>
    <m/>
    <m/>
    <x v="13"/>
    <x v="0"/>
    <s v="Réparation"/>
    <x v="15"/>
    <x v="2"/>
    <x v="15"/>
    <m/>
    <n v="2"/>
    <n v="2019"/>
    <x v="0"/>
  </r>
  <r>
    <x v="2"/>
    <n v="901"/>
    <x v="3"/>
    <x v="6"/>
    <m/>
    <m/>
    <x v="6"/>
    <x v="0"/>
    <s v="Démontage"/>
    <x v="16"/>
    <x v="2"/>
    <x v="16"/>
    <m/>
    <n v="2"/>
    <n v="2019"/>
    <x v="0"/>
  </r>
  <r>
    <x v="2"/>
    <n v="581"/>
    <x v="0"/>
    <x v="10"/>
    <m/>
    <m/>
    <x v="14"/>
    <x v="0"/>
    <s v="Réparation"/>
    <x v="17"/>
    <x v="2"/>
    <x v="17"/>
    <m/>
    <n v="2"/>
    <n v="2019"/>
    <x v="0"/>
  </r>
  <r>
    <x v="2"/>
    <n v="580"/>
    <x v="0"/>
    <x v="11"/>
    <m/>
    <m/>
    <x v="15"/>
    <x v="0"/>
    <s v="Réparation"/>
    <x v="18"/>
    <x v="2"/>
    <x v="18"/>
    <m/>
    <n v="2"/>
    <n v="2019"/>
    <x v="0"/>
  </r>
  <r>
    <x v="2"/>
    <n v="533"/>
    <x v="2"/>
    <x v="5"/>
    <m/>
    <m/>
    <x v="5"/>
    <x v="0"/>
    <s v="Contrôle"/>
    <x v="19"/>
    <x v="2"/>
    <x v="19"/>
    <m/>
    <n v="2"/>
    <n v="2019"/>
    <x v="0"/>
  </r>
  <r>
    <x v="2"/>
    <n v="607"/>
    <x v="0"/>
    <x v="12"/>
    <m/>
    <m/>
    <x v="16"/>
    <x v="0"/>
    <s v="Réglage"/>
    <x v="20"/>
    <x v="2"/>
    <x v="20"/>
    <m/>
    <n v="2"/>
    <n v="2019"/>
    <x v="0"/>
  </r>
  <r>
    <x v="2"/>
    <n v="605"/>
    <x v="0"/>
    <x v="13"/>
    <m/>
    <m/>
    <x v="17"/>
    <x v="0"/>
    <s v="Réglage"/>
    <x v="21"/>
    <x v="2"/>
    <x v="20"/>
    <m/>
    <n v="2"/>
    <n v="2019"/>
    <x v="0"/>
  </r>
  <r>
    <x v="2"/>
    <n v="568"/>
    <x v="4"/>
    <x v="14"/>
    <m/>
    <m/>
    <x v="18"/>
    <x v="0"/>
    <s v="Réparation"/>
    <x v="22"/>
    <x v="2"/>
    <x v="21"/>
    <m/>
    <n v="2"/>
    <n v="2019"/>
    <x v="0"/>
  </r>
  <r>
    <x v="3"/>
    <n v="571"/>
    <x v="0"/>
    <x v="7"/>
    <m/>
    <m/>
    <x v="4"/>
    <x v="0"/>
    <s v="Confection"/>
    <x v="23"/>
    <x v="3"/>
    <x v="22"/>
    <m/>
    <n v="2"/>
    <n v="2019"/>
    <x v="0"/>
  </r>
  <r>
    <x v="3"/>
    <n v="560"/>
    <x v="0"/>
    <x v="0"/>
    <m/>
    <m/>
    <x v="11"/>
    <x v="0"/>
    <s v="Réparation"/>
    <x v="13"/>
    <x v="3"/>
    <x v="23"/>
    <m/>
    <n v="2"/>
    <n v="2019"/>
    <x v="0"/>
  </r>
  <r>
    <x v="3"/>
    <n v="700"/>
    <x v="1"/>
    <x v="3"/>
    <m/>
    <m/>
    <x v="7"/>
    <x v="0"/>
    <s v="Réparation"/>
    <x v="24"/>
    <x v="3"/>
    <x v="24"/>
    <m/>
    <n v="2"/>
    <n v="2019"/>
    <x v="0"/>
  </r>
  <r>
    <x v="3"/>
    <n v="562"/>
    <x v="4"/>
    <x v="8"/>
    <m/>
    <m/>
    <x v="10"/>
    <x v="0"/>
    <s v="Réparation"/>
    <x v="25"/>
    <x v="3"/>
    <x v="21"/>
    <m/>
    <n v="2"/>
    <n v="2019"/>
    <x v="0"/>
  </r>
  <r>
    <x v="3"/>
    <n v="580"/>
    <x v="0"/>
    <x v="11"/>
    <m/>
    <m/>
    <x v="11"/>
    <x v="0"/>
    <s v="Réparation"/>
    <x v="26"/>
    <x v="3"/>
    <x v="25"/>
    <m/>
    <n v="2"/>
    <n v="2019"/>
    <x v="0"/>
  </r>
  <r>
    <x v="3"/>
    <n v="581"/>
    <x v="0"/>
    <x v="10"/>
    <m/>
    <m/>
    <x v="14"/>
    <x v="0"/>
    <s v="Réparation"/>
    <x v="27"/>
    <x v="3"/>
    <x v="1"/>
    <m/>
    <n v="2"/>
    <n v="2019"/>
    <x v="0"/>
  </r>
  <r>
    <x v="3"/>
    <n v="940"/>
    <x v="5"/>
    <x v="15"/>
    <m/>
    <m/>
    <x v="12"/>
    <x v="0"/>
    <s v="Rénovation"/>
    <x v="28"/>
    <x v="3"/>
    <x v="26"/>
    <m/>
    <n v="2"/>
    <n v="2019"/>
    <x v="0"/>
  </r>
  <r>
    <x v="4"/>
    <n v="605"/>
    <x v="0"/>
    <x v="13"/>
    <m/>
    <m/>
    <x v="19"/>
    <x v="0"/>
    <s v="Réparation"/>
    <x v="29"/>
    <x v="4"/>
    <x v="20"/>
    <m/>
    <n v="2"/>
    <n v="2019"/>
    <x v="0"/>
  </r>
  <r>
    <x v="4"/>
    <n v="565"/>
    <x v="0"/>
    <x v="4"/>
    <m/>
    <m/>
    <x v="20"/>
    <x v="0"/>
    <s v="Réparation"/>
    <x v="30"/>
    <x v="4"/>
    <x v="20"/>
    <m/>
    <n v="2"/>
    <n v="2019"/>
    <x v="0"/>
  </r>
  <r>
    <x v="4"/>
    <n v="581"/>
    <x v="0"/>
    <x v="10"/>
    <m/>
    <m/>
    <x v="21"/>
    <x v="0"/>
    <s v="Réparation"/>
    <x v="31"/>
    <x v="4"/>
    <x v="1"/>
    <m/>
    <n v="2"/>
    <n v="2019"/>
    <x v="0"/>
  </r>
  <r>
    <x v="4"/>
    <n v="533"/>
    <x v="2"/>
    <x v="5"/>
    <m/>
    <m/>
    <x v="5"/>
    <x v="0"/>
    <s v="Réparation"/>
    <x v="32"/>
    <x v="4"/>
    <x v="27"/>
    <m/>
    <n v="2"/>
    <n v="2019"/>
    <x v="0"/>
  </r>
  <r>
    <x v="4"/>
    <n v="560"/>
    <x v="0"/>
    <x v="0"/>
    <m/>
    <m/>
    <x v="22"/>
    <x v="0"/>
    <s v="Réparation"/>
    <x v="33"/>
    <x v="4"/>
    <x v="28"/>
    <m/>
    <n v="2"/>
    <n v="2019"/>
    <x v="0"/>
  </r>
  <r>
    <x v="4"/>
    <n v="560"/>
    <x v="0"/>
    <x v="0"/>
    <m/>
    <m/>
    <x v="11"/>
    <x v="0"/>
    <s v="Changement"/>
    <x v="34"/>
    <x v="4"/>
    <x v="29"/>
    <m/>
    <n v="2"/>
    <n v="2019"/>
    <x v="0"/>
  </r>
  <r>
    <x v="4"/>
    <n v="800"/>
    <x v="1"/>
    <x v="2"/>
    <m/>
    <m/>
    <x v="23"/>
    <x v="0"/>
    <s v="Réparation"/>
    <x v="35"/>
    <x v="4"/>
    <x v="30"/>
    <m/>
    <n v="2"/>
    <n v="2019"/>
    <x v="0"/>
  </r>
  <r>
    <x v="5"/>
    <n v="565"/>
    <x v="0"/>
    <x v="4"/>
    <m/>
    <m/>
    <x v="20"/>
    <x v="0"/>
    <s v="Réparation"/>
    <x v="36"/>
    <x v="5"/>
    <x v="30"/>
    <m/>
    <n v="2"/>
    <n v="2019"/>
    <x v="0"/>
  </r>
  <r>
    <x v="5"/>
    <n v="571"/>
    <x v="0"/>
    <x v="7"/>
    <m/>
    <m/>
    <x v="0"/>
    <x v="0"/>
    <s v="Réparation"/>
    <x v="37"/>
    <x v="5"/>
    <x v="31"/>
    <m/>
    <n v="2"/>
    <n v="2019"/>
    <x v="0"/>
  </r>
  <r>
    <x v="5"/>
    <n v="533"/>
    <x v="2"/>
    <x v="5"/>
    <m/>
    <m/>
    <x v="5"/>
    <x v="0"/>
    <s v="Réparation"/>
    <x v="38"/>
    <x v="5"/>
    <x v="31"/>
    <m/>
    <n v="2"/>
    <n v="2019"/>
    <x v="0"/>
  </r>
  <r>
    <x v="5"/>
    <n v="700"/>
    <x v="1"/>
    <x v="3"/>
    <m/>
    <m/>
    <x v="24"/>
    <x v="0"/>
    <s v="Changement"/>
    <x v="39"/>
    <x v="5"/>
    <x v="31"/>
    <m/>
    <n v="2"/>
    <n v="2019"/>
    <x v="0"/>
  </r>
  <r>
    <x v="5"/>
    <n v="700"/>
    <x v="1"/>
    <x v="3"/>
    <m/>
    <m/>
    <x v="25"/>
    <x v="0"/>
    <s v="Réparation"/>
    <x v="40"/>
    <x v="5"/>
    <x v="31"/>
    <m/>
    <n v="2"/>
    <n v="2019"/>
    <x v="0"/>
  </r>
  <r>
    <x v="5"/>
    <n v="582"/>
    <x v="0"/>
    <x v="1"/>
    <m/>
    <m/>
    <x v="26"/>
    <x v="0"/>
    <s v="Réparation"/>
    <x v="41"/>
    <x v="5"/>
    <x v="32"/>
    <m/>
    <n v="2"/>
    <n v="2019"/>
    <x v="0"/>
  </r>
  <r>
    <x v="5"/>
    <n v="580"/>
    <x v="0"/>
    <x v="11"/>
    <m/>
    <m/>
    <x v="11"/>
    <x v="0"/>
    <s v="Dépannage"/>
    <x v="42"/>
    <x v="5"/>
    <x v="33"/>
    <m/>
    <n v="2"/>
    <n v="2019"/>
    <x v="0"/>
  </r>
  <r>
    <x v="6"/>
    <n v="800"/>
    <x v="1"/>
    <x v="2"/>
    <m/>
    <m/>
    <x v="27"/>
    <x v="0"/>
    <s v="Réparation"/>
    <x v="43"/>
    <x v="6"/>
    <x v="34"/>
    <m/>
    <n v="2"/>
    <n v="2019"/>
    <x v="0"/>
  </r>
  <r>
    <x v="6"/>
    <n v="700"/>
    <x v="1"/>
    <x v="3"/>
    <m/>
    <m/>
    <x v="28"/>
    <x v="0"/>
    <s v="Purge"/>
    <x v="44"/>
    <x v="6"/>
    <x v="35"/>
    <m/>
    <n v="2"/>
    <n v="2019"/>
    <x v="0"/>
  </r>
  <r>
    <x v="6"/>
    <n v="570"/>
    <x v="0"/>
    <x v="16"/>
    <m/>
    <m/>
    <x v="29"/>
    <x v="0"/>
    <s v="Réparation"/>
    <x v="45"/>
    <x v="6"/>
    <x v="29"/>
    <m/>
    <n v="2"/>
    <n v="2019"/>
    <x v="0"/>
  </r>
  <r>
    <x v="6"/>
    <n v="570"/>
    <x v="0"/>
    <x v="16"/>
    <m/>
    <m/>
    <x v="0"/>
    <x v="0"/>
    <s v="Réparation"/>
    <x v="46"/>
    <x v="6"/>
    <x v="23"/>
    <m/>
    <n v="2"/>
    <n v="2019"/>
    <x v="0"/>
  </r>
  <r>
    <x v="6"/>
    <n v="606"/>
    <x v="0"/>
    <x v="17"/>
    <m/>
    <m/>
    <x v="16"/>
    <x v="0"/>
    <s v="Réparation"/>
    <x v="47"/>
    <x v="6"/>
    <x v="23"/>
    <m/>
    <n v="2"/>
    <n v="2019"/>
    <x v="0"/>
  </r>
  <r>
    <x v="7"/>
    <n v="800"/>
    <x v="1"/>
    <x v="2"/>
    <m/>
    <m/>
    <x v="25"/>
    <x v="0"/>
    <s v="Réparation"/>
    <x v="40"/>
    <x v="7"/>
    <x v="23"/>
    <m/>
    <n v="2"/>
    <n v="2019"/>
    <x v="0"/>
  </r>
  <r>
    <x v="7"/>
    <n v="800"/>
    <x v="1"/>
    <x v="2"/>
    <m/>
    <m/>
    <x v="27"/>
    <x v="0"/>
    <s v="Réparation"/>
    <x v="48"/>
    <x v="7"/>
    <x v="36"/>
    <m/>
    <n v="2"/>
    <n v="2019"/>
    <x v="0"/>
  </r>
  <r>
    <x v="7"/>
    <n v="700"/>
    <x v="1"/>
    <x v="3"/>
    <m/>
    <m/>
    <x v="23"/>
    <x v="0"/>
    <s v="Contrôle"/>
    <x v="49"/>
    <x v="7"/>
    <x v="37"/>
    <m/>
    <n v="2"/>
    <n v="2019"/>
    <x v="0"/>
  </r>
  <r>
    <x v="7"/>
    <n v="565"/>
    <x v="0"/>
    <x v="4"/>
    <m/>
    <m/>
    <x v="30"/>
    <x v="0"/>
    <s v="Diagnostic"/>
    <x v="50"/>
    <x v="7"/>
    <x v="38"/>
    <m/>
    <n v="2"/>
    <n v="2019"/>
    <x v="0"/>
  </r>
  <r>
    <x v="7"/>
    <n v="568"/>
    <x v="4"/>
    <x v="14"/>
    <m/>
    <m/>
    <x v="18"/>
    <x v="0"/>
    <s v="Démontage"/>
    <x v="51"/>
    <x v="7"/>
    <x v="39"/>
    <m/>
    <n v="2"/>
    <n v="2019"/>
    <x v="0"/>
  </r>
  <r>
    <x v="7"/>
    <n v="582"/>
    <x v="0"/>
    <x v="1"/>
    <m/>
    <m/>
    <x v="26"/>
    <x v="0"/>
    <s v="Réparation"/>
    <x v="52"/>
    <x v="7"/>
    <x v="40"/>
    <m/>
    <n v="2"/>
    <n v="2019"/>
    <x v="0"/>
  </r>
  <r>
    <x v="8"/>
    <n v="700"/>
    <x v="1"/>
    <x v="3"/>
    <m/>
    <m/>
    <x v="25"/>
    <x v="0"/>
    <s v="Préparation"/>
    <x v="53"/>
    <x v="8"/>
    <x v="41"/>
    <m/>
    <n v="2"/>
    <n v="2019"/>
    <x v="0"/>
  </r>
  <r>
    <x v="8"/>
    <n v="700"/>
    <x v="1"/>
    <x v="3"/>
    <m/>
    <m/>
    <x v="7"/>
    <x v="0"/>
    <s v="Réparation"/>
    <x v="54"/>
    <x v="8"/>
    <x v="23"/>
    <m/>
    <n v="2"/>
    <n v="2019"/>
    <x v="0"/>
  </r>
  <r>
    <x v="8"/>
    <n v="561"/>
    <x v="4"/>
    <x v="18"/>
    <m/>
    <m/>
    <x v="10"/>
    <x v="0"/>
    <s v="Réparation"/>
    <x v="55"/>
    <x v="8"/>
    <x v="23"/>
    <m/>
    <n v="2"/>
    <n v="2019"/>
    <x v="0"/>
  </r>
  <r>
    <x v="8"/>
    <n v="603"/>
    <x v="0"/>
    <x v="19"/>
    <m/>
    <m/>
    <x v="31"/>
    <x v="0"/>
    <s v="Réparation"/>
    <x v="56"/>
    <x v="8"/>
    <x v="23"/>
    <m/>
    <n v="2"/>
    <n v="2019"/>
    <x v="0"/>
  </r>
  <r>
    <x v="8"/>
    <n v="590"/>
    <x v="0"/>
    <x v="20"/>
    <m/>
    <m/>
    <x v="32"/>
    <x v="0"/>
    <s v="Réparation"/>
    <x v="57"/>
    <x v="8"/>
    <x v="42"/>
    <m/>
    <n v="2"/>
    <n v="2019"/>
    <x v="0"/>
  </r>
  <r>
    <x v="8"/>
    <n v="583"/>
    <x v="4"/>
    <x v="21"/>
    <m/>
    <m/>
    <x v="18"/>
    <x v="0"/>
    <s v="Réparation"/>
    <x v="58"/>
    <x v="8"/>
    <x v="21"/>
    <m/>
    <n v="2"/>
    <n v="2019"/>
    <x v="0"/>
  </r>
  <r>
    <x v="8"/>
    <n v="565"/>
    <x v="0"/>
    <x v="4"/>
    <m/>
    <m/>
    <x v="33"/>
    <x v="0"/>
    <s v="Réparation"/>
    <x v="59"/>
    <x v="8"/>
    <x v="30"/>
    <m/>
    <n v="2"/>
    <n v="2019"/>
    <x v="0"/>
  </r>
  <r>
    <x v="8"/>
    <n v="571"/>
    <x v="0"/>
    <x v="7"/>
    <m/>
    <m/>
    <x v="4"/>
    <x v="0"/>
    <s v="Confection"/>
    <x v="60"/>
    <x v="8"/>
    <x v="43"/>
    <m/>
    <n v="2"/>
    <n v="2019"/>
    <x v="0"/>
  </r>
  <r>
    <x v="8"/>
    <n v="560"/>
    <x v="0"/>
    <x v="0"/>
    <m/>
    <m/>
    <x v="22"/>
    <x v="0"/>
    <s v="Réparation"/>
    <x v="61"/>
    <x v="8"/>
    <x v="23"/>
    <m/>
    <n v="2"/>
    <n v="2019"/>
    <x v="0"/>
  </r>
  <r>
    <x v="8"/>
    <n v="565"/>
    <x v="0"/>
    <x v="4"/>
    <m/>
    <m/>
    <x v="22"/>
    <x v="0"/>
    <s v="Réparation"/>
    <x v="62"/>
    <x v="8"/>
    <x v="23"/>
    <m/>
    <n v="2"/>
    <n v="2019"/>
    <x v="0"/>
  </r>
  <r>
    <x v="8"/>
    <n v="582"/>
    <x v="0"/>
    <x v="1"/>
    <m/>
    <m/>
    <x v="34"/>
    <x v="0"/>
    <s v="Contrôle"/>
    <x v="63"/>
    <x v="8"/>
    <x v="23"/>
    <m/>
    <n v="2"/>
    <n v="2019"/>
    <x v="0"/>
  </r>
  <r>
    <x v="8"/>
    <n v="582"/>
    <x v="0"/>
    <x v="1"/>
    <m/>
    <m/>
    <x v="35"/>
    <x v="0"/>
    <s v="Diagnostic"/>
    <x v="64"/>
    <x v="8"/>
    <x v="44"/>
    <m/>
    <n v="2"/>
    <n v="2019"/>
    <x v="0"/>
  </r>
  <r>
    <x v="8"/>
    <n v="582"/>
    <x v="0"/>
    <x v="1"/>
    <m/>
    <m/>
    <x v="26"/>
    <x v="0"/>
    <s v="Réparation"/>
    <x v="65"/>
    <x v="8"/>
    <x v="30"/>
    <m/>
    <n v="2"/>
    <n v="2019"/>
    <x v="0"/>
  </r>
  <r>
    <x v="9"/>
    <n v="604"/>
    <x v="0"/>
    <x v="22"/>
    <m/>
    <m/>
    <x v="36"/>
    <x v="0"/>
    <s v="Réparation"/>
    <x v="66"/>
    <x v="9"/>
    <x v="30"/>
    <m/>
    <n v="2"/>
    <n v="2019"/>
    <x v="0"/>
  </r>
  <r>
    <x v="9"/>
    <n v="565"/>
    <x v="0"/>
    <x v="4"/>
    <m/>
    <m/>
    <x v="22"/>
    <x v="0"/>
    <s v="Réparation"/>
    <x v="67"/>
    <x v="9"/>
    <x v="30"/>
    <m/>
    <n v="2"/>
    <n v="2019"/>
    <x v="0"/>
  </r>
  <r>
    <x v="9"/>
    <n v="565"/>
    <x v="0"/>
    <x v="4"/>
    <m/>
    <m/>
    <x v="4"/>
    <x v="0"/>
    <s v="Confection"/>
    <x v="68"/>
    <x v="9"/>
    <x v="45"/>
    <m/>
    <n v="2"/>
    <n v="2019"/>
    <x v="0"/>
  </r>
  <r>
    <x v="9"/>
    <n v="560"/>
    <x v="0"/>
    <x v="0"/>
    <m/>
    <m/>
    <x v="22"/>
    <x v="0"/>
    <s v="Rectification"/>
    <x v="69"/>
    <x v="9"/>
    <x v="46"/>
    <m/>
    <n v="2"/>
    <n v="2019"/>
    <x v="0"/>
  </r>
  <r>
    <x v="9"/>
    <n v="700"/>
    <x v="1"/>
    <x v="3"/>
    <m/>
    <m/>
    <x v="37"/>
    <x v="0"/>
    <s v="Réparation"/>
    <x v="70"/>
    <x v="9"/>
    <x v="30"/>
    <m/>
    <n v="2"/>
    <n v="2019"/>
    <x v="0"/>
  </r>
  <r>
    <x v="9"/>
    <n v="800"/>
    <x v="1"/>
    <x v="2"/>
    <m/>
    <m/>
    <x v="37"/>
    <x v="0"/>
    <s v="Changement"/>
    <x v="71"/>
    <x v="9"/>
    <x v="31"/>
    <m/>
    <n v="2"/>
    <n v="2019"/>
    <x v="0"/>
  </r>
  <r>
    <x v="9"/>
    <n v="800"/>
    <x v="1"/>
    <x v="2"/>
    <m/>
    <m/>
    <x v="38"/>
    <x v="0"/>
    <s v="Changement"/>
    <x v="72"/>
    <x v="9"/>
    <x v="31"/>
    <m/>
    <n v="2"/>
    <n v="2019"/>
    <x v="0"/>
  </r>
  <r>
    <x v="9"/>
    <n v="581"/>
    <x v="0"/>
    <x v="10"/>
    <m/>
    <m/>
    <x v="39"/>
    <x v="0"/>
    <s v="Réparation"/>
    <x v="73"/>
    <x v="9"/>
    <x v="30"/>
    <m/>
    <n v="2"/>
    <n v="2019"/>
    <x v="0"/>
  </r>
  <r>
    <x v="9"/>
    <n v="582"/>
    <x v="0"/>
    <x v="1"/>
    <m/>
    <m/>
    <x v="40"/>
    <x v="0"/>
    <m/>
    <x v="74"/>
    <x v="9"/>
    <x v="1"/>
    <m/>
    <n v="2"/>
    <n v="2019"/>
    <x v="0"/>
  </r>
  <r>
    <x v="10"/>
    <n v="565"/>
    <x v="0"/>
    <x v="4"/>
    <m/>
    <m/>
    <x v="22"/>
    <x v="0"/>
    <s v="Réparation"/>
    <x v="67"/>
    <x v="10"/>
    <x v="30"/>
    <m/>
    <n v="2"/>
    <n v="2019"/>
    <x v="0"/>
  </r>
  <r>
    <x v="10"/>
    <n v="605"/>
    <x v="0"/>
    <x v="13"/>
    <m/>
    <m/>
    <x v="17"/>
    <x v="0"/>
    <s v="Réparation"/>
    <x v="75"/>
    <x v="10"/>
    <x v="30"/>
    <m/>
    <n v="2"/>
    <n v="2019"/>
    <x v="0"/>
  </r>
  <r>
    <x v="10"/>
    <n v="560"/>
    <x v="0"/>
    <x v="0"/>
    <m/>
    <m/>
    <x v="22"/>
    <x v="0"/>
    <s v="Réparation"/>
    <x v="76"/>
    <x v="10"/>
    <x v="30"/>
    <m/>
    <n v="2"/>
    <n v="2019"/>
    <x v="0"/>
  </r>
  <r>
    <x v="10"/>
    <n v="568"/>
    <x v="4"/>
    <x v="14"/>
    <m/>
    <m/>
    <x v="18"/>
    <x v="0"/>
    <s v="Montage"/>
    <x v="22"/>
    <x v="10"/>
    <x v="23"/>
    <m/>
    <n v="2"/>
    <n v="2019"/>
    <x v="0"/>
  </r>
  <r>
    <x v="10"/>
    <n v="582"/>
    <x v="0"/>
    <x v="1"/>
    <m/>
    <m/>
    <x v="41"/>
    <x v="0"/>
    <s v="Contrôle"/>
    <x v="77"/>
    <x v="10"/>
    <x v="23"/>
    <m/>
    <n v="2"/>
    <n v="2019"/>
    <x v="0"/>
  </r>
  <r>
    <x v="10"/>
    <n v="560"/>
    <x v="0"/>
    <x v="0"/>
    <m/>
    <m/>
    <x v="22"/>
    <x v="0"/>
    <s v="Réparation"/>
    <x v="78"/>
    <x v="10"/>
    <x v="23"/>
    <m/>
    <n v="2"/>
    <n v="2019"/>
    <x v="0"/>
  </r>
  <r>
    <x v="11"/>
    <n v="590"/>
    <x v="0"/>
    <x v="20"/>
    <m/>
    <m/>
    <x v="42"/>
    <x v="0"/>
    <s v="Réparation"/>
    <x v="79"/>
    <x v="11"/>
    <x v="18"/>
    <m/>
    <n v="2"/>
    <n v="2019"/>
    <x v="0"/>
  </r>
  <r>
    <x v="12"/>
    <n v="568"/>
    <x v="4"/>
    <x v="14"/>
    <m/>
    <m/>
    <x v="18"/>
    <x v="0"/>
    <s v="Réparation"/>
    <x v="51"/>
    <x v="12"/>
    <x v="47"/>
    <m/>
    <n v="2"/>
    <n v="2019"/>
    <x v="0"/>
  </r>
  <r>
    <x v="13"/>
    <n v="560"/>
    <x v="0"/>
    <x v="0"/>
    <m/>
    <m/>
    <x v="22"/>
    <x v="0"/>
    <s v="Réparation"/>
    <x v="80"/>
    <x v="13"/>
    <x v="23"/>
    <m/>
    <n v="2"/>
    <n v="2019"/>
    <x v="0"/>
  </r>
  <r>
    <x v="13"/>
    <n v="573"/>
    <x v="4"/>
    <x v="23"/>
    <m/>
    <m/>
    <x v="43"/>
    <x v="0"/>
    <s v="Réparation"/>
    <x v="81"/>
    <x v="13"/>
    <x v="48"/>
    <m/>
    <n v="2"/>
    <n v="2019"/>
    <x v="0"/>
  </r>
  <r>
    <x v="14"/>
    <n v="560"/>
    <x v="0"/>
    <x v="0"/>
    <m/>
    <m/>
    <x v="22"/>
    <x v="0"/>
    <s v="Réparation"/>
    <x v="82"/>
    <x v="14"/>
    <x v="23"/>
    <m/>
    <n v="2"/>
    <n v="2019"/>
    <x v="0"/>
  </r>
  <r>
    <x v="15"/>
    <n v="560"/>
    <x v="0"/>
    <x v="0"/>
    <m/>
    <m/>
    <x v="22"/>
    <x v="0"/>
    <s v="Réparation"/>
    <x v="83"/>
    <x v="15"/>
    <x v="23"/>
    <m/>
    <n v="2"/>
    <n v="2019"/>
    <x v="0"/>
  </r>
  <r>
    <x v="15"/>
    <n v="568"/>
    <x v="4"/>
    <x v="14"/>
    <m/>
    <m/>
    <x v="18"/>
    <x v="0"/>
    <s v="Réparation"/>
    <x v="84"/>
    <x v="15"/>
    <x v="49"/>
    <m/>
    <n v="2"/>
    <n v="2019"/>
    <x v="0"/>
  </r>
  <r>
    <x v="16"/>
    <n v="800"/>
    <x v="1"/>
    <x v="2"/>
    <m/>
    <m/>
    <x v="44"/>
    <x v="0"/>
    <s v="Réparation"/>
    <x v="85"/>
    <x v="16"/>
    <x v="23"/>
    <m/>
    <n v="2"/>
    <n v="2019"/>
    <x v="0"/>
  </r>
  <r>
    <x v="16"/>
    <n v="700"/>
    <x v="1"/>
    <x v="3"/>
    <m/>
    <m/>
    <x v="7"/>
    <x v="0"/>
    <s v="Réparation"/>
    <x v="86"/>
    <x v="16"/>
    <x v="23"/>
    <m/>
    <n v="2"/>
    <n v="2019"/>
    <x v="0"/>
  </r>
  <r>
    <x v="17"/>
    <n v="581"/>
    <x v="0"/>
    <x v="10"/>
    <m/>
    <m/>
    <x v="45"/>
    <x v="0"/>
    <s v="Réparation"/>
    <x v="87"/>
    <x v="17"/>
    <x v="23"/>
    <m/>
    <n v="3"/>
    <n v="2019"/>
    <x v="0"/>
  </r>
  <r>
    <x v="18"/>
    <n v="560"/>
    <x v="0"/>
    <x v="0"/>
    <m/>
    <m/>
    <x v="22"/>
    <x v="0"/>
    <s v="Réparation"/>
    <x v="78"/>
    <x v="18"/>
    <x v="18"/>
    <m/>
    <n v="3"/>
    <n v="2019"/>
    <x v="0"/>
  </r>
  <r>
    <x v="19"/>
    <n v="800"/>
    <x v="1"/>
    <x v="2"/>
    <m/>
    <m/>
    <x v="46"/>
    <x v="0"/>
    <s v="Réparation"/>
    <x v="88"/>
    <x v="19"/>
    <x v="50"/>
    <m/>
    <n v="3"/>
    <n v="2019"/>
    <x v="0"/>
  </r>
  <r>
    <x v="19"/>
    <n v="700"/>
    <x v="1"/>
    <x v="3"/>
    <m/>
    <m/>
    <x v="24"/>
    <x v="0"/>
    <s v="Réparation"/>
    <x v="39"/>
    <x v="19"/>
    <x v="23"/>
    <m/>
    <n v="3"/>
    <n v="2019"/>
    <x v="0"/>
  </r>
  <r>
    <x v="19"/>
    <n v="565"/>
    <x v="0"/>
    <x v="4"/>
    <m/>
    <m/>
    <x v="22"/>
    <x v="0"/>
    <s v="Réparation"/>
    <x v="89"/>
    <x v="19"/>
    <x v="18"/>
    <m/>
    <n v="3"/>
    <n v="2019"/>
    <x v="0"/>
  </r>
  <r>
    <x v="20"/>
    <n v="560"/>
    <x v="0"/>
    <x v="0"/>
    <m/>
    <m/>
    <x v="22"/>
    <x v="1"/>
    <s v="Réparation"/>
    <x v="90"/>
    <x v="20"/>
    <x v="18"/>
    <m/>
    <n v="3"/>
    <n v="2019"/>
    <x v="0"/>
  </r>
  <r>
    <x v="21"/>
    <n v="573"/>
    <x v="4"/>
    <x v="23"/>
    <m/>
    <m/>
    <x v="10"/>
    <x v="0"/>
    <s v="Réparation"/>
    <x v="55"/>
    <x v="21"/>
    <x v="18"/>
    <m/>
    <n v="3"/>
    <n v="2019"/>
    <x v="0"/>
  </r>
  <r>
    <x v="21"/>
    <n v="584"/>
    <x v="4"/>
    <x v="24"/>
    <m/>
    <m/>
    <x v="6"/>
    <x v="0"/>
    <s v="Réparation"/>
    <x v="91"/>
    <x v="21"/>
    <x v="18"/>
    <m/>
    <n v="3"/>
    <n v="2019"/>
    <x v="0"/>
  </r>
  <r>
    <x v="21"/>
    <n v="562"/>
    <x v="4"/>
    <x v="8"/>
    <m/>
    <m/>
    <x v="6"/>
    <x v="0"/>
    <s v="Réparation"/>
    <x v="92"/>
    <x v="21"/>
    <x v="18"/>
    <m/>
    <n v="3"/>
    <n v="2019"/>
    <x v="0"/>
  </r>
  <r>
    <x v="22"/>
    <n v="570"/>
    <x v="0"/>
    <x v="16"/>
    <m/>
    <m/>
    <x v="47"/>
    <x v="0"/>
    <s v="Réparation"/>
    <x v="93"/>
    <x v="22"/>
    <x v="18"/>
    <m/>
    <n v="3"/>
    <n v="2019"/>
    <x v="0"/>
  </r>
  <r>
    <x v="22"/>
    <n v="590"/>
    <x v="0"/>
    <x v="20"/>
    <m/>
    <m/>
    <x v="42"/>
    <x v="0"/>
    <s v="Réparation"/>
    <x v="94"/>
    <x v="22"/>
    <x v="18"/>
    <m/>
    <n v="3"/>
    <n v="2019"/>
    <x v="0"/>
  </r>
  <r>
    <x v="22"/>
    <n v="583"/>
    <x v="4"/>
    <x v="21"/>
    <m/>
    <m/>
    <x v="18"/>
    <x v="0"/>
    <s v="Réparation"/>
    <x v="95"/>
    <x v="22"/>
    <x v="18"/>
    <m/>
    <n v="3"/>
    <n v="2019"/>
    <x v="0"/>
  </r>
  <r>
    <x v="22"/>
    <n v="800"/>
    <x v="1"/>
    <x v="2"/>
    <m/>
    <m/>
    <x v="48"/>
    <x v="0"/>
    <s v="Réparation"/>
    <x v="96"/>
    <x v="22"/>
    <x v="23"/>
    <m/>
    <n v="3"/>
    <n v="2019"/>
    <x v="0"/>
  </r>
  <r>
    <x v="22"/>
    <n v="581"/>
    <x v="0"/>
    <x v="10"/>
    <m/>
    <m/>
    <x v="15"/>
    <x v="0"/>
    <s v="Changement"/>
    <x v="97"/>
    <x v="22"/>
    <x v="51"/>
    <m/>
    <n v="3"/>
    <n v="2019"/>
    <x v="0"/>
  </r>
  <r>
    <x v="22"/>
    <n v="560"/>
    <x v="0"/>
    <x v="0"/>
    <m/>
    <m/>
    <x v="22"/>
    <x v="2"/>
    <s v="Réparation"/>
    <x v="98"/>
    <x v="22"/>
    <x v="18"/>
    <m/>
    <n v="3"/>
    <n v="2019"/>
    <x v="0"/>
  </r>
  <r>
    <x v="23"/>
    <n v="601"/>
    <x v="0"/>
    <x v="25"/>
    <m/>
    <m/>
    <x v="12"/>
    <x v="0"/>
    <s v="Réparation"/>
    <x v="99"/>
    <x v="23"/>
    <x v="18"/>
    <m/>
    <n v="3"/>
    <n v="2019"/>
    <x v="0"/>
  </r>
  <r>
    <x v="23"/>
    <n v="565"/>
    <x v="0"/>
    <x v="4"/>
    <m/>
    <m/>
    <x v="30"/>
    <x v="0"/>
    <s v="Réparation"/>
    <x v="100"/>
    <x v="23"/>
    <x v="18"/>
    <m/>
    <n v="3"/>
    <n v="2019"/>
    <x v="0"/>
  </r>
  <r>
    <x v="23"/>
    <n v="800"/>
    <x v="1"/>
    <x v="2"/>
    <m/>
    <m/>
    <x v="49"/>
    <x v="0"/>
    <s v="Réparation"/>
    <x v="101"/>
    <x v="23"/>
    <x v="52"/>
    <m/>
    <n v="3"/>
    <n v="2019"/>
    <x v="0"/>
  </r>
  <r>
    <x v="24"/>
    <n v="700"/>
    <x v="1"/>
    <x v="3"/>
    <m/>
    <m/>
    <x v="2"/>
    <x v="0"/>
    <s v="Amélioration"/>
    <x v="102"/>
    <x v="24"/>
    <x v="53"/>
    <m/>
    <n v="3"/>
    <n v="2019"/>
    <x v="0"/>
  </r>
  <r>
    <x v="25"/>
    <n v="565"/>
    <x v="0"/>
    <x v="4"/>
    <m/>
    <m/>
    <x v="30"/>
    <x v="0"/>
    <s v="Réparation"/>
    <x v="103"/>
    <x v="25"/>
    <x v="18"/>
    <m/>
    <n v="3"/>
    <n v="2019"/>
    <x v="0"/>
  </r>
  <r>
    <x v="25"/>
    <n v="800"/>
    <x v="1"/>
    <x v="2"/>
    <m/>
    <m/>
    <x v="50"/>
    <x v="0"/>
    <s v="Réparation"/>
    <x v="88"/>
    <x v="25"/>
    <x v="54"/>
    <m/>
    <n v="3"/>
    <n v="2019"/>
    <x v="0"/>
  </r>
  <r>
    <x v="25"/>
    <n v="700"/>
    <x v="1"/>
    <x v="3"/>
    <m/>
    <m/>
    <x v="24"/>
    <x v="0"/>
    <s v="Réparation"/>
    <x v="104"/>
    <x v="25"/>
    <x v="55"/>
    <m/>
    <n v="3"/>
    <n v="2019"/>
    <x v="0"/>
  </r>
  <r>
    <x v="25"/>
    <n v="560"/>
    <x v="0"/>
    <x v="0"/>
    <m/>
    <m/>
    <x v="22"/>
    <x v="3"/>
    <s v="Réparation"/>
    <x v="105"/>
    <x v="25"/>
    <x v="18"/>
    <m/>
    <n v="3"/>
    <n v="2019"/>
    <x v="0"/>
  </r>
  <r>
    <x v="26"/>
    <n v="560"/>
    <x v="0"/>
    <x v="0"/>
    <m/>
    <m/>
    <x v="22"/>
    <x v="0"/>
    <s v="Réparation"/>
    <x v="78"/>
    <x v="26"/>
    <x v="18"/>
    <m/>
    <n v="3"/>
    <n v="2019"/>
    <x v="0"/>
  </r>
  <r>
    <x v="26"/>
    <n v="581"/>
    <x v="0"/>
    <x v="10"/>
    <m/>
    <m/>
    <x v="45"/>
    <x v="0"/>
    <s v="Réparation"/>
    <x v="106"/>
    <x v="26"/>
    <x v="18"/>
    <m/>
    <n v="3"/>
    <n v="2019"/>
    <x v="0"/>
  </r>
  <r>
    <x v="27"/>
    <n v="573"/>
    <x v="4"/>
    <x v="23"/>
    <m/>
    <m/>
    <x v="43"/>
    <x v="0"/>
    <s v="Démontage"/>
    <x v="107"/>
    <x v="27"/>
    <x v="56"/>
    <m/>
    <n v="3"/>
    <n v="2019"/>
    <x v="0"/>
  </r>
  <r>
    <x v="27"/>
    <n v="800"/>
    <x v="1"/>
    <x v="2"/>
    <m/>
    <m/>
    <x v="51"/>
    <x v="0"/>
    <s v="Réparation"/>
    <x v="108"/>
    <x v="27"/>
    <x v="23"/>
    <m/>
    <n v="3"/>
    <n v="2019"/>
    <x v="0"/>
  </r>
  <r>
    <x v="28"/>
    <n v="560"/>
    <x v="0"/>
    <x v="0"/>
    <m/>
    <m/>
    <x v="22"/>
    <x v="4"/>
    <s v="Réparation"/>
    <x v="109"/>
    <x v="28"/>
    <x v="18"/>
    <m/>
    <n v="3"/>
    <n v="2019"/>
    <x v="0"/>
  </r>
  <r>
    <x v="28"/>
    <n v="583"/>
    <x v="4"/>
    <x v="21"/>
    <m/>
    <m/>
    <x v="43"/>
    <x v="0"/>
    <s v="Démontage"/>
    <x v="110"/>
    <x v="28"/>
    <x v="18"/>
    <m/>
    <n v="3"/>
    <n v="2019"/>
    <x v="0"/>
  </r>
  <r>
    <x v="28"/>
    <n v="800"/>
    <x v="1"/>
    <x v="2"/>
    <m/>
    <m/>
    <x v="37"/>
    <x v="0"/>
    <s v="Réparation"/>
    <x v="111"/>
    <x v="28"/>
    <x v="23"/>
    <m/>
    <n v="3"/>
    <n v="2019"/>
    <x v="0"/>
  </r>
  <r>
    <x v="28"/>
    <n v="800"/>
    <x v="1"/>
    <x v="2"/>
    <m/>
    <m/>
    <x v="7"/>
    <x v="0"/>
    <s v="Réparation"/>
    <x v="112"/>
    <x v="28"/>
    <x v="23"/>
    <m/>
    <n v="3"/>
    <n v="2019"/>
    <x v="0"/>
  </r>
  <r>
    <x v="29"/>
    <n v="560"/>
    <x v="0"/>
    <x v="0"/>
    <m/>
    <m/>
    <x v="22"/>
    <x v="5"/>
    <s v="Réparation"/>
    <x v="113"/>
    <x v="29"/>
    <x v="18"/>
    <m/>
    <n v="3"/>
    <n v="2019"/>
    <x v="0"/>
  </r>
  <r>
    <x v="29"/>
    <n v="605"/>
    <x v="0"/>
    <x v="13"/>
    <m/>
    <m/>
    <x v="17"/>
    <x v="0"/>
    <s v="Démontage"/>
    <x v="114"/>
    <x v="29"/>
    <x v="57"/>
    <m/>
    <n v="3"/>
    <n v="2019"/>
    <x v="0"/>
  </r>
  <r>
    <x v="29"/>
    <n v="700"/>
    <x v="1"/>
    <x v="3"/>
    <m/>
    <m/>
    <x v="52"/>
    <x v="0"/>
    <s v="Réparation"/>
    <x v="115"/>
    <x v="29"/>
    <x v="23"/>
    <m/>
    <n v="3"/>
    <n v="2019"/>
    <x v="0"/>
  </r>
  <r>
    <x v="30"/>
    <n v="560"/>
    <x v="0"/>
    <x v="0"/>
    <m/>
    <m/>
    <x v="22"/>
    <x v="6"/>
    <s v="Réparation"/>
    <x v="116"/>
    <x v="30"/>
    <x v="18"/>
    <m/>
    <n v="3"/>
    <n v="2019"/>
    <x v="0"/>
  </r>
  <r>
    <x v="30"/>
    <n v="560"/>
    <x v="0"/>
    <x v="0"/>
    <m/>
    <m/>
    <x v="0"/>
    <x v="0"/>
    <s v="Réparation"/>
    <x v="117"/>
    <x v="30"/>
    <x v="18"/>
    <m/>
    <n v="3"/>
    <n v="2019"/>
    <x v="0"/>
  </r>
  <r>
    <x v="31"/>
    <n v="560"/>
    <x v="0"/>
    <x v="0"/>
    <m/>
    <m/>
    <x v="22"/>
    <x v="7"/>
    <s v="Réparation"/>
    <x v="118"/>
    <x v="31"/>
    <x v="18"/>
    <m/>
    <n v="3"/>
    <n v="2019"/>
    <x v="0"/>
  </r>
  <r>
    <x v="31"/>
    <n v="582"/>
    <x v="0"/>
    <x v="1"/>
    <m/>
    <m/>
    <x v="53"/>
    <x v="0"/>
    <s v="Réparation"/>
    <x v="119"/>
    <x v="31"/>
    <x v="18"/>
    <m/>
    <n v="3"/>
    <n v="2019"/>
    <x v="0"/>
  </r>
  <r>
    <x v="32"/>
    <n v="800"/>
    <x v="1"/>
    <x v="2"/>
    <m/>
    <m/>
    <x v="54"/>
    <x v="0"/>
    <s v="Réparation"/>
    <x v="120"/>
    <x v="32"/>
    <x v="58"/>
    <m/>
    <n v="3"/>
    <n v="2019"/>
    <x v="0"/>
  </r>
  <r>
    <x v="33"/>
    <n v="605"/>
    <x v="0"/>
    <x v="13"/>
    <m/>
    <m/>
    <x v="17"/>
    <x v="0"/>
    <s v="Réparation"/>
    <x v="121"/>
    <x v="33"/>
    <x v="59"/>
    <m/>
    <n v="3"/>
    <n v="2019"/>
    <x v="0"/>
  </r>
  <r>
    <x v="34"/>
    <n v="581"/>
    <x v="0"/>
    <x v="10"/>
    <m/>
    <m/>
    <x v="45"/>
    <x v="0"/>
    <s v="Réparation"/>
    <x v="122"/>
    <x v="34"/>
    <x v="23"/>
    <m/>
    <n v="3"/>
    <n v="2019"/>
    <x v="0"/>
  </r>
  <r>
    <x v="35"/>
    <n v="561"/>
    <x v="4"/>
    <x v="18"/>
    <m/>
    <m/>
    <x v="10"/>
    <x v="0"/>
    <s v="Réparation"/>
    <x v="55"/>
    <x v="35"/>
    <x v="60"/>
    <m/>
    <n v="4"/>
    <n v="2019"/>
    <x v="0"/>
  </r>
  <r>
    <x v="35"/>
    <n v="560"/>
    <x v="0"/>
    <x v="0"/>
    <m/>
    <m/>
    <x v="22"/>
    <x v="0"/>
    <s v="Réparation"/>
    <x v="123"/>
    <x v="35"/>
    <x v="23"/>
    <m/>
    <n v="4"/>
    <n v="2019"/>
    <x v="0"/>
  </r>
  <r>
    <x v="35"/>
    <n v="605"/>
    <x v="0"/>
    <x v="13"/>
    <m/>
    <m/>
    <x v="17"/>
    <x v="0"/>
    <s v="Réparation"/>
    <x v="124"/>
    <x v="35"/>
    <x v="23"/>
    <m/>
    <n v="4"/>
    <n v="2019"/>
    <x v="0"/>
  </r>
  <r>
    <x v="35"/>
    <n v="700"/>
    <x v="1"/>
    <x v="3"/>
    <m/>
    <m/>
    <x v="55"/>
    <x v="0"/>
    <s v="Réparation"/>
    <x v="125"/>
    <x v="35"/>
    <x v="23"/>
    <m/>
    <n v="4"/>
    <n v="2019"/>
    <x v="0"/>
  </r>
  <r>
    <x v="35"/>
    <n v="800"/>
    <x v="1"/>
    <x v="2"/>
    <m/>
    <m/>
    <x v="55"/>
    <x v="0"/>
    <s v="Réglage"/>
    <x v="126"/>
    <x v="35"/>
    <x v="18"/>
    <m/>
    <n v="4"/>
    <n v="2019"/>
    <x v="0"/>
  </r>
  <r>
    <x v="35"/>
    <n v="800"/>
    <x v="1"/>
    <x v="2"/>
    <m/>
    <m/>
    <x v="56"/>
    <x v="0"/>
    <s v="Réparation"/>
    <x v="127"/>
    <x v="35"/>
    <x v="18"/>
    <m/>
    <n v="4"/>
    <n v="2019"/>
    <x v="0"/>
  </r>
  <r>
    <x v="36"/>
    <n v="700"/>
    <x v="1"/>
    <x v="3"/>
    <m/>
    <m/>
    <x v="7"/>
    <x v="0"/>
    <s v="Réparation"/>
    <x v="128"/>
    <x v="36"/>
    <x v="18"/>
    <m/>
    <n v="4"/>
    <n v="2019"/>
    <x v="0"/>
  </r>
  <r>
    <x v="36"/>
    <n v="700"/>
    <x v="1"/>
    <x v="3"/>
    <m/>
    <m/>
    <x v="28"/>
    <x v="0"/>
    <s v="Réparation"/>
    <x v="129"/>
    <x v="36"/>
    <x v="18"/>
    <m/>
    <n v="4"/>
    <n v="2019"/>
    <x v="0"/>
  </r>
  <r>
    <x v="37"/>
    <n v="560"/>
    <x v="0"/>
    <x v="0"/>
    <m/>
    <m/>
    <x v="22"/>
    <x v="6"/>
    <s v="Réparation"/>
    <x v="116"/>
    <x v="37"/>
    <x v="18"/>
    <m/>
    <n v="4"/>
    <n v="2019"/>
    <x v="0"/>
  </r>
  <r>
    <x v="38"/>
    <n v="700"/>
    <x v="1"/>
    <x v="3"/>
    <m/>
    <m/>
    <x v="49"/>
    <x v="0"/>
    <s v="Réparation"/>
    <x v="130"/>
    <x v="38"/>
    <x v="61"/>
    <m/>
    <n v="4"/>
    <n v="2019"/>
    <x v="0"/>
  </r>
  <r>
    <x v="38"/>
    <n v="560"/>
    <x v="0"/>
    <x v="0"/>
    <m/>
    <m/>
    <x v="57"/>
    <x v="8"/>
    <s v="Réparation"/>
    <x v="131"/>
    <x v="38"/>
    <x v="18"/>
    <m/>
    <n v="4"/>
    <n v="2019"/>
    <x v="0"/>
  </r>
  <r>
    <x v="39"/>
    <n v="800"/>
    <x v="1"/>
    <x v="2"/>
    <m/>
    <m/>
    <x v="55"/>
    <x v="0"/>
    <s v="Réparation"/>
    <x v="88"/>
    <x v="39"/>
    <x v="18"/>
    <m/>
    <n v="4"/>
    <n v="2019"/>
    <x v="0"/>
  </r>
  <r>
    <x v="39"/>
    <n v="800"/>
    <x v="1"/>
    <x v="2"/>
    <m/>
    <m/>
    <x v="13"/>
    <x v="0"/>
    <s v="Réparation"/>
    <x v="132"/>
    <x v="39"/>
    <x v="18"/>
    <m/>
    <n v="4"/>
    <n v="2019"/>
    <x v="0"/>
  </r>
  <r>
    <x v="40"/>
    <n v="700"/>
    <x v="1"/>
    <x v="3"/>
    <m/>
    <m/>
    <x v="49"/>
    <x v="9"/>
    <s v="Réparation"/>
    <x v="133"/>
    <x v="40"/>
    <x v="18"/>
    <m/>
    <n v="4"/>
    <n v="2019"/>
    <x v="0"/>
  </r>
  <r>
    <x v="41"/>
    <n v="800"/>
    <x v="1"/>
    <x v="2"/>
    <m/>
    <m/>
    <x v="49"/>
    <x v="10"/>
    <s v="Changement"/>
    <x v="134"/>
    <x v="41"/>
    <x v="18"/>
    <m/>
    <n v="4"/>
    <n v="2019"/>
    <x v="0"/>
  </r>
  <r>
    <x v="41"/>
    <n v="700"/>
    <x v="1"/>
    <x v="3"/>
    <m/>
    <m/>
    <x v="49"/>
    <x v="11"/>
    <s v="Changement"/>
    <x v="135"/>
    <x v="41"/>
    <x v="18"/>
    <m/>
    <n v="4"/>
    <n v="2019"/>
    <x v="0"/>
  </r>
  <r>
    <x v="41"/>
    <n v="800"/>
    <x v="1"/>
    <x v="2"/>
    <m/>
    <m/>
    <x v="27"/>
    <x v="12"/>
    <s v="Réparation"/>
    <x v="136"/>
    <x v="42"/>
    <x v="18"/>
    <s v="=SI(ESTVIDE([@[Date"/>
    <n v="6"/>
    <n v="2019"/>
    <x v="0"/>
  </r>
  <r>
    <x v="42"/>
    <n v="700"/>
    <x v="1"/>
    <x v="3"/>
    <m/>
    <m/>
    <x v="24"/>
    <x v="13"/>
    <s v="Réparation"/>
    <x v="137"/>
    <x v="43"/>
    <x v="18"/>
    <m/>
    <n v="4"/>
    <n v="2019"/>
    <x v="0"/>
  </r>
  <r>
    <x v="43"/>
    <n v="800"/>
    <x v="1"/>
    <x v="2"/>
    <m/>
    <m/>
    <x v="37"/>
    <x v="14"/>
    <s v="Réparation"/>
    <x v="138"/>
    <x v="44"/>
    <x v="18"/>
    <m/>
    <n v="4"/>
    <n v="2019"/>
    <x v="0"/>
  </r>
  <r>
    <x v="43"/>
    <n v="700"/>
    <x v="1"/>
    <x v="3"/>
    <m/>
    <m/>
    <x v="27"/>
    <x v="15"/>
    <s v="Réparation"/>
    <x v="139"/>
    <x v="44"/>
    <x v="18"/>
    <m/>
    <n v="4"/>
    <n v="2019"/>
    <x v="0"/>
  </r>
  <r>
    <x v="43"/>
    <n v="560"/>
    <x v="0"/>
    <x v="0"/>
    <m/>
    <m/>
    <x v="22"/>
    <x v="16"/>
    <s v="Réparation"/>
    <x v="116"/>
    <x v="44"/>
    <x v="18"/>
    <m/>
    <n v="4"/>
    <n v="2019"/>
    <x v="0"/>
  </r>
  <r>
    <x v="44"/>
    <n v="700"/>
    <x v="1"/>
    <x v="3"/>
    <m/>
    <m/>
    <x v="58"/>
    <x v="17"/>
    <s v="Changement"/>
    <x v="140"/>
    <x v="45"/>
    <x v="18"/>
    <s v="=SI(ESTVIDE([@[Date"/>
    <n v="4"/>
    <n v="2019"/>
    <x v="0"/>
  </r>
  <r>
    <x v="44"/>
    <n v="700"/>
    <x v="1"/>
    <x v="3"/>
    <m/>
    <m/>
    <x v="49"/>
    <x v="18"/>
    <s v="Changement"/>
    <x v="141"/>
    <x v="46"/>
    <x v="18"/>
    <m/>
    <n v="4"/>
    <n v="2019"/>
    <x v="0"/>
  </r>
  <r>
    <x v="45"/>
    <n v="800"/>
    <x v="1"/>
    <x v="2"/>
    <m/>
    <m/>
    <x v="59"/>
    <x v="19"/>
    <s v="Changement"/>
    <x v="142"/>
    <x v="45"/>
    <x v="18"/>
    <m/>
    <n v="4"/>
    <n v="2019"/>
    <x v="0"/>
  </r>
  <r>
    <x v="45"/>
    <n v="560"/>
    <x v="0"/>
    <x v="0"/>
    <m/>
    <m/>
    <x v="22"/>
    <x v="16"/>
    <s v="Réparation"/>
    <x v="143"/>
    <x v="45"/>
    <x v="18"/>
    <m/>
    <n v="4"/>
    <n v="2019"/>
    <x v="0"/>
  </r>
  <r>
    <x v="46"/>
    <n v="800"/>
    <x v="1"/>
    <x v="2"/>
    <m/>
    <m/>
    <x v="37"/>
    <x v="20"/>
    <s v="Réparation"/>
    <x v="144"/>
    <x v="47"/>
    <x v="18"/>
    <m/>
    <n v="4"/>
    <n v="2019"/>
    <x v="0"/>
  </r>
  <r>
    <x v="47"/>
    <n v="700"/>
    <x v="1"/>
    <x v="3"/>
    <m/>
    <m/>
    <x v="8"/>
    <x v="21"/>
    <s v="Réparation"/>
    <x v="145"/>
    <x v="48"/>
    <x v="18"/>
    <s v="=SI(ESTVIDE([@[Date"/>
    <n v="4"/>
    <n v="2019"/>
    <x v="0"/>
  </r>
  <r>
    <x v="47"/>
    <n v="700"/>
    <x v="1"/>
    <x v="3"/>
    <m/>
    <m/>
    <x v="60"/>
    <x v="22"/>
    <s v="Réparation"/>
    <x v="146"/>
    <x v="49"/>
    <x v="18"/>
    <m/>
    <n v="4"/>
    <n v="2019"/>
    <x v="0"/>
  </r>
  <r>
    <x v="48"/>
    <n v="700"/>
    <x v="1"/>
    <x v="3"/>
    <m/>
    <m/>
    <x v="58"/>
    <x v="17"/>
    <s v="Réparation"/>
    <x v="147"/>
    <x v="50"/>
    <x v="18"/>
    <m/>
    <n v="4"/>
    <n v="2019"/>
    <x v="0"/>
  </r>
  <r>
    <x v="48"/>
    <n v="700"/>
    <x v="1"/>
    <x v="3"/>
    <m/>
    <m/>
    <x v="49"/>
    <x v="23"/>
    <s v="Réparation"/>
    <x v="148"/>
    <x v="50"/>
    <x v="18"/>
    <m/>
    <n v="4"/>
    <n v="2019"/>
    <x v="0"/>
  </r>
  <r>
    <x v="49"/>
    <n v="533"/>
    <x v="2"/>
    <x v="5"/>
    <m/>
    <m/>
    <x v="61"/>
    <x v="24"/>
    <s v="Changement"/>
    <x v="149"/>
    <x v="51"/>
    <x v="18"/>
    <m/>
    <n v="4"/>
    <n v="2019"/>
    <x v="0"/>
  </r>
  <r>
    <x v="49"/>
    <n v="800"/>
    <x v="1"/>
    <x v="2"/>
    <m/>
    <m/>
    <x v="24"/>
    <x v="24"/>
    <s v="Changement"/>
    <x v="39"/>
    <x v="51"/>
    <x v="18"/>
    <m/>
    <n v="4"/>
    <n v="2019"/>
    <x v="0"/>
  </r>
  <r>
    <x v="49"/>
    <n v="565"/>
    <x v="0"/>
    <x v="4"/>
    <m/>
    <m/>
    <x v="62"/>
    <x v="25"/>
    <s v="Réparation"/>
    <x v="150"/>
    <x v="52"/>
    <x v="18"/>
    <s v="=SI(ESTVIDE([@[Date"/>
    <n v="5"/>
    <n v="2019"/>
    <x v="0"/>
  </r>
  <r>
    <x v="50"/>
    <n v="582"/>
    <x v="0"/>
    <x v="1"/>
    <m/>
    <m/>
    <x v="63"/>
    <x v="26"/>
    <s v="Réparation"/>
    <x v="151"/>
    <x v="53"/>
    <x v="62"/>
    <s v="=SI(ESTVIDE([@[Date"/>
    <n v="6"/>
    <n v="2019"/>
    <x v="0"/>
  </r>
  <r>
    <x v="51"/>
    <n v="700"/>
    <x v="1"/>
    <x v="3"/>
    <m/>
    <m/>
    <x v="46"/>
    <x v="27"/>
    <s v="Réparation"/>
    <x v="152"/>
    <x v="54"/>
    <x v="18"/>
    <m/>
    <n v="5"/>
    <n v="2019"/>
    <x v="0"/>
  </r>
  <r>
    <x v="52"/>
    <n v="800"/>
    <x v="1"/>
    <x v="2"/>
    <m/>
    <m/>
    <x v="37"/>
    <x v="28"/>
    <s v="Réparation"/>
    <x v="153"/>
    <x v="55"/>
    <x v="18"/>
    <m/>
    <n v="5"/>
    <n v="2019"/>
    <x v="0"/>
  </r>
  <r>
    <x v="52"/>
    <n v="582"/>
    <x v="0"/>
    <x v="1"/>
    <m/>
    <m/>
    <x v="64"/>
    <x v="29"/>
    <s v="Réparation"/>
    <x v="154"/>
    <x v="56"/>
    <x v="18"/>
    <s v="=SI(ESTVIDE([@[Date"/>
    <n v="5"/>
    <n v="2019"/>
    <x v="0"/>
  </r>
  <r>
    <x v="52"/>
    <n v="581"/>
    <x v="0"/>
    <x v="10"/>
    <m/>
    <m/>
    <x v="65"/>
    <x v="30"/>
    <s v="Réparation"/>
    <x v="155"/>
    <x v="55"/>
    <x v="18"/>
    <m/>
    <n v="5"/>
    <n v="2019"/>
    <x v="0"/>
  </r>
  <r>
    <x v="52"/>
    <n v="581"/>
    <x v="0"/>
    <x v="10"/>
    <m/>
    <m/>
    <x v="45"/>
    <x v="31"/>
    <s v="Réparation"/>
    <x v="156"/>
    <x v="55"/>
    <x v="18"/>
    <m/>
    <n v="5"/>
    <n v="2019"/>
    <x v="0"/>
  </r>
  <r>
    <x v="53"/>
    <n v="700"/>
    <x v="1"/>
    <x v="3"/>
    <m/>
    <m/>
    <x v="24"/>
    <x v="24"/>
    <s v="Réparation"/>
    <x v="39"/>
    <x v="57"/>
    <x v="18"/>
    <m/>
    <n v="5"/>
    <n v="2019"/>
    <x v="0"/>
  </r>
  <r>
    <x v="53"/>
    <n v="560"/>
    <x v="0"/>
    <x v="0"/>
    <m/>
    <m/>
    <x v="22"/>
    <x v="32"/>
    <s v="Réparation"/>
    <x v="98"/>
    <x v="57"/>
    <x v="18"/>
    <m/>
    <n v="5"/>
    <n v="2019"/>
    <x v="0"/>
  </r>
  <r>
    <x v="53"/>
    <n v="581"/>
    <x v="0"/>
    <x v="10"/>
    <m/>
    <m/>
    <x v="45"/>
    <x v="33"/>
    <s v="Réparation"/>
    <x v="157"/>
    <x v="57"/>
    <x v="18"/>
    <m/>
    <n v="5"/>
    <n v="2019"/>
    <x v="0"/>
  </r>
  <r>
    <x v="54"/>
    <n v="560"/>
    <x v="0"/>
    <x v="0"/>
    <m/>
    <m/>
    <x v="22"/>
    <x v="34"/>
    <s v="Réparation"/>
    <x v="158"/>
    <x v="56"/>
    <x v="63"/>
    <m/>
    <n v="5"/>
    <n v="2019"/>
    <x v="0"/>
  </r>
  <r>
    <x v="54"/>
    <n v="590"/>
    <x v="0"/>
    <x v="20"/>
    <m/>
    <m/>
    <x v="42"/>
    <x v="35"/>
    <s v="Réparation"/>
    <x v="13"/>
    <x v="56"/>
    <x v="18"/>
    <m/>
    <n v="5"/>
    <n v="2019"/>
    <x v="0"/>
  </r>
  <r>
    <x v="54"/>
    <n v="590"/>
    <x v="0"/>
    <x v="20"/>
    <m/>
    <m/>
    <x v="41"/>
    <x v="36"/>
    <s v="Réparation"/>
    <x v="159"/>
    <x v="56"/>
    <x v="18"/>
    <m/>
    <n v="5"/>
    <n v="2019"/>
    <x v="0"/>
  </r>
  <r>
    <x v="55"/>
    <n v="700"/>
    <x v="1"/>
    <x v="3"/>
    <m/>
    <m/>
    <x v="27"/>
    <x v="37"/>
    <s v="Réparation"/>
    <x v="160"/>
    <x v="58"/>
    <x v="18"/>
    <m/>
    <n v="5"/>
    <n v="2019"/>
    <x v="0"/>
  </r>
  <r>
    <x v="55"/>
    <n v="560"/>
    <x v="0"/>
    <x v="0"/>
    <m/>
    <m/>
    <x v="22"/>
    <x v="38"/>
    <s v="Réparation"/>
    <x v="98"/>
    <x v="58"/>
    <x v="18"/>
    <m/>
    <n v="5"/>
    <n v="2019"/>
    <x v="0"/>
  </r>
  <r>
    <x v="55"/>
    <n v="582"/>
    <x v="0"/>
    <x v="1"/>
    <m/>
    <m/>
    <x v="53"/>
    <x v="35"/>
    <s v="Réparation"/>
    <x v="13"/>
    <x v="58"/>
    <x v="18"/>
    <m/>
    <n v="5"/>
    <n v="2019"/>
    <x v="0"/>
  </r>
  <r>
    <x v="56"/>
    <n v="700"/>
    <x v="1"/>
    <x v="3"/>
    <m/>
    <m/>
    <x v="55"/>
    <x v="39"/>
    <s v="Réparation"/>
    <x v="138"/>
    <x v="59"/>
    <x v="18"/>
    <m/>
    <n v="5"/>
    <n v="2019"/>
    <x v="0"/>
  </r>
  <r>
    <x v="57"/>
    <n v="700"/>
    <x v="1"/>
    <x v="3"/>
    <m/>
    <m/>
    <x v="58"/>
    <x v="40"/>
    <s v="Essai"/>
    <x v="161"/>
    <x v="60"/>
    <x v="64"/>
    <m/>
    <n v="5"/>
    <n v="2019"/>
    <x v="0"/>
  </r>
  <r>
    <x v="57"/>
    <n v="560"/>
    <x v="0"/>
    <x v="0"/>
    <m/>
    <m/>
    <x v="66"/>
    <x v="41"/>
    <s v="Réparation"/>
    <x v="162"/>
    <x v="60"/>
    <x v="18"/>
    <m/>
    <n v="5"/>
    <n v="2019"/>
    <x v="0"/>
  </r>
  <r>
    <x v="57"/>
    <n v="560"/>
    <x v="0"/>
    <x v="0"/>
    <m/>
    <m/>
    <x v="22"/>
    <x v="1"/>
    <s v="Réparation"/>
    <x v="90"/>
    <x v="60"/>
    <x v="18"/>
    <m/>
    <n v="5"/>
    <n v="2019"/>
    <x v="0"/>
  </r>
  <r>
    <x v="58"/>
    <n v="582"/>
    <x v="0"/>
    <x v="1"/>
    <m/>
    <m/>
    <x v="26"/>
    <x v="42"/>
    <s v="Réparation"/>
    <x v="163"/>
    <x v="61"/>
    <x v="18"/>
    <m/>
    <n v="5"/>
    <n v="2019"/>
    <x v="0"/>
  </r>
  <r>
    <x v="59"/>
    <n v="800"/>
    <x v="1"/>
    <x v="2"/>
    <m/>
    <m/>
    <x v="2"/>
    <x v="43"/>
    <s v="Réparation"/>
    <x v="164"/>
    <x v="62"/>
    <x v="18"/>
    <m/>
    <n v="5"/>
    <n v="2019"/>
    <x v="0"/>
  </r>
  <r>
    <x v="60"/>
    <n v="620"/>
    <x v="0"/>
    <x v="26"/>
    <m/>
    <m/>
    <x v="67"/>
    <x v="44"/>
    <s v="Réparation"/>
    <x v="165"/>
    <x v="63"/>
    <x v="18"/>
    <m/>
    <n v="5"/>
    <n v="2019"/>
    <x v="0"/>
  </r>
  <r>
    <x v="60"/>
    <n v="571"/>
    <x v="0"/>
    <x v="7"/>
    <m/>
    <m/>
    <x v="68"/>
    <x v="45"/>
    <s v="Réparation"/>
    <x v="166"/>
    <x v="63"/>
    <x v="18"/>
    <m/>
    <n v="5"/>
    <n v="2019"/>
    <x v="0"/>
  </r>
  <r>
    <x v="61"/>
    <n v="582"/>
    <x v="0"/>
    <x v="1"/>
    <m/>
    <m/>
    <x v="41"/>
    <x v="35"/>
    <s v="Réparation"/>
    <x v="167"/>
    <x v="64"/>
    <x v="18"/>
    <m/>
    <n v="5"/>
    <n v="2019"/>
    <x v="0"/>
  </r>
  <r>
    <x v="62"/>
    <n v="700"/>
    <x v="1"/>
    <x v="3"/>
    <m/>
    <m/>
    <x v="48"/>
    <x v="46"/>
    <s v="Réparation"/>
    <x v="168"/>
    <x v="65"/>
    <x v="18"/>
    <m/>
    <n v="5"/>
    <n v="2019"/>
    <x v="0"/>
  </r>
  <r>
    <x v="62"/>
    <n v="560"/>
    <x v="0"/>
    <x v="0"/>
    <m/>
    <m/>
    <x v="22"/>
    <x v="2"/>
    <s v="Réparation"/>
    <x v="98"/>
    <x v="65"/>
    <x v="18"/>
    <m/>
    <n v="5"/>
    <n v="2019"/>
    <x v="0"/>
  </r>
  <r>
    <x v="62"/>
    <n v="800"/>
    <x v="1"/>
    <x v="2"/>
    <m/>
    <m/>
    <x v="69"/>
    <x v="47"/>
    <s v="Réparation"/>
    <x v="169"/>
    <x v="65"/>
    <x v="18"/>
    <m/>
    <n v="5"/>
    <n v="2019"/>
    <x v="0"/>
  </r>
  <r>
    <x v="63"/>
    <n v="800"/>
    <x v="1"/>
    <x v="2"/>
    <m/>
    <m/>
    <x v="69"/>
    <x v="48"/>
    <s v="Réparation"/>
    <x v="170"/>
    <x v="52"/>
    <x v="18"/>
    <m/>
    <n v="5"/>
    <n v="2019"/>
    <x v="0"/>
  </r>
  <r>
    <x v="63"/>
    <n v="700"/>
    <x v="1"/>
    <x v="3"/>
    <m/>
    <m/>
    <x v="70"/>
    <x v="49"/>
    <s v="Réparation"/>
    <x v="171"/>
    <x v="52"/>
    <x v="18"/>
    <m/>
    <n v="5"/>
    <n v="2019"/>
    <x v="0"/>
  </r>
  <r>
    <x v="63"/>
    <n v="700"/>
    <x v="1"/>
    <x v="3"/>
    <m/>
    <m/>
    <x v="49"/>
    <x v="50"/>
    <s v="Réparation"/>
    <x v="172"/>
    <x v="52"/>
    <x v="18"/>
    <m/>
    <n v="5"/>
    <n v="2019"/>
    <x v="0"/>
  </r>
  <r>
    <x v="63"/>
    <n v="560"/>
    <x v="0"/>
    <x v="0"/>
    <m/>
    <m/>
    <x v="22"/>
    <x v="2"/>
    <s v="Réparation"/>
    <x v="173"/>
    <x v="52"/>
    <x v="18"/>
    <m/>
    <n v="5"/>
    <n v="2019"/>
    <x v="0"/>
  </r>
  <r>
    <x v="64"/>
    <n v="534"/>
    <x v="2"/>
    <x v="27"/>
    <m/>
    <m/>
    <x v="61"/>
    <x v="51"/>
    <s v="Réparation"/>
    <x v="174"/>
    <x v="66"/>
    <x v="18"/>
    <m/>
    <n v="5"/>
    <n v="2019"/>
    <x v="0"/>
  </r>
  <r>
    <x v="65"/>
    <n v="800"/>
    <x v="1"/>
    <x v="2"/>
    <m/>
    <m/>
    <x v="46"/>
    <x v="49"/>
    <s v="Réparation"/>
    <x v="171"/>
    <x v="67"/>
    <x v="18"/>
    <m/>
    <n v="5"/>
    <n v="2019"/>
    <x v="0"/>
  </r>
  <r>
    <x v="65"/>
    <n v="700"/>
    <x v="1"/>
    <x v="3"/>
    <m/>
    <m/>
    <x v="49"/>
    <x v="50"/>
    <s v="Réparation"/>
    <x v="175"/>
    <x v="67"/>
    <x v="18"/>
    <m/>
    <n v="5"/>
    <n v="2019"/>
    <x v="0"/>
  </r>
  <r>
    <x v="66"/>
    <n v="800"/>
    <x v="1"/>
    <x v="2"/>
    <m/>
    <m/>
    <x v="55"/>
    <x v="52"/>
    <s v="Réparation"/>
    <x v="35"/>
    <x v="68"/>
    <x v="18"/>
    <m/>
    <n v="5"/>
    <n v="2019"/>
    <x v="0"/>
  </r>
  <r>
    <x v="66"/>
    <n v="700"/>
    <x v="1"/>
    <x v="3"/>
    <m/>
    <m/>
    <x v="27"/>
    <x v="53"/>
    <s v="Réparation"/>
    <x v="176"/>
    <x v="68"/>
    <x v="18"/>
    <m/>
    <n v="5"/>
    <n v="2019"/>
    <x v="0"/>
  </r>
  <r>
    <x v="66"/>
    <n v="568"/>
    <x v="4"/>
    <x v="14"/>
    <m/>
    <m/>
    <x v="6"/>
    <x v="54"/>
    <s v="Réparation"/>
    <x v="177"/>
    <x v="69"/>
    <x v="18"/>
    <s v="=SI(ESTVIDE([@[Date"/>
    <n v="5"/>
    <n v="2019"/>
    <x v="0"/>
  </r>
  <r>
    <x v="67"/>
    <n v="700"/>
    <x v="1"/>
    <x v="3"/>
    <m/>
    <m/>
    <x v="49"/>
    <x v="55"/>
    <s v="Réparation"/>
    <x v="175"/>
    <x v="70"/>
    <x v="18"/>
    <m/>
    <n v="5"/>
    <n v="2019"/>
    <x v="0"/>
  </r>
  <r>
    <x v="68"/>
    <n v="605"/>
    <x v="0"/>
    <x v="13"/>
    <m/>
    <m/>
    <x v="0"/>
    <x v="56"/>
    <s v="Réparation"/>
    <x v="178"/>
    <x v="71"/>
    <x v="18"/>
    <m/>
    <n v="5"/>
    <n v="2019"/>
    <x v="0"/>
  </r>
  <r>
    <x v="69"/>
    <n v="800"/>
    <x v="1"/>
    <x v="2"/>
    <m/>
    <m/>
    <x v="71"/>
    <x v="57"/>
    <s v="Réparation"/>
    <x v="179"/>
    <x v="72"/>
    <x v="18"/>
    <m/>
    <n v="5"/>
    <n v="2019"/>
    <x v="0"/>
  </r>
  <r>
    <x v="69"/>
    <n v="800"/>
    <x v="1"/>
    <x v="2"/>
    <m/>
    <m/>
    <x v="24"/>
    <x v="58"/>
    <s v="Réparation"/>
    <x v="58"/>
    <x v="72"/>
    <x v="18"/>
    <m/>
    <n v="5"/>
    <n v="2019"/>
    <x v="0"/>
  </r>
  <r>
    <x v="69"/>
    <n v="580"/>
    <x v="0"/>
    <x v="11"/>
    <m/>
    <m/>
    <x v="17"/>
    <x v="59"/>
    <s v="Réparation"/>
    <x v="180"/>
    <x v="72"/>
    <x v="18"/>
    <m/>
    <n v="5"/>
    <n v="2019"/>
    <x v="0"/>
  </r>
  <r>
    <x v="70"/>
    <n v="700"/>
    <x v="1"/>
    <x v="3"/>
    <m/>
    <m/>
    <x v="72"/>
    <x v="60"/>
    <s v="Réparation"/>
    <x v="181"/>
    <x v="73"/>
    <x v="65"/>
    <m/>
    <n v="5"/>
    <n v="2019"/>
    <x v="0"/>
  </r>
  <r>
    <x v="70"/>
    <n v="800"/>
    <x v="1"/>
    <x v="2"/>
    <m/>
    <m/>
    <x v="49"/>
    <x v="51"/>
    <s v="Réparation"/>
    <x v="182"/>
    <x v="73"/>
    <x v="18"/>
    <m/>
    <n v="5"/>
    <n v="2019"/>
    <x v="0"/>
  </r>
  <r>
    <x v="70"/>
    <n v="581"/>
    <x v="0"/>
    <x v="10"/>
    <m/>
    <m/>
    <x v="9"/>
    <x v="61"/>
    <s v="Réparation"/>
    <x v="183"/>
    <x v="73"/>
    <x v="18"/>
    <m/>
    <n v="5"/>
    <n v="2019"/>
    <x v="0"/>
  </r>
  <r>
    <x v="71"/>
    <n v="534"/>
    <x v="2"/>
    <x v="27"/>
    <m/>
    <m/>
    <x v="73"/>
    <x v="62"/>
    <s v="Réparation"/>
    <x v="184"/>
    <x v="74"/>
    <x v="18"/>
    <m/>
    <n v="5"/>
    <n v="2019"/>
    <x v="0"/>
  </r>
  <r>
    <x v="71"/>
    <n v="700"/>
    <x v="1"/>
    <x v="3"/>
    <m/>
    <m/>
    <x v="55"/>
    <x v="57"/>
    <s v="Réparation"/>
    <x v="185"/>
    <x v="74"/>
    <x v="18"/>
    <m/>
    <n v="5"/>
    <n v="2019"/>
    <x v="0"/>
  </r>
  <r>
    <x v="71"/>
    <n v="700"/>
    <x v="1"/>
    <x v="3"/>
    <m/>
    <m/>
    <x v="55"/>
    <x v="63"/>
    <s v="Réglage"/>
    <x v="186"/>
    <x v="74"/>
    <x v="18"/>
    <m/>
    <n v="5"/>
    <n v="2019"/>
    <x v="0"/>
  </r>
  <r>
    <x v="71"/>
    <n v="700"/>
    <x v="1"/>
    <x v="3"/>
    <m/>
    <m/>
    <x v="37"/>
    <x v="64"/>
    <s v="Réglage"/>
    <x v="126"/>
    <x v="74"/>
    <x v="18"/>
    <m/>
    <n v="5"/>
    <n v="2019"/>
    <x v="0"/>
  </r>
  <r>
    <x v="71"/>
    <n v="565"/>
    <x v="0"/>
    <x v="4"/>
    <m/>
    <m/>
    <x v="16"/>
    <x v="65"/>
    <s v="Réparation"/>
    <x v="187"/>
    <x v="74"/>
    <x v="18"/>
    <m/>
    <n v="5"/>
    <n v="2019"/>
    <x v="0"/>
  </r>
  <r>
    <x v="71"/>
    <n v="568"/>
    <x v="4"/>
    <x v="14"/>
    <m/>
    <m/>
    <x v="10"/>
    <x v="66"/>
    <s v="Réparation"/>
    <x v="55"/>
    <x v="74"/>
    <x v="18"/>
    <m/>
    <n v="5"/>
    <n v="2019"/>
    <x v="0"/>
  </r>
  <r>
    <x v="72"/>
    <n v="800"/>
    <x v="1"/>
    <x v="2"/>
    <m/>
    <m/>
    <x v="37"/>
    <x v="64"/>
    <s v="Réglage"/>
    <x v="126"/>
    <x v="69"/>
    <x v="18"/>
    <m/>
    <n v="5"/>
    <n v="2019"/>
    <x v="0"/>
  </r>
  <r>
    <x v="72"/>
    <n v="800"/>
    <x v="1"/>
    <x v="2"/>
    <m/>
    <m/>
    <x v="69"/>
    <x v="67"/>
    <s v="Réglage"/>
    <x v="85"/>
    <x v="69"/>
    <x v="18"/>
    <m/>
    <n v="5"/>
    <n v="2019"/>
    <x v="0"/>
  </r>
  <r>
    <x v="72"/>
    <n v="700"/>
    <x v="1"/>
    <x v="3"/>
    <m/>
    <m/>
    <x v="74"/>
    <x v="68"/>
    <s v="Préparation"/>
    <x v="188"/>
    <x v="69"/>
    <x v="18"/>
    <m/>
    <n v="5"/>
    <n v="2019"/>
    <x v="0"/>
  </r>
  <r>
    <x v="72"/>
    <n v="560"/>
    <x v="0"/>
    <x v="0"/>
    <m/>
    <m/>
    <x v="22"/>
    <x v="69"/>
    <s v="Réparation"/>
    <x v="189"/>
    <x v="69"/>
    <x v="66"/>
    <n v="2"/>
    <n v="5"/>
    <n v="2019"/>
    <x v="0"/>
  </r>
  <r>
    <x v="73"/>
    <n v="800"/>
    <x v="1"/>
    <x v="2"/>
    <m/>
    <m/>
    <x v="70"/>
    <x v="70"/>
    <s v="Changement"/>
    <x v="190"/>
    <x v="75"/>
    <x v="18"/>
    <m/>
    <n v="6"/>
    <n v="2019"/>
    <x v="0"/>
  </r>
  <r>
    <x v="73"/>
    <n v="700"/>
    <x v="1"/>
    <x v="3"/>
    <m/>
    <m/>
    <x v="69"/>
    <x v="71"/>
    <s v="Réglage"/>
    <x v="191"/>
    <x v="75"/>
    <x v="18"/>
    <m/>
    <n v="6"/>
    <n v="2019"/>
    <x v="0"/>
  </r>
  <r>
    <x v="74"/>
    <n v="800"/>
    <x v="1"/>
    <x v="2"/>
    <m/>
    <m/>
    <x v="37"/>
    <x v="72"/>
    <s v="Réparation"/>
    <x v="192"/>
    <x v="76"/>
    <x v="18"/>
    <m/>
    <n v="6"/>
    <n v="2019"/>
    <x v="0"/>
  </r>
  <r>
    <x v="74"/>
    <n v="700"/>
    <x v="1"/>
    <x v="3"/>
    <m/>
    <m/>
    <x v="8"/>
    <x v="73"/>
    <s v="Réparation"/>
    <x v="193"/>
    <x v="76"/>
    <x v="18"/>
    <m/>
    <n v="6"/>
    <n v="2019"/>
    <x v="0"/>
  </r>
  <r>
    <x v="74"/>
    <n v="583"/>
    <x v="4"/>
    <x v="21"/>
    <m/>
    <m/>
    <x v="6"/>
    <x v="74"/>
    <s v="Réparation"/>
    <x v="194"/>
    <x v="76"/>
    <x v="67"/>
    <m/>
    <n v="6"/>
    <n v="2019"/>
    <x v="0"/>
  </r>
  <r>
    <x v="75"/>
    <n v="700"/>
    <x v="1"/>
    <x v="3"/>
    <m/>
    <m/>
    <x v="54"/>
    <x v="75"/>
    <s v="Réparation"/>
    <x v="195"/>
    <x v="77"/>
    <x v="68"/>
    <m/>
    <n v="6"/>
    <n v="2019"/>
    <x v="0"/>
  </r>
  <r>
    <x v="75"/>
    <n v="700"/>
    <x v="1"/>
    <x v="3"/>
    <m/>
    <m/>
    <x v="28"/>
    <x v="76"/>
    <s v="Réparation"/>
    <x v="196"/>
    <x v="77"/>
    <x v="18"/>
    <m/>
    <n v="6"/>
    <n v="2019"/>
    <x v="0"/>
  </r>
  <r>
    <x v="76"/>
    <n v="590"/>
    <x v="0"/>
    <x v="20"/>
    <m/>
    <m/>
    <x v="32"/>
    <x v="66"/>
    <s v="Réparation"/>
    <x v="197"/>
    <x v="42"/>
    <x v="18"/>
    <m/>
    <n v="6"/>
    <n v="2019"/>
    <x v="0"/>
  </r>
  <r>
    <x v="77"/>
    <n v="580"/>
    <x v="0"/>
    <x v="11"/>
    <m/>
    <m/>
    <x v="75"/>
    <x v="77"/>
    <s v="Réparation"/>
    <x v="198"/>
    <x v="78"/>
    <x v="18"/>
    <m/>
    <n v="6"/>
    <n v="2019"/>
    <x v="0"/>
  </r>
  <r>
    <x v="78"/>
    <n v="800"/>
    <x v="1"/>
    <x v="2"/>
    <m/>
    <m/>
    <x v="49"/>
    <x v="78"/>
    <s v="Réparation"/>
    <x v="199"/>
    <x v="79"/>
    <x v="18"/>
    <m/>
    <n v="6"/>
    <n v="2019"/>
    <x v="0"/>
  </r>
  <r>
    <x v="78"/>
    <n v="700"/>
    <x v="1"/>
    <x v="3"/>
    <m/>
    <m/>
    <x v="2"/>
    <x v="79"/>
    <s v="Changement"/>
    <x v="200"/>
    <x v="79"/>
    <x v="18"/>
    <m/>
    <n v="6"/>
    <n v="2019"/>
    <x v="0"/>
  </r>
  <r>
    <x v="79"/>
    <n v="590"/>
    <x v="0"/>
    <x v="20"/>
    <m/>
    <m/>
    <x v="21"/>
    <x v="31"/>
    <s v="Réparation"/>
    <x v="201"/>
    <x v="80"/>
    <x v="18"/>
    <m/>
    <n v="6"/>
    <n v="2019"/>
    <x v="0"/>
  </r>
  <r>
    <x v="79"/>
    <n v="560"/>
    <x v="0"/>
    <x v="0"/>
    <m/>
    <m/>
    <x v="22"/>
    <x v="3"/>
    <s v="Réparation"/>
    <x v="105"/>
    <x v="80"/>
    <x v="18"/>
    <m/>
    <n v="6"/>
    <n v="2019"/>
    <x v="0"/>
  </r>
  <r>
    <x v="79"/>
    <n v="590"/>
    <x v="0"/>
    <x v="20"/>
    <m/>
    <m/>
    <x v="40"/>
    <x v="35"/>
    <s v="Réparation"/>
    <x v="167"/>
    <x v="80"/>
    <x v="18"/>
    <m/>
    <n v="6"/>
    <n v="2019"/>
    <x v="0"/>
  </r>
  <r>
    <x v="79"/>
    <n v="581"/>
    <x v="0"/>
    <x v="10"/>
    <m/>
    <m/>
    <x v="15"/>
    <x v="80"/>
    <s v="Réparation"/>
    <x v="202"/>
    <x v="81"/>
    <x v="69"/>
    <s v="=SI(ESTVIDE([@[Date"/>
    <n v="2"/>
    <n v="2020"/>
    <x v="0"/>
  </r>
  <r>
    <x v="79"/>
    <n v="565"/>
    <x v="0"/>
    <x v="4"/>
    <m/>
    <m/>
    <x v="22"/>
    <x v="81"/>
    <s v="Réparation"/>
    <x v="203"/>
    <x v="80"/>
    <x v="70"/>
    <m/>
    <n v="6"/>
    <n v="2019"/>
    <x v="0"/>
  </r>
  <r>
    <x v="80"/>
    <n v="590"/>
    <x v="0"/>
    <x v="20"/>
    <m/>
    <m/>
    <x v="40"/>
    <x v="36"/>
    <s v="Réparation"/>
    <x v="159"/>
    <x v="82"/>
    <x v="18"/>
    <m/>
    <n v="6"/>
    <n v="2019"/>
    <x v="0"/>
  </r>
  <r>
    <x v="80"/>
    <n v="604"/>
    <x v="0"/>
    <x v="22"/>
    <m/>
    <m/>
    <x v="76"/>
    <x v="82"/>
    <s v="Réparation"/>
    <x v="204"/>
    <x v="83"/>
    <x v="71"/>
    <s v="=SI(ESTVIDE([@[Date"/>
    <n v="6"/>
    <n v="2019"/>
    <x v="0"/>
  </r>
  <r>
    <x v="80"/>
    <n v="800"/>
    <x v="1"/>
    <x v="2"/>
    <m/>
    <m/>
    <x v="55"/>
    <x v="83"/>
    <s v="Changement"/>
    <x v="205"/>
    <x v="82"/>
    <x v="72"/>
    <m/>
    <n v="6"/>
    <n v="2019"/>
    <x v="0"/>
  </r>
  <r>
    <x v="81"/>
    <n v="800"/>
    <x v="1"/>
    <x v="2"/>
    <m/>
    <m/>
    <x v="8"/>
    <x v="84"/>
    <s v="Changement"/>
    <x v="206"/>
    <x v="84"/>
    <x v="18"/>
    <m/>
    <n v="6"/>
    <n v="2019"/>
    <x v="0"/>
  </r>
  <r>
    <x v="82"/>
    <n v="560"/>
    <x v="0"/>
    <x v="0"/>
    <m/>
    <m/>
    <x v="77"/>
    <x v="85"/>
    <s v="Réparation"/>
    <x v="207"/>
    <x v="85"/>
    <x v="18"/>
    <m/>
    <n v="6"/>
    <n v="2019"/>
    <x v="0"/>
  </r>
  <r>
    <x v="83"/>
    <n v="560"/>
    <x v="0"/>
    <x v="0"/>
    <m/>
    <m/>
    <x v="22"/>
    <x v="6"/>
    <s v="Réparation"/>
    <x v="116"/>
    <x v="53"/>
    <x v="18"/>
    <m/>
    <n v="6"/>
    <n v="2019"/>
    <x v="0"/>
  </r>
  <r>
    <x v="83"/>
    <n v="610"/>
    <x v="0"/>
    <x v="28"/>
    <m/>
    <m/>
    <x v="78"/>
    <x v="86"/>
    <s v="Réparation"/>
    <x v="208"/>
    <x v="86"/>
    <x v="18"/>
    <s v="=SI(ESTVIDE([@[Date"/>
    <n v="6"/>
    <n v="2019"/>
    <x v="0"/>
  </r>
  <r>
    <x v="83"/>
    <n v="700"/>
    <x v="1"/>
    <x v="3"/>
    <m/>
    <m/>
    <x v="27"/>
    <x v="87"/>
    <s v="Réparation"/>
    <x v="209"/>
    <x v="53"/>
    <x v="18"/>
    <m/>
    <n v="6"/>
    <n v="2019"/>
    <x v="0"/>
  </r>
  <r>
    <x v="83"/>
    <n v="800"/>
    <x v="1"/>
    <x v="2"/>
    <m/>
    <m/>
    <x v="24"/>
    <x v="88"/>
    <s v="Réparation"/>
    <x v="210"/>
    <x v="53"/>
    <x v="18"/>
    <m/>
    <n v="6"/>
    <n v="2019"/>
    <x v="0"/>
  </r>
  <r>
    <x v="83"/>
    <n v="700"/>
    <x v="1"/>
    <x v="3"/>
    <m/>
    <m/>
    <x v="79"/>
    <x v="89"/>
    <s v="Réparation"/>
    <x v="211"/>
    <x v="53"/>
    <x v="18"/>
    <m/>
    <n v="6"/>
    <n v="2019"/>
    <x v="0"/>
  </r>
  <r>
    <x v="83"/>
    <n v="582"/>
    <x v="0"/>
    <x v="1"/>
    <m/>
    <m/>
    <x v="80"/>
    <x v="90"/>
    <s v="Montage"/>
    <x v="212"/>
    <x v="53"/>
    <x v="18"/>
    <m/>
    <n v="6"/>
    <n v="2019"/>
    <x v="0"/>
  </r>
  <r>
    <x v="84"/>
    <n v="800"/>
    <x v="1"/>
    <x v="2"/>
    <m/>
    <m/>
    <x v="70"/>
    <x v="91"/>
    <s v="Réparation"/>
    <x v="213"/>
    <x v="87"/>
    <x v="18"/>
    <m/>
    <n v="6"/>
    <n v="2019"/>
    <x v="0"/>
  </r>
  <r>
    <x v="84"/>
    <n v="800"/>
    <x v="1"/>
    <x v="2"/>
    <m/>
    <m/>
    <x v="13"/>
    <x v="92"/>
    <s v="Réparation"/>
    <x v="214"/>
    <x v="87"/>
    <x v="18"/>
    <m/>
    <n v="6"/>
    <n v="2019"/>
    <x v="0"/>
  </r>
  <r>
    <x v="85"/>
    <n v="700"/>
    <x v="1"/>
    <x v="3"/>
    <m/>
    <m/>
    <x v="48"/>
    <x v="93"/>
    <s v="Réparation"/>
    <x v="11"/>
    <x v="86"/>
    <x v="18"/>
    <m/>
    <n v="6"/>
    <n v="2019"/>
    <x v="0"/>
  </r>
  <r>
    <x v="85"/>
    <n v="560"/>
    <x v="0"/>
    <x v="0"/>
    <m/>
    <m/>
    <x v="22"/>
    <x v="94"/>
    <s v="Réparation"/>
    <x v="215"/>
    <x v="86"/>
    <x v="18"/>
    <m/>
    <n v="6"/>
    <n v="2019"/>
    <x v="0"/>
  </r>
  <r>
    <x v="86"/>
    <n v="800"/>
    <x v="1"/>
    <x v="2"/>
    <m/>
    <m/>
    <x v="24"/>
    <x v="95"/>
    <s v="Réparation"/>
    <x v="216"/>
    <x v="88"/>
    <x v="18"/>
    <m/>
    <n v="6"/>
    <n v="2019"/>
    <x v="0"/>
  </r>
  <r>
    <x v="86"/>
    <n v="560"/>
    <x v="0"/>
    <x v="0"/>
    <m/>
    <m/>
    <x v="22"/>
    <x v="6"/>
    <s v="Réparation"/>
    <x v="116"/>
    <x v="88"/>
    <x v="18"/>
    <m/>
    <n v="6"/>
    <n v="2019"/>
    <x v="0"/>
  </r>
  <r>
    <x v="87"/>
    <n v="590"/>
    <x v="0"/>
    <x v="20"/>
    <m/>
    <m/>
    <x v="9"/>
    <x v="61"/>
    <s v="Réparation"/>
    <x v="217"/>
    <x v="89"/>
    <x v="18"/>
    <m/>
    <n v="6"/>
    <n v="2019"/>
    <x v="0"/>
  </r>
  <r>
    <x v="87"/>
    <n v="582"/>
    <x v="0"/>
    <x v="1"/>
    <m/>
    <m/>
    <x v="34"/>
    <x v="96"/>
    <s v="Réparation"/>
    <x v="218"/>
    <x v="89"/>
    <x v="18"/>
    <m/>
    <n v="6"/>
    <n v="2019"/>
    <x v="0"/>
  </r>
  <r>
    <x v="87"/>
    <n v="560"/>
    <x v="0"/>
    <x v="0"/>
    <m/>
    <m/>
    <x v="30"/>
    <x v="97"/>
    <s v="Réparation"/>
    <x v="219"/>
    <x v="89"/>
    <x v="18"/>
    <m/>
    <n v="6"/>
    <n v="2019"/>
    <x v="0"/>
  </r>
  <r>
    <x v="88"/>
    <n v="700"/>
    <x v="1"/>
    <x v="3"/>
    <m/>
    <m/>
    <x v="49"/>
    <x v="98"/>
    <s v="Réparation"/>
    <x v="220"/>
    <x v="90"/>
    <x v="18"/>
    <m/>
    <n v="6"/>
    <n v="2019"/>
    <x v="0"/>
  </r>
  <r>
    <x v="88"/>
    <n v="800"/>
    <x v="1"/>
    <x v="2"/>
    <m/>
    <m/>
    <x v="70"/>
    <x v="66"/>
    <s v="Réparation"/>
    <x v="221"/>
    <x v="90"/>
    <x v="18"/>
    <m/>
    <n v="6"/>
    <n v="2019"/>
    <x v="0"/>
  </r>
  <r>
    <x v="89"/>
    <n v="590"/>
    <x v="0"/>
    <x v="20"/>
    <m/>
    <m/>
    <x v="21"/>
    <x v="35"/>
    <s v="Réparation"/>
    <x v="167"/>
    <x v="91"/>
    <x v="18"/>
    <m/>
    <n v="6"/>
    <n v="2019"/>
    <x v="0"/>
  </r>
  <r>
    <x v="89"/>
    <n v="607"/>
    <x v="0"/>
    <x v="12"/>
    <m/>
    <m/>
    <x v="76"/>
    <x v="99"/>
    <s v="Réparation"/>
    <x v="206"/>
    <x v="92"/>
    <x v="18"/>
    <s v="=SI(ESTVIDE([@[Date"/>
    <n v="6"/>
    <n v="2019"/>
    <x v="0"/>
  </r>
  <r>
    <x v="90"/>
    <n v="570"/>
    <x v="0"/>
    <x v="16"/>
    <m/>
    <m/>
    <x v="81"/>
    <x v="100"/>
    <s v="Réparation"/>
    <x v="222"/>
    <x v="92"/>
    <x v="18"/>
    <m/>
    <n v="6"/>
    <n v="2019"/>
    <x v="0"/>
  </r>
  <r>
    <x v="91"/>
    <n v="700"/>
    <x v="1"/>
    <x v="3"/>
    <m/>
    <m/>
    <x v="69"/>
    <x v="93"/>
    <s v="Réparation"/>
    <x v="223"/>
    <x v="83"/>
    <x v="18"/>
    <m/>
    <n v="6"/>
    <n v="2019"/>
    <x v="0"/>
  </r>
  <r>
    <x v="91"/>
    <n v="582"/>
    <x v="0"/>
    <x v="1"/>
    <m/>
    <m/>
    <x v="82"/>
    <x v="101"/>
    <s v="Réglage"/>
    <x v="224"/>
    <x v="83"/>
    <x v="18"/>
    <m/>
    <n v="6"/>
    <n v="2019"/>
    <x v="0"/>
  </r>
  <r>
    <x v="91"/>
    <n v="800"/>
    <x v="1"/>
    <x v="2"/>
    <m/>
    <m/>
    <x v="55"/>
    <x v="39"/>
    <s v="Changement"/>
    <x v="225"/>
    <x v="83"/>
    <x v="18"/>
    <m/>
    <n v="6"/>
    <n v="2019"/>
    <x v="0"/>
  </r>
  <r>
    <x v="92"/>
    <n v="560"/>
    <x v="0"/>
    <x v="0"/>
    <m/>
    <m/>
    <x v="22"/>
    <x v="6"/>
    <s v="Réparation"/>
    <x v="116"/>
    <x v="93"/>
    <x v="18"/>
    <m/>
    <n v="6"/>
    <n v="2019"/>
    <x v="0"/>
  </r>
  <r>
    <x v="93"/>
    <n v="700"/>
    <x v="1"/>
    <x v="3"/>
    <m/>
    <m/>
    <x v="69"/>
    <x v="102"/>
    <s v="Réparation"/>
    <x v="226"/>
    <x v="94"/>
    <x v="18"/>
    <m/>
    <n v="7"/>
    <n v="2019"/>
    <x v="0"/>
  </r>
  <r>
    <x v="93"/>
    <n v="800"/>
    <x v="1"/>
    <x v="2"/>
    <m/>
    <m/>
    <x v="55"/>
    <x v="103"/>
    <s v="Réparation"/>
    <x v="227"/>
    <x v="94"/>
    <x v="18"/>
    <m/>
    <n v="7"/>
    <n v="2019"/>
    <x v="0"/>
  </r>
  <r>
    <x v="93"/>
    <n v="565"/>
    <x v="0"/>
    <x v="4"/>
    <m/>
    <m/>
    <x v="20"/>
    <x v="104"/>
    <s v="Réparation"/>
    <x v="228"/>
    <x v="94"/>
    <x v="18"/>
    <m/>
    <n v="7"/>
    <n v="2019"/>
    <x v="0"/>
  </r>
  <r>
    <x v="93"/>
    <n v="574"/>
    <x v="4"/>
    <x v="29"/>
    <m/>
    <m/>
    <x v="10"/>
    <x v="105"/>
    <s v="Réparation"/>
    <x v="229"/>
    <x v="94"/>
    <x v="18"/>
    <m/>
    <n v="7"/>
    <n v="2019"/>
    <x v="0"/>
  </r>
  <r>
    <x v="94"/>
    <n v="700"/>
    <x v="1"/>
    <x v="3"/>
    <m/>
    <m/>
    <x v="70"/>
    <x v="106"/>
    <s v="Réparation"/>
    <x v="230"/>
    <x v="95"/>
    <x v="18"/>
    <m/>
    <n v="7"/>
    <n v="2019"/>
    <x v="0"/>
  </r>
  <r>
    <x v="94"/>
    <n v="700"/>
    <x v="1"/>
    <x v="3"/>
    <m/>
    <m/>
    <x v="51"/>
    <x v="107"/>
    <s v="Réparation"/>
    <x v="231"/>
    <x v="95"/>
    <x v="18"/>
    <m/>
    <n v="7"/>
    <n v="2019"/>
    <x v="0"/>
  </r>
  <r>
    <x v="95"/>
    <n v="570"/>
    <x v="0"/>
    <x v="16"/>
    <m/>
    <m/>
    <x v="0"/>
    <x v="108"/>
    <s v="Réparation"/>
    <x v="232"/>
    <x v="96"/>
    <x v="18"/>
    <s v="=SI(ESTVIDE([@[Date"/>
    <n v="7"/>
    <n v="2019"/>
    <x v="0"/>
  </r>
  <r>
    <x v="95"/>
    <n v="560"/>
    <x v="0"/>
    <x v="0"/>
    <m/>
    <m/>
    <x v="22"/>
    <x v="4"/>
    <s v="Réparation"/>
    <x v="109"/>
    <x v="97"/>
    <x v="18"/>
    <m/>
    <n v="7"/>
    <n v="2019"/>
    <x v="0"/>
  </r>
  <r>
    <x v="96"/>
    <n v="560"/>
    <x v="0"/>
    <x v="0"/>
    <m/>
    <m/>
    <x v="22"/>
    <x v="3"/>
    <s v="Réparation"/>
    <x v="105"/>
    <x v="98"/>
    <x v="18"/>
    <m/>
    <n v="7"/>
    <n v="2019"/>
    <x v="0"/>
  </r>
  <r>
    <x v="97"/>
    <n v="700"/>
    <x v="1"/>
    <x v="3"/>
    <m/>
    <m/>
    <x v="49"/>
    <x v="109"/>
    <s v="Réparation"/>
    <x v="58"/>
    <x v="99"/>
    <x v="18"/>
    <m/>
    <n v="7"/>
    <n v="2019"/>
    <x v="0"/>
  </r>
  <r>
    <x v="97"/>
    <n v="590"/>
    <x v="0"/>
    <x v="20"/>
    <m/>
    <m/>
    <x v="83"/>
    <x v="110"/>
    <s v="Changement"/>
    <x v="233"/>
    <x v="99"/>
    <x v="18"/>
    <m/>
    <n v="7"/>
    <n v="2019"/>
    <x v="0"/>
  </r>
  <r>
    <x v="97"/>
    <n v="590"/>
    <x v="0"/>
    <x v="20"/>
    <m/>
    <m/>
    <x v="84"/>
    <x v="35"/>
    <s v="Réparation"/>
    <x v="234"/>
    <x v="99"/>
    <x v="18"/>
    <m/>
    <n v="7"/>
    <n v="2019"/>
    <x v="0"/>
  </r>
  <r>
    <x v="97"/>
    <n v="582"/>
    <x v="0"/>
    <x v="1"/>
    <m/>
    <m/>
    <x v="85"/>
    <x v="111"/>
    <s v="Réparation"/>
    <x v="235"/>
    <x v="99"/>
    <x v="18"/>
    <m/>
    <n v="7"/>
    <n v="2019"/>
    <x v="0"/>
  </r>
  <r>
    <x v="97"/>
    <n v="590"/>
    <x v="0"/>
    <x v="20"/>
    <m/>
    <m/>
    <x v="86"/>
    <x v="10"/>
    <s v="Réparation"/>
    <x v="236"/>
    <x v="99"/>
    <x v="18"/>
    <m/>
    <n v="7"/>
    <n v="2019"/>
    <x v="0"/>
  </r>
  <r>
    <x v="97"/>
    <n v="580"/>
    <x v="0"/>
    <x v="11"/>
    <m/>
    <m/>
    <x v="87"/>
    <x v="112"/>
    <s v="Contrôle"/>
    <x v="237"/>
    <x v="99"/>
    <x v="18"/>
    <m/>
    <n v="7"/>
    <n v="2019"/>
    <x v="0"/>
  </r>
  <r>
    <x v="98"/>
    <n v="700"/>
    <x v="1"/>
    <x v="3"/>
    <m/>
    <m/>
    <x v="70"/>
    <x v="113"/>
    <s v="Changement"/>
    <x v="238"/>
    <x v="100"/>
    <x v="18"/>
    <m/>
    <n v="7"/>
    <n v="2019"/>
    <x v="0"/>
  </r>
  <r>
    <x v="98"/>
    <n v="590"/>
    <x v="0"/>
    <x v="20"/>
    <m/>
    <m/>
    <x v="88"/>
    <x v="114"/>
    <s v="Réparation"/>
    <x v="239"/>
    <x v="100"/>
    <x v="18"/>
    <m/>
    <n v="7"/>
    <n v="2019"/>
    <x v="0"/>
  </r>
  <r>
    <x v="99"/>
    <n v="590"/>
    <x v="0"/>
    <x v="20"/>
    <m/>
    <m/>
    <x v="89"/>
    <x v="35"/>
    <s v="Réparation"/>
    <x v="167"/>
    <x v="101"/>
    <x v="18"/>
    <m/>
    <n v="7"/>
    <n v="2019"/>
    <x v="0"/>
  </r>
  <r>
    <x v="100"/>
    <n v="800"/>
    <x v="1"/>
    <x v="2"/>
    <m/>
    <m/>
    <x v="27"/>
    <x v="115"/>
    <s v="Réparation"/>
    <x v="240"/>
    <x v="102"/>
    <x v="18"/>
    <m/>
    <n v="7"/>
    <n v="2019"/>
    <x v="0"/>
  </r>
  <r>
    <x v="100"/>
    <n v="590"/>
    <x v="0"/>
    <x v="20"/>
    <m/>
    <m/>
    <x v="9"/>
    <x v="116"/>
    <s v="Réparation"/>
    <x v="241"/>
    <x v="102"/>
    <x v="18"/>
    <m/>
    <n v="7"/>
    <n v="2019"/>
    <x v="0"/>
  </r>
  <r>
    <x v="100"/>
    <n v="560"/>
    <x v="0"/>
    <x v="0"/>
    <m/>
    <m/>
    <x v="22"/>
    <x v="6"/>
    <s v="Réparation"/>
    <x v="116"/>
    <x v="102"/>
    <x v="18"/>
    <m/>
    <n v="7"/>
    <n v="2019"/>
    <x v="0"/>
  </r>
  <r>
    <x v="101"/>
    <n v="700"/>
    <x v="1"/>
    <x v="3"/>
    <m/>
    <m/>
    <x v="49"/>
    <x v="117"/>
    <s v="Réparation"/>
    <x v="242"/>
    <x v="103"/>
    <x v="18"/>
    <m/>
    <n v="7"/>
    <n v="2019"/>
    <x v="0"/>
  </r>
  <r>
    <x v="101"/>
    <n v="700"/>
    <x v="1"/>
    <x v="3"/>
    <m/>
    <m/>
    <x v="55"/>
    <x v="20"/>
    <s v="Réglage"/>
    <x v="243"/>
    <x v="103"/>
    <x v="18"/>
    <m/>
    <n v="7"/>
    <n v="2019"/>
    <x v="0"/>
  </r>
  <r>
    <x v="101"/>
    <n v="590"/>
    <x v="0"/>
    <x v="20"/>
    <m/>
    <m/>
    <x v="90"/>
    <x v="31"/>
    <s v="Réparation"/>
    <x v="244"/>
    <x v="103"/>
    <x v="18"/>
    <m/>
    <n v="7"/>
    <n v="2019"/>
    <x v="0"/>
  </r>
  <r>
    <x v="102"/>
    <n v="607"/>
    <x v="0"/>
    <x v="12"/>
    <m/>
    <m/>
    <x v="91"/>
    <x v="118"/>
    <s v="Réparation"/>
    <x v="99"/>
    <x v="104"/>
    <x v="73"/>
    <s v="=SI(ESTVIDE([@[Date"/>
    <n v="7"/>
    <n v="2019"/>
    <x v="0"/>
  </r>
  <r>
    <x v="103"/>
    <n v="800"/>
    <x v="1"/>
    <x v="2"/>
    <m/>
    <m/>
    <x v="69"/>
    <x v="119"/>
    <s v="Réparation"/>
    <x v="245"/>
    <x v="105"/>
    <x v="18"/>
    <m/>
    <n v="7"/>
    <n v="2019"/>
    <x v="0"/>
  </r>
  <r>
    <x v="103"/>
    <n v="605"/>
    <x v="0"/>
    <x v="13"/>
    <m/>
    <m/>
    <x v="17"/>
    <x v="120"/>
    <s v="Réglage"/>
    <x v="246"/>
    <x v="105"/>
    <x v="18"/>
    <m/>
    <n v="7"/>
    <n v="2019"/>
    <x v="0"/>
  </r>
  <r>
    <x v="104"/>
    <n v="700"/>
    <x v="1"/>
    <x v="3"/>
    <m/>
    <m/>
    <x v="55"/>
    <x v="121"/>
    <s v="Réparation"/>
    <x v="125"/>
    <x v="96"/>
    <x v="74"/>
    <s v="=SI(ESTVIDE([@[Date"/>
    <n v="7"/>
    <n v="2019"/>
    <x v="0"/>
  </r>
  <r>
    <x v="104"/>
    <n v="800"/>
    <x v="1"/>
    <x v="2"/>
    <m/>
    <m/>
    <x v="55"/>
    <x v="122"/>
    <s v="Réparation"/>
    <x v="247"/>
    <x v="106"/>
    <x v="18"/>
    <m/>
    <n v="7"/>
    <n v="2019"/>
    <x v="0"/>
  </r>
  <r>
    <x v="105"/>
    <n v="700"/>
    <x v="1"/>
    <x v="3"/>
    <m/>
    <m/>
    <x v="92"/>
    <x v="123"/>
    <s v="Réparation"/>
    <x v="248"/>
    <x v="96"/>
    <x v="18"/>
    <m/>
    <n v="7"/>
    <n v="2019"/>
    <x v="0"/>
  </r>
  <r>
    <x v="105"/>
    <n v="700"/>
    <x v="1"/>
    <x v="3"/>
    <m/>
    <m/>
    <x v="55"/>
    <x v="124"/>
    <s v="Réparation"/>
    <x v="249"/>
    <x v="96"/>
    <x v="18"/>
    <m/>
    <n v="7"/>
    <n v="2019"/>
    <x v="0"/>
  </r>
  <r>
    <x v="105"/>
    <n v="920"/>
    <x v="3"/>
    <x v="30"/>
    <m/>
    <m/>
    <x v="12"/>
    <x v="0"/>
    <s v="Rénovation"/>
    <x v="250"/>
    <x v="107"/>
    <x v="75"/>
    <s v="=SI(ESTVIDE([@[Date"/>
    <n v="9"/>
    <n v="2019"/>
    <x v="0"/>
  </r>
  <r>
    <x v="105"/>
    <n v="560"/>
    <x v="0"/>
    <x v="0"/>
    <m/>
    <m/>
    <x v="22"/>
    <x v="5"/>
    <s v="Réparation"/>
    <x v="113"/>
    <x v="96"/>
    <x v="18"/>
    <m/>
    <n v="7"/>
    <n v="2019"/>
    <x v="0"/>
  </r>
  <r>
    <x v="106"/>
    <n v="800"/>
    <x v="1"/>
    <x v="2"/>
    <m/>
    <m/>
    <x v="69"/>
    <x v="47"/>
    <s v="Réparation"/>
    <x v="251"/>
    <x v="108"/>
    <x v="18"/>
    <m/>
    <n v="7"/>
    <n v="2019"/>
    <x v="0"/>
  </r>
  <r>
    <x v="107"/>
    <n v="590"/>
    <x v="0"/>
    <x v="20"/>
    <m/>
    <m/>
    <x v="93"/>
    <x v="31"/>
    <s v="Réparation"/>
    <x v="252"/>
    <x v="109"/>
    <x v="18"/>
    <n v="40"/>
    <n v="7"/>
    <n v="2019"/>
    <x v="0"/>
  </r>
  <r>
    <x v="107"/>
    <n v="590"/>
    <x v="0"/>
    <x v="20"/>
    <m/>
    <m/>
    <x v="94"/>
    <x v="125"/>
    <s v="Réparation"/>
    <x v="253"/>
    <x v="109"/>
    <x v="18"/>
    <m/>
    <n v="7"/>
    <n v="2019"/>
    <x v="0"/>
  </r>
  <r>
    <x v="108"/>
    <n v="583"/>
    <x v="4"/>
    <x v="21"/>
    <m/>
    <m/>
    <x v="95"/>
    <x v="54"/>
    <s v="Réparation"/>
    <x v="254"/>
    <x v="110"/>
    <x v="18"/>
    <n v="2"/>
    <n v="7"/>
    <n v="2019"/>
    <x v="0"/>
  </r>
  <r>
    <x v="108"/>
    <n v="590"/>
    <x v="0"/>
    <x v="20"/>
    <m/>
    <m/>
    <x v="9"/>
    <x v="126"/>
    <s v="Réparation"/>
    <x v="255"/>
    <x v="110"/>
    <x v="18"/>
    <m/>
    <n v="7"/>
    <n v="2019"/>
    <x v="0"/>
  </r>
  <r>
    <x v="109"/>
    <n v="800"/>
    <x v="1"/>
    <x v="2"/>
    <m/>
    <m/>
    <x v="37"/>
    <x v="127"/>
    <s v="Réparation"/>
    <x v="256"/>
    <x v="111"/>
    <x v="18"/>
    <n v="1"/>
    <n v="7"/>
    <n v="2019"/>
    <x v="0"/>
  </r>
  <r>
    <x v="109"/>
    <n v="800"/>
    <x v="1"/>
    <x v="2"/>
    <m/>
    <m/>
    <x v="24"/>
    <x v="128"/>
    <s v="Réparation"/>
    <x v="257"/>
    <x v="111"/>
    <x v="18"/>
    <n v="30"/>
    <n v="7"/>
    <n v="2019"/>
    <x v="0"/>
  </r>
  <r>
    <x v="109"/>
    <n v="700"/>
    <x v="1"/>
    <x v="3"/>
    <m/>
    <m/>
    <x v="58"/>
    <x v="86"/>
    <s v="Réparation"/>
    <x v="258"/>
    <x v="111"/>
    <x v="76"/>
    <m/>
    <n v="7"/>
    <n v="2019"/>
    <x v="0"/>
  </r>
  <r>
    <x v="110"/>
    <n v="800"/>
    <x v="1"/>
    <x v="2"/>
    <m/>
    <m/>
    <x v="69"/>
    <x v="129"/>
    <s v="Réparation"/>
    <x v="259"/>
    <x v="112"/>
    <x v="18"/>
    <n v="1"/>
    <n v="7"/>
    <n v="2019"/>
    <x v="0"/>
  </r>
  <r>
    <x v="111"/>
    <n v="700"/>
    <x v="1"/>
    <x v="3"/>
    <m/>
    <m/>
    <x v="46"/>
    <x v="130"/>
    <s v="Réparation"/>
    <x v="260"/>
    <x v="113"/>
    <x v="18"/>
    <m/>
    <n v="7"/>
    <n v="2019"/>
    <x v="0"/>
  </r>
  <r>
    <x v="111"/>
    <n v="590"/>
    <x v="0"/>
    <x v="20"/>
    <m/>
    <m/>
    <x v="21"/>
    <x v="31"/>
    <s v="Réparation"/>
    <x v="261"/>
    <x v="113"/>
    <x v="18"/>
    <n v="2"/>
    <n v="7"/>
    <n v="2019"/>
    <x v="0"/>
  </r>
  <r>
    <x v="112"/>
    <n v="584"/>
    <x v="4"/>
    <x v="24"/>
    <m/>
    <m/>
    <x v="10"/>
    <x v="66"/>
    <s v="Réparation"/>
    <x v="262"/>
    <x v="114"/>
    <x v="18"/>
    <m/>
    <n v="7"/>
    <n v="2019"/>
    <x v="0"/>
  </r>
  <r>
    <x v="112"/>
    <n v="590"/>
    <x v="0"/>
    <x v="20"/>
    <m/>
    <m/>
    <x v="96"/>
    <x v="131"/>
    <s v="Changement"/>
    <x v="263"/>
    <x v="114"/>
    <x v="18"/>
    <n v="2"/>
    <n v="7"/>
    <n v="2019"/>
    <x v="0"/>
  </r>
  <r>
    <x v="112"/>
    <n v="606"/>
    <x v="0"/>
    <x v="17"/>
    <m/>
    <m/>
    <x v="97"/>
    <x v="132"/>
    <s v="Réparation"/>
    <x v="264"/>
    <x v="104"/>
    <x v="18"/>
    <s v="4j"/>
    <n v="7"/>
    <n v="2019"/>
    <x v="0"/>
  </r>
  <r>
    <x v="112"/>
    <n v="565"/>
    <x v="0"/>
    <x v="4"/>
    <m/>
    <m/>
    <x v="0"/>
    <x v="133"/>
    <s v="Réparation"/>
    <x v="265"/>
    <x v="114"/>
    <x v="18"/>
    <n v="30"/>
    <n v="7"/>
    <n v="2019"/>
    <x v="0"/>
  </r>
  <r>
    <x v="112"/>
    <n v="700"/>
    <x v="1"/>
    <x v="3"/>
    <m/>
    <m/>
    <x v="98"/>
    <x v="134"/>
    <s v="Réparation"/>
    <x v="99"/>
    <x v="115"/>
    <x v="77"/>
    <m/>
    <n v="7"/>
    <n v="2019"/>
    <x v="0"/>
  </r>
  <r>
    <x v="113"/>
    <n v="700"/>
    <x v="1"/>
    <x v="3"/>
    <m/>
    <m/>
    <x v="8"/>
    <x v="135"/>
    <s v="Réglage"/>
    <x v="10"/>
    <x v="116"/>
    <x v="18"/>
    <n v="30"/>
    <n v="7"/>
    <n v="2019"/>
    <x v="0"/>
  </r>
  <r>
    <x v="113"/>
    <n v="700"/>
    <x v="1"/>
    <x v="3"/>
    <m/>
    <m/>
    <x v="99"/>
    <x v="136"/>
    <s v="Réparation"/>
    <x v="266"/>
    <x v="116"/>
    <x v="18"/>
    <n v="45"/>
    <n v="7"/>
    <n v="2019"/>
    <x v="0"/>
  </r>
  <r>
    <x v="113"/>
    <n v="560"/>
    <x v="0"/>
    <x v="0"/>
    <m/>
    <m/>
    <x v="11"/>
    <x v="137"/>
    <s v="Réparation"/>
    <x v="267"/>
    <x v="116"/>
    <x v="18"/>
    <n v="40"/>
    <n v="7"/>
    <n v="2019"/>
    <x v="0"/>
  </r>
  <r>
    <x v="113"/>
    <n v="582"/>
    <x v="0"/>
    <x v="1"/>
    <m/>
    <m/>
    <x v="100"/>
    <x v="138"/>
    <s v="Réglage"/>
    <x v="268"/>
    <x v="116"/>
    <x v="18"/>
    <m/>
    <n v="7"/>
    <n v="2019"/>
    <x v="0"/>
  </r>
  <r>
    <x v="114"/>
    <n v="800"/>
    <x v="1"/>
    <x v="2"/>
    <m/>
    <m/>
    <x v="101"/>
    <x v="139"/>
    <s v="Réparation"/>
    <x v="269"/>
    <x v="115"/>
    <x v="18"/>
    <n v="30"/>
    <n v="7"/>
    <n v="2019"/>
    <x v="0"/>
  </r>
  <r>
    <x v="114"/>
    <n v="800"/>
    <x v="1"/>
    <x v="2"/>
    <m/>
    <m/>
    <x v="49"/>
    <x v="138"/>
    <s v="Réparation"/>
    <x v="270"/>
    <x v="115"/>
    <x v="18"/>
    <n v="30"/>
    <n v="7"/>
    <n v="2019"/>
    <x v="0"/>
  </r>
  <r>
    <x v="115"/>
    <n v="580"/>
    <x v="0"/>
    <x v="11"/>
    <m/>
    <m/>
    <x v="102"/>
    <x v="140"/>
    <s v="Réparation"/>
    <x v="271"/>
    <x v="104"/>
    <x v="18"/>
    <m/>
    <n v="7"/>
    <n v="2019"/>
    <x v="0"/>
  </r>
  <r>
    <x v="115"/>
    <n v="582"/>
    <x v="0"/>
    <x v="1"/>
    <m/>
    <m/>
    <x v="103"/>
    <x v="141"/>
    <s v="Réparation"/>
    <x v="272"/>
    <x v="117"/>
    <x v="18"/>
    <m/>
    <n v="8"/>
    <n v="2019"/>
    <x v="0"/>
  </r>
  <r>
    <x v="115"/>
    <n v="700"/>
    <x v="1"/>
    <x v="3"/>
    <m/>
    <m/>
    <x v="9"/>
    <x v="142"/>
    <s v="Réparation"/>
    <x v="273"/>
    <x v="117"/>
    <x v="18"/>
    <n v="30"/>
    <n v="8"/>
    <n v="2019"/>
    <x v="0"/>
  </r>
  <r>
    <x v="116"/>
    <n v="565"/>
    <x v="0"/>
    <x v="4"/>
    <m/>
    <m/>
    <x v="20"/>
    <x v="143"/>
    <s v="Réglage"/>
    <x v="274"/>
    <x v="118"/>
    <x v="18"/>
    <m/>
    <n v="7"/>
    <n v="2019"/>
    <x v="0"/>
  </r>
  <r>
    <x v="117"/>
    <n v="700"/>
    <x v="1"/>
    <x v="3"/>
    <m/>
    <m/>
    <x v="104"/>
    <x v="144"/>
    <s v="Réparation"/>
    <x v="275"/>
    <x v="119"/>
    <x v="18"/>
    <n v="1"/>
    <n v="7"/>
    <n v="2019"/>
    <x v="0"/>
  </r>
  <r>
    <x v="117"/>
    <n v="607"/>
    <x v="0"/>
    <x v="12"/>
    <m/>
    <m/>
    <x v="105"/>
    <x v="122"/>
    <s v="Réparation"/>
    <x v="276"/>
    <x v="119"/>
    <x v="18"/>
    <n v="30"/>
    <n v="7"/>
    <n v="2019"/>
    <x v="0"/>
  </r>
  <r>
    <x v="117"/>
    <n v="582"/>
    <x v="0"/>
    <x v="1"/>
    <m/>
    <m/>
    <x v="88"/>
    <x v="141"/>
    <s v="Réparation"/>
    <x v="277"/>
    <x v="119"/>
    <x v="18"/>
    <m/>
    <n v="7"/>
    <n v="2019"/>
    <x v="0"/>
  </r>
  <r>
    <x v="118"/>
    <n v="580"/>
    <x v="0"/>
    <x v="11"/>
    <m/>
    <m/>
    <x v="87"/>
    <x v="145"/>
    <s v="Réparation"/>
    <x v="278"/>
    <x v="120"/>
    <x v="18"/>
    <n v="7"/>
    <n v="7"/>
    <n v="2019"/>
    <x v="0"/>
  </r>
  <r>
    <x v="119"/>
    <n v="700"/>
    <x v="1"/>
    <x v="3"/>
    <m/>
    <m/>
    <x v="106"/>
    <x v="146"/>
    <s v="Réparation"/>
    <x v="279"/>
    <x v="121"/>
    <x v="18"/>
    <n v="5"/>
    <n v="8"/>
    <n v="2019"/>
    <x v="0"/>
  </r>
  <r>
    <x v="119"/>
    <n v="570"/>
    <x v="0"/>
    <x v="16"/>
    <m/>
    <m/>
    <x v="105"/>
    <x v="147"/>
    <s v="Réparation"/>
    <x v="265"/>
    <x v="121"/>
    <x v="18"/>
    <n v="1"/>
    <n v="8"/>
    <n v="2019"/>
    <x v="0"/>
  </r>
  <r>
    <x v="120"/>
    <n v="561"/>
    <x v="4"/>
    <x v="18"/>
    <m/>
    <m/>
    <x v="107"/>
    <x v="148"/>
    <s v="Réparation"/>
    <x v="280"/>
    <x v="117"/>
    <x v="78"/>
    <s v="=SI(ESTVIDE([@[Date"/>
    <n v="8"/>
    <n v="2019"/>
    <x v="0"/>
  </r>
  <r>
    <x v="120"/>
    <n v="700"/>
    <x v="1"/>
    <x v="3"/>
    <m/>
    <m/>
    <x v="8"/>
    <x v="135"/>
    <s v="Réparation"/>
    <x v="281"/>
    <x v="122"/>
    <x v="18"/>
    <m/>
    <n v="8"/>
    <n v="2019"/>
    <x v="0"/>
  </r>
  <r>
    <x v="121"/>
    <n v="560"/>
    <x v="0"/>
    <x v="0"/>
    <m/>
    <m/>
    <x v="22"/>
    <x v="7"/>
    <s v="Réparation"/>
    <x v="118"/>
    <x v="123"/>
    <x v="18"/>
    <n v="30"/>
    <n v="8"/>
    <n v="2019"/>
    <x v="0"/>
  </r>
  <r>
    <x v="121"/>
    <n v="590"/>
    <x v="0"/>
    <x v="20"/>
    <m/>
    <m/>
    <x v="34"/>
    <x v="149"/>
    <s v="Réparation"/>
    <x v="282"/>
    <x v="123"/>
    <x v="18"/>
    <m/>
    <n v="8"/>
    <n v="2019"/>
    <x v="0"/>
  </r>
  <r>
    <x v="122"/>
    <n v="605"/>
    <x v="0"/>
    <x v="13"/>
    <m/>
    <m/>
    <x v="17"/>
    <x v="150"/>
    <s v="Réparation"/>
    <x v="283"/>
    <x v="124"/>
    <x v="18"/>
    <m/>
    <n v="8"/>
    <n v="2019"/>
    <x v="0"/>
  </r>
  <r>
    <x v="123"/>
    <n v="560"/>
    <x v="0"/>
    <x v="0"/>
    <m/>
    <m/>
    <x v="22"/>
    <x v="6"/>
    <s v="Réparation"/>
    <x v="116"/>
    <x v="125"/>
    <x v="18"/>
    <m/>
    <n v="8"/>
    <n v="2019"/>
    <x v="0"/>
  </r>
  <r>
    <x v="124"/>
    <n v="560"/>
    <x v="0"/>
    <x v="0"/>
    <m/>
    <m/>
    <x v="22"/>
    <x v="94"/>
    <s v="Réparation"/>
    <x v="215"/>
    <x v="126"/>
    <x v="18"/>
    <m/>
    <n v="8"/>
    <n v="2019"/>
    <x v="0"/>
  </r>
  <r>
    <x v="124"/>
    <n v="580"/>
    <x v="0"/>
    <x v="11"/>
    <m/>
    <m/>
    <x v="108"/>
    <x v="151"/>
    <s v="Réparation"/>
    <x v="284"/>
    <x v="127"/>
    <x v="18"/>
    <s v="=SI(ESTVIDE([@[Date"/>
    <n v="8"/>
    <n v="2019"/>
    <x v="0"/>
  </r>
  <r>
    <x v="125"/>
    <n v="700"/>
    <x v="1"/>
    <x v="3"/>
    <m/>
    <m/>
    <x v="109"/>
    <x v="152"/>
    <s v="Réparation"/>
    <x v="285"/>
    <x v="127"/>
    <x v="18"/>
    <n v="45"/>
    <n v="8"/>
    <n v="2019"/>
    <x v="0"/>
  </r>
  <r>
    <x v="125"/>
    <n v="700"/>
    <x v="1"/>
    <x v="3"/>
    <m/>
    <m/>
    <x v="8"/>
    <x v="153"/>
    <s v="Réparation"/>
    <x v="286"/>
    <x v="128"/>
    <x v="79"/>
    <s v="=SI(ESTVIDE([@[Date"/>
    <n v="8"/>
    <n v="2019"/>
    <x v="0"/>
  </r>
  <r>
    <x v="126"/>
    <n v="560"/>
    <x v="0"/>
    <x v="0"/>
    <m/>
    <m/>
    <x v="22"/>
    <x v="6"/>
    <s v="Réparation"/>
    <x v="116"/>
    <x v="129"/>
    <x v="18"/>
    <m/>
    <n v="8"/>
    <n v="2019"/>
    <x v="0"/>
  </r>
  <r>
    <x v="127"/>
    <n v="565"/>
    <x v="0"/>
    <x v="4"/>
    <m/>
    <m/>
    <x v="57"/>
    <x v="154"/>
    <s v="Réparation"/>
    <x v="287"/>
    <x v="128"/>
    <x v="18"/>
    <n v="3"/>
    <n v="8"/>
    <n v="2019"/>
    <x v="0"/>
  </r>
  <r>
    <x v="127"/>
    <n v="560"/>
    <x v="0"/>
    <x v="0"/>
    <m/>
    <m/>
    <x v="110"/>
    <x v="155"/>
    <s v="Réparation"/>
    <x v="288"/>
    <x v="128"/>
    <x v="18"/>
    <n v="4"/>
    <n v="8"/>
    <n v="2019"/>
    <x v="0"/>
  </r>
  <r>
    <x v="127"/>
    <n v="562"/>
    <x v="4"/>
    <x v="8"/>
    <m/>
    <m/>
    <x v="18"/>
    <x v="156"/>
    <s v="Réparation"/>
    <x v="289"/>
    <x v="128"/>
    <x v="18"/>
    <m/>
    <n v="8"/>
    <n v="2019"/>
    <x v="0"/>
  </r>
  <r>
    <x v="127"/>
    <n v="605"/>
    <x v="0"/>
    <x v="13"/>
    <m/>
    <m/>
    <x v="111"/>
    <x v="157"/>
    <s v="Réparation"/>
    <x v="290"/>
    <x v="130"/>
    <x v="18"/>
    <s v="=SI(ESTVIDE([@[Date"/>
    <n v="8"/>
    <n v="2019"/>
    <x v="0"/>
  </r>
  <r>
    <x v="127"/>
    <n v="800"/>
    <x v="1"/>
    <x v="2"/>
    <m/>
    <m/>
    <x v="46"/>
    <x v="158"/>
    <s v="Réparation"/>
    <x v="291"/>
    <x v="128"/>
    <x v="18"/>
    <m/>
    <n v="8"/>
    <n v="2019"/>
    <x v="0"/>
  </r>
  <r>
    <x v="128"/>
    <n v="700"/>
    <x v="1"/>
    <x v="3"/>
    <m/>
    <m/>
    <x v="48"/>
    <x v="159"/>
    <s v="Réglage"/>
    <x v="292"/>
    <x v="131"/>
    <x v="18"/>
    <n v="45"/>
    <n v="8"/>
    <n v="2019"/>
    <x v="0"/>
  </r>
  <r>
    <x v="128"/>
    <n v="800"/>
    <x v="1"/>
    <x v="2"/>
    <m/>
    <m/>
    <x v="27"/>
    <x v="160"/>
    <s v="Réparation"/>
    <x v="293"/>
    <x v="131"/>
    <x v="18"/>
    <n v="30"/>
    <n v="8"/>
    <n v="2019"/>
    <x v="0"/>
  </r>
  <r>
    <x v="129"/>
    <n v="560"/>
    <x v="0"/>
    <x v="0"/>
    <m/>
    <m/>
    <x v="57"/>
    <x v="8"/>
    <s v="Réparation"/>
    <x v="131"/>
    <x v="132"/>
    <x v="18"/>
    <n v="1"/>
    <n v="8"/>
    <n v="2019"/>
    <x v="0"/>
  </r>
  <r>
    <x v="129"/>
    <n v="562"/>
    <x v="4"/>
    <x v="8"/>
    <m/>
    <m/>
    <x v="18"/>
    <x v="151"/>
    <s v="Réparation"/>
    <x v="294"/>
    <x v="133"/>
    <x v="21"/>
    <s v="=SI(ESTVIDE([@[Date"/>
    <n v="4"/>
    <n v="2020"/>
    <x v="0"/>
  </r>
  <r>
    <x v="129"/>
    <n v="700"/>
    <x v="1"/>
    <x v="3"/>
    <m/>
    <m/>
    <x v="112"/>
    <x v="161"/>
    <s v="Réparation"/>
    <x v="295"/>
    <x v="132"/>
    <x v="18"/>
    <m/>
    <n v="8"/>
    <n v="2019"/>
    <x v="0"/>
  </r>
  <r>
    <x v="130"/>
    <n v="560"/>
    <x v="0"/>
    <x v="0"/>
    <m/>
    <m/>
    <x v="11"/>
    <x v="137"/>
    <s v="Réparation"/>
    <x v="267"/>
    <x v="117"/>
    <x v="18"/>
    <m/>
    <n v="8"/>
    <n v="2019"/>
    <x v="0"/>
  </r>
  <r>
    <x v="131"/>
    <n v="565"/>
    <x v="0"/>
    <x v="4"/>
    <m/>
    <m/>
    <x v="39"/>
    <x v="162"/>
    <s v="Réparation"/>
    <x v="296"/>
    <x v="134"/>
    <x v="18"/>
    <n v="40"/>
    <n v="9"/>
    <n v="2019"/>
    <x v="0"/>
  </r>
  <r>
    <x v="132"/>
    <n v="565"/>
    <x v="0"/>
    <x v="4"/>
    <m/>
    <m/>
    <x v="22"/>
    <x v="163"/>
    <s v="Réparation"/>
    <x v="297"/>
    <x v="135"/>
    <x v="18"/>
    <n v="30"/>
    <n v="9"/>
    <n v="2019"/>
    <x v="0"/>
  </r>
  <r>
    <x v="132"/>
    <n v="565"/>
    <x v="0"/>
    <x v="4"/>
    <m/>
    <m/>
    <x v="113"/>
    <x v="164"/>
    <s v="Réparation"/>
    <x v="298"/>
    <x v="135"/>
    <x v="18"/>
    <n v="30"/>
    <n v="9"/>
    <n v="2019"/>
    <x v="0"/>
  </r>
  <r>
    <x v="133"/>
    <n v="700"/>
    <x v="1"/>
    <x v="3"/>
    <m/>
    <m/>
    <x v="46"/>
    <x v="165"/>
    <s v="Réparation"/>
    <x v="299"/>
    <x v="136"/>
    <x v="18"/>
    <n v="40"/>
    <n v="9"/>
    <n v="2019"/>
    <x v="0"/>
  </r>
  <r>
    <x v="133"/>
    <n v="700"/>
    <x v="1"/>
    <x v="3"/>
    <m/>
    <m/>
    <x v="114"/>
    <x v="166"/>
    <s v="Réparation"/>
    <x v="300"/>
    <x v="136"/>
    <x v="18"/>
    <n v="40"/>
    <n v="9"/>
    <n v="2019"/>
    <x v="0"/>
  </r>
  <r>
    <x v="134"/>
    <n v="700"/>
    <x v="1"/>
    <x v="3"/>
    <m/>
    <m/>
    <x v="69"/>
    <x v="167"/>
    <s v="Réglage"/>
    <x v="301"/>
    <x v="137"/>
    <x v="18"/>
    <n v="30"/>
    <n v="9"/>
    <n v="2019"/>
    <x v="0"/>
  </r>
  <r>
    <x v="135"/>
    <n v="565"/>
    <x v="0"/>
    <x v="4"/>
    <m/>
    <m/>
    <x v="16"/>
    <x v="168"/>
    <s v="Réparation"/>
    <x v="302"/>
    <x v="138"/>
    <x v="18"/>
    <n v="45"/>
    <n v="9"/>
    <n v="2019"/>
    <x v="0"/>
  </r>
  <r>
    <x v="135"/>
    <n v="800"/>
    <x v="1"/>
    <x v="2"/>
    <m/>
    <m/>
    <x v="49"/>
    <x v="169"/>
    <s v="Réparation"/>
    <x v="303"/>
    <x v="138"/>
    <x v="80"/>
    <n v="45"/>
    <n v="9"/>
    <n v="2019"/>
    <x v="0"/>
  </r>
  <r>
    <x v="135"/>
    <n v="700"/>
    <x v="1"/>
    <x v="3"/>
    <m/>
    <m/>
    <x v="23"/>
    <x v="170"/>
    <s v="Réparation"/>
    <x v="304"/>
    <x v="138"/>
    <x v="18"/>
    <n v="30"/>
    <n v="9"/>
    <n v="2019"/>
    <x v="0"/>
  </r>
  <r>
    <x v="136"/>
    <n v="574"/>
    <x v="4"/>
    <x v="29"/>
    <m/>
    <m/>
    <x v="43"/>
    <x v="114"/>
    <s v="Réparation"/>
    <x v="305"/>
    <x v="139"/>
    <x v="18"/>
    <n v="1"/>
    <n v="9"/>
    <n v="2019"/>
    <x v="0"/>
  </r>
  <r>
    <x v="136"/>
    <n v="700"/>
    <x v="1"/>
    <x v="3"/>
    <m/>
    <m/>
    <x v="46"/>
    <x v="171"/>
    <s v="Réparation"/>
    <x v="306"/>
    <x v="139"/>
    <x v="18"/>
    <n v="3"/>
    <n v="9"/>
    <n v="2019"/>
    <x v="0"/>
  </r>
  <r>
    <x v="136"/>
    <n v="800"/>
    <x v="1"/>
    <x v="2"/>
    <m/>
    <m/>
    <x v="49"/>
    <x v="169"/>
    <s v="Réparation"/>
    <x v="303"/>
    <x v="139"/>
    <x v="80"/>
    <n v="45"/>
    <n v="9"/>
    <n v="2019"/>
    <x v="0"/>
  </r>
  <r>
    <x v="136"/>
    <n v="800"/>
    <x v="1"/>
    <x v="2"/>
    <m/>
    <m/>
    <x v="8"/>
    <x v="172"/>
    <s v="Réparation"/>
    <x v="193"/>
    <x v="139"/>
    <x v="18"/>
    <n v="45"/>
    <n v="9"/>
    <n v="2019"/>
    <x v="0"/>
  </r>
  <r>
    <x v="136"/>
    <n v="800"/>
    <x v="1"/>
    <x v="2"/>
    <m/>
    <m/>
    <x v="24"/>
    <x v="173"/>
    <s v="Changement"/>
    <x v="307"/>
    <x v="139"/>
    <x v="18"/>
    <m/>
    <n v="9"/>
    <n v="2019"/>
    <x v="0"/>
  </r>
  <r>
    <x v="137"/>
    <n v="560"/>
    <x v="0"/>
    <x v="0"/>
    <m/>
    <m/>
    <x v="16"/>
    <x v="174"/>
    <s v="Réparation"/>
    <x v="308"/>
    <x v="140"/>
    <x v="18"/>
    <n v="45"/>
    <n v="9"/>
    <n v="2019"/>
    <x v="0"/>
  </r>
  <r>
    <x v="137"/>
    <n v="800"/>
    <x v="1"/>
    <x v="2"/>
    <m/>
    <m/>
    <x v="99"/>
    <x v="175"/>
    <s v="Changement"/>
    <x v="309"/>
    <x v="140"/>
    <x v="18"/>
    <n v="4"/>
    <n v="9"/>
    <n v="2019"/>
    <x v="0"/>
  </r>
  <r>
    <x v="137"/>
    <n v="800"/>
    <x v="1"/>
    <x v="2"/>
    <m/>
    <m/>
    <x v="115"/>
    <x v="169"/>
    <s v="Changement"/>
    <x v="310"/>
    <x v="140"/>
    <x v="18"/>
    <n v="45"/>
    <n v="9"/>
    <n v="2019"/>
    <x v="0"/>
  </r>
  <r>
    <x v="138"/>
    <n v="565"/>
    <x v="0"/>
    <x v="4"/>
    <m/>
    <m/>
    <x v="22"/>
    <x v="176"/>
    <s v="Réparation"/>
    <x v="143"/>
    <x v="141"/>
    <x v="18"/>
    <n v="45"/>
    <n v="9"/>
    <n v="2019"/>
    <x v="0"/>
  </r>
  <r>
    <x v="138"/>
    <n v="570"/>
    <x v="0"/>
    <x v="16"/>
    <m/>
    <m/>
    <x v="97"/>
    <x v="177"/>
    <s v="Réparation"/>
    <x v="311"/>
    <x v="141"/>
    <x v="18"/>
    <n v="40"/>
    <n v="9"/>
    <n v="2019"/>
    <x v="0"/>
  </r>
  <r>
    <x v="138"/>
    <n v="534"/>
    <x v="2"/>
    <x v="27"/>
    <m/>
    <m/>
    <x v="19"/>
    <x v="178"/>
    <s v="Réparation"/>
    <x v="312"/>
    <x v="141"/>
    <x v="81"/>
    <m/>
    <n v="9"/>
    <n v="2019"/>
    <x v="0"/>
  </r>
  <r>
    <x v="138"/>
    <n v="700"/>
    <x v="1"/>
    <x v="3"/>
    <m/>
    <m/>
    <x v="116"/>
    <x v="179"/>
    <s v="Réparation"/>
    <x v="313"/>
    <x v="141"/>
    <x v="18"/>
    <n v="30"/>
    <n v="9"/>
    <n v="2019"/>
    <x v="0"/>
  </r>
  <r>
    <x v="139"/>
    <n v="570"/>
    <x v="0"/>
    <x v="16"/>
    <m/>
    <m/>
    <x v="117"/>
    <x v="180"/>
    <s v="Changement"/>
    <x v="314"/>
    <x v="142"/>
    <x v="18"/>
    <n v="35"/>
    <n v="9"/>
    <n v="2019"/>
    <x v="0"/>
  </r>
  <r>
    <x v="139"/>
    <n v="560"/>
    <x v="0"/>
    <x v="0"/>
    <m/>
    <m/>
    <x v="22"/>
    <x v="5"/>
    <s v="Réparation"/>
    <x v="113"/>
    <x v="142"/>
    <x v="18"/>
    <n v="40"/>
    <n v="9"/>
    <n v="2019"/>
    <x v="0"/>
  </r>
  <r>
    <x v="139"/>
    <n v="582"/>
    <x v="0"/>
    <x v="1"/>
    <m/>
    <m/>
    <x v="17"/>
    <x v="181"/>
    <s v="Réparation"/>
    <x v="315"/>
    <x v="142"/>
    <x v="18"/>
    <n v="40"/>
    <n v="9"/>
    <n v="2019"/>
    <x v="0"/>
  </r>
  <r>
    <x v="139"/>
    <n v="590"/>
    <x v="0"/>
    <x v="20"/>
    <m/>
    <m/>
    <x v="118"/>
    <x v="182"/>
    <s v="Réparation"/>
    <x v="219"/>
    <x v="142"/>
    <x v="18"/>
    <n v="30"/>
    <n v="9"/>
    <n v="2019"/>
    <x v="0"/>
  </r>
  <r>
    <x v="139"/>
    <n v="700"/>
    <x v="1"/>
    <x v="3"/>
    <m/>
    <m/>
    <x v="24"/>
    <x v="183"/>
    <s v="Changement"/>
    <x v="316"/>
    <x v="142"/>
    <x v="18"/>
    <n v="4"/>
    <n v="9"/>
    <n v="2019"/>
    <x v="0"/>
  </r>
  <r>
    <x v="140"/>
    <n v="800"/>
    <x v="1"/>
    <x v="2"/>
    <m/>
    <m/>
    <x v="24"/>
    <x v="8"/>
    <s v="Réparation"/>
    <x v="317"/>
    <x v="107"/>
    <x v="18"/>
    <m/>
    <n v="9"/>
    <n v="2019"/>
    <x v="0"/>
  </r>
  <r>
    <x v="141"/>
    <n v="590"/>
    <x v="0"/>
    <x v="20"/>
    <m/>
    <m/>
    <x v="15"/>
    <x v="184"/>
    <s v="Réparation"/>
    <x v="318"/>
    <x v="143"/>
    <x v="18"/>
    <s v="=SI(ESTVIDE([@[Date"/>
    <n v="10"/>
    <n v="2019"/>
    <x v="0"/>
  </r>
  <r>
    <x v="141"/>
    <n v="700"/>
    <x v="1"/>
    <x v="3"/>
    <m/>
    <m/>
    <x v="116"/>
    <x v="185"/>
    <s v="Réparation"/>
    <x v="319"/>
    <x v="144"/>
    <x v="18"/>
    <m/>
    <n v="9"/>
    <n v="2019"/>
    <x v="0"/>
  </r>
  <r>
    <x v="142"/>
    <n v="605"/>
    <x v="0"/>
    <x v="13"/>
    <m/>
    <m/>
    <x v="17"/>
    <x v="186"/>
    <s v="Réparation"/>
    <x v="320"/>
    <x v="145"/>
    <x v="18"/>
    <m/>
    <n v="9"/>
    <n v="2019"/>
    <x v="0"/>
  </r>
  <r>
    <x v="142"/>
    <n v="610"/>
    <x v="0"/>
    <x v="28"/>
    <m/>
    <m/>
    <x v="119"/>
    <x v="114"/>
    <s v="Réparation"/>
    <x v="321"/>
    <x v="145"/>
    <x v="18"/>
    <m/>
    <n v="9"/>
    <n v="2019"/>
    <x v="0"/>
  </r>
  <r>
    <x v="142"/>
    <n v="590"/>
    <x v="0"/>
    <x v="20"/>
    <m/>
    <m/>
    <x v="2"/>
    <x v="187"/>
    <s v="Réparation"/>
    <x v="234"/>
    <x v="145"/>
    <x v="18"/>
    <n v="30"/>
    <n v="9"/>
    <n v="2019"/>
    <x v="0"/>
  </r>
  <r>
    <x v="143"/>
    <n v="560"/>
    <x v="0"/>
    <x v="0"/>
    <m/>
    <m/>
    <x v="120"/>
    <x v="188"/>
    <s v="Réparation"/>
    <x v="322"/>
    <x v="146"/>
    <x v="18"/>
    <n v="3"/>
    <n v="9"/>
    <n v="2019"/>
    <x v="0"/>
  </r>
  <r>
    <x v="143"/>
    <n v="560"/>
    <x v="0"/>
    <x v="0"/>
    <m/>
    <m/>
    <x v="29"/>
    <x v="189"/>
    <s v="Réparation"/>
    <x v="323"/>
    <x v="146"/>
    <x v="18"/>
    <n v="45"/>
    <n v="9"/>
    <n v="2019"/>
    <x v="0"/>
  </r>
  <r>
    <x v="143"/>
    <n v="800"/>
    <x v="1"/>
    <x v="2"/>
    <m/>
    <m/>
    <x v="49"/>
    <x v="190"/>
    <s v="Changement"/>
    <x v="324"/>
    <x v="146"/>
    <x v="18"/>
    <n v="30"/>
    <n v="9"/>
    <n v="2019"/>
    <x v="0"/>
  </r>
  <r>
    <x v="144"/>
    <n v="560"/>
    <x v="0"/>
    <x v="0"/>
    <m/>
    <m/>
    <x v="10"/>
    <x v="191"/>
    <s v="Réparation"/>
    <x v="325"/>
    <x v="147"/>
    <x v="18"/>
    <n v="4"/>
    <n v="9"/>
    <n v="2019"/>
    <x v="0"/>
  </r>
  <r>
    <x v="144"/>
    <n v="560"/>
    <x v="0"/>
    <x v="0"/>
    <m/>
    <m/>
    <x v="66"/>
    <x v="192"/>
    <s v="Changement"/>
    <x v="143"/>
    <x v="147"/>
    <x v="18"/>
    <n v="40"/>
    <n v="9"/>
    <n v="2019"/>
    <x v="0"/>
  </r>
  <r>
    <x v="144"/>
    <n v="700"/>
    <x v="1"/>
    <x v="3"/>
    <m/>
    <m/>
    <x v="106"/>
    <x v="193"/>
    <s v="Réparation"/>
    <x v="326"/>
    <x v="147"/>
    <x v="18"/>
    <n v="45"/>
    <n v="9"/>
    <n v="2019"/>
    <x v="0"/>
  </r>
  <r>
    <x v="144"/>
    <n v="700"/>
    <x v="1"/>
    <x v="3"/>
    <m/>
    <m/>
    <x v="49"/>
    <x v="194"/>
    <s v="Changement"/>
    <x v="327"/>
    <x v="147"/>
    <x v="18"/>
    <n v="30"/>
    <n v="9"/>
    <n v="2019"/>
    <x v="0"/>
  </r>
  <r>
    <x v="145"/>
    <n v="590"/>
    <x v="0"/>
    <x v="20"/>
    <m/>
    <m/>
    <x v="65"/>
    <x v="195"/>
    <s v="Changement"/>
    <x v="155"/>
    <x v="148"/>
    <x v="18"/>
    <n v="45"/>
    <n v="9"/>
    <n v="2019"/>
    <x v="0"/>
  </r>
  <r>
    <x v="145"/>
    <n v="580"/>
    <x v="0"/>
    <x v="11"/>
    <m/>
    <m/>
    <x v="87"/>
    <x v="145"/>
    <s v="Réparation"/>
    <x v="278"/>
    <x v="149"/>
    <x v="18"/>
    <s v="=SI(ESTVIDE([@[Date"/>
    <n v="9"/>
    <n v="2019"/>
    <x v="0"/>
  </r>
  <r>
    <x v="145"/>
    <n v="502"/>
    <x v="4"/>
    <x v="31"/>
    <m/>
    <m/>
    <x v="121"/>
    <x v="196"/>
    <s v="Dépannage"/>
    <x v="328"/>
    <x v="150"/>
    <x v="82"/>
    <s v="=SI(ESTVIDE([@[Date"/>
    <n v="10"/>
    <n v="2019"/>
    <x v="0"/>
  </r>
  <r>
    <x v="146"/>
    <n v="901"/>
    <x v="3"/>
    <x v="6"/>
    <m/>
    <m/>
    <x v="10"/>
    <x v="197"/>
    <s v="Réparation"/>
    <x v="329"/>
    <x v="149"/>
    <x v="18"/>
    <n v="2"/>
    <n v="9"/>
    <n v="2019"/>
    <x v="0"/>
  </r>
  <r>
    <x v="146"/>
    <n v="700"/>
    <x v="1"/>
    <x v="3"/>
    <m/>
    <m/>
    <x v="116"/>
    <x v="198"/>
    <s v="Changement"/>
    <x v="330"/>
    <x v="149"/>
    <x v="18"/>
    <n v="2"/>
    <n v="9"/>
    <n v="2019"/>
    <x v="0"/>
  </r>
  <r>
    <x v="147"/>
    <n v="700"/>
    <x v="1"/>
    <x v="3"/>
    <m/>
    <m/>
    <x v="99"/>
    <x v="122"/>
    <s v="Changement"/>
    <x v="331"/>
    <x v="151"/>
    <x v="18"/>
    <m/>
    <n v="9"/>
    <n v="2019"/>
    <x v="0"/>
  </r>
  <r>
    <x v="148"/>
    <n v="700"/>
    <x v="1"/>
    <x v="3"/>
    <m/>
    <m/>
    <x v="122"/>
    <x v="199"/>
    <s v="Changement"/>
    <x v="332"/>
    <x v="152"/>
    <x v="18"/>
    <n v="3"/>
    <n v="9"/>
    <n v="2019"/>
    <x v="0"/>
  </r>
  <r>
    <x v="149"/>
    <n v="800"/>
    <x v="1"/>
    <x v="2"/>
    <m/>
    <m/>
    <x v="7"/>
    <x v="184"/>
    <s v="Changement"/>
    <x v="333"/>
    <x v="153"/>
    <x v="18"/>
    <n v="3"/>
    <n v="9"/>
    <n v="2019"/>
    <x v="0"/>
  </r>
  <r>
    <x v="150"/>
    <n v="700"/>
    <x v="1"/>
    <x v="3"/>
    <m/>
    <m/>
    <x v="8"/>
    <x v="200"/>
    <s v="Réglage"/>
    <x v="334"/>
    <x v="154"/>
    <x v="18"/>
    <n v="45"/>
    <n v="10"/>
    <n v="2019"/>
    <x v="0"/>
  </r>
  <r>
    <x v="150"/>
    <n v="560"/>
    <x v="0"/>
    <x v="0"/>
    <m/>
    <m/>
    <x v="22"/>
    <x v="16"/>
    <s v="Réparation"/>
    <x v="116"/>
    <x v="154"/>
    <x v="18"/>
    <m/>
    <n v="10"/>
    <n v="2019"/>
    <x v="0"/>
  </r>
  <r>
    <x v="150"/>
    <n v="571"/>
    <x v="0"/>
    <x v="7"/>
    <m/>
    <m/>
    <x v="2"/>
    <x v="201"/>
    <s v="Réparation"/>
    <x v="335"/>
    <x v="143"/>
    <x v="18"/>
    <s v="=SI(ESTVIDE([@[Date"/>
    <n v="10"/>
    <n v="2019"/>
    <x v="0"/>
  </r>
  <r>
    <x v="150"/>
    <n v="582"/>
    <x v="0"/>
    <x v="1"/>
    <m/>
    <m/>
    <x v="82"/>
    <x v="202"/>
    <s v="Réparation"/>
    <x v="261"/>
    <x v="154"/>
    <x v="18"/>
    <m/>
    <n v="10"/>
    <n v="2019"/>
    <x v="0"/>
  </r>
  <r>
    <x v="150"/>
    <n v="582"/>
    <x v="0"/>
    <x v="1"/>
    <m/>
    <m/>
    <x v="1"/>
    <x v="202"/>
    <s v="Réparation"/>
    <x v="233"/>
    <x v="154"/>
    <x v="18"/>
    <n v="2"/>
    <n v="10"/>
    <n v="2019"/>
    <x v="0"/>
  </r>
  <r>
    <x v="151"/>
    <n v="606"/>
    <x v="0"/>
    <x v="17"/>
    <m/>
    <m/>
    <x v="0"/>
    <x v="203"/>
    <s v="Réparation"/>
    <x v="336"/>
    <x v="143"/>
    <x v="18"/>
    <n v="45"/>
    <n v="10"/>
    <n v="2019"/>
    <x v="0"/>
  </r>
  <r>
    <x v="151"/>
    <n v="580"/>
    <x v="0"/>
    <x v="11"/>
    <m/>
    <m/>
    <x v="9"/>
    <x v="189"/>
    <s v="Réparation"/>
    <x v="337"/>
    <x v="143"/>
    <x v="18"/>
    <m/>
    <n v="10"/>
    <n v="2019"/>
    <x v="0"/>
  </r>
  <r>
    <x v="151"/>
    <n v="560"/>
    <x v="0"/>
    <x v="0"/>
    <m/>
    <m/>
    <x v="17"/>
    <x v="204"/>
    <s v="Réparation"/>
    <x v="338"/>
    <x v="143"/>
    <x v="18"/>
    <n v="2"/>
    <n v="10"/>
    <n v="2019"/>
    <x v="0"/>
  </r>
  <r>
    <x v="152"/>
    <n v="590"/>
    <x v="0"/>
    <x v="20"/>
    <m/>
    <m/>
    <x v="90"/>
    <x v="31"/>
    <s v="Réparation"/>
    <x v="339"/>
    <x v="155"/>
    <x v="18"/>
    <n v="45"/>
    <n v="10"/>
    <n v="2019"/>
    <x v="0"/>
  </r>
  <r>
    <x v="152"/>
    <n v="582"/>
    <x v="0"/>
    <x v="1"/>
    <m/>
    <m/>
    <x v="80"/>
    <x v="205"/>
    <s v="Réparation"/>
    <x v="340"/>
    <x v="155"/>
    <x v="18"/>
    <n v="45"/>
    <n v="10"/>
    <n v="2019"/>
    <x v="0"/>
  </r>
  <r>
    <x v="152"/>
    <n v="590"/>
    <x v="0"/>
    <x v="20"/>
    <m/>
    <m/>
    <x v="123"/>
    <x v="31"/>
    <s v="Réparation"/>
    <x v="341"/>
    <x v="155"/>
    <x v="18"/>
    <m/>
    <n v="10"/>
    <n v="2019"/>
    <x v="0"/>
  </r>
  <r>
    <x v="153"/>
    <n v="573"/>
    <x v="4"/>
    <x v="23"/>
    <m/>
    <m/>
    <x v="10"/>
    <x v="206"/>
    <s v="Réparation"/>
    <x v="58"/>
    <x v="156"/>
    <x v="18"/>
    <m/>
    <n v="10"/>
    <n v="2019"/>
    <x v="0"/>
  </r>
  <r>
    <x v="153"/>
    <n v="583"/>
    <x v="4"/>
    <x v="21"/>
    <m/>
    <m/>
    <x v="95"/>
    <x v="207"/>
    <s v="Réparation"/>
    <x v="342"/>
    <x v="156"/>
    <x v="18"/>
    <n v="3"/>
    <n v="10"/>
    <n v="2019"/>
    <x v="0"/>
  </r>
  <r>
    <x v="153"/>
    <n v="584"/>
    <x v="4"/>
    <x v="24"/>
    <m/>
    <m/>
    <x v="121"/>
    <x v="182"/>
    <s v="Réparation"/>
    <x v="343"/>
    <x v="156"/>
    <x v="18"/>
    <m/>
    <n v="10"/>
    <n v="2019"/>
    <x v="0"/>
  </r>
  <r>
    <x v="153"/>
    <n v="800"/>
    <x v="1"/>
    <x v="2"/>
    <m/>
    <m/>
    <x v="49"/>
    <x v="208"/>
    <s v="Réparation"/>
    <x v="344"/>
    <x v="156"/>
    <x v="18"/>
    <m/>
    <n v="10"/>
    <n v="2019"/>
    <x v="0"/>
  </r>
  <r>
    <x v="154"/>
    <n v="700"/>
    <x v="1"/>
    <x v="3"/>
    <m/>
    <m/>
    <x v="46"/>
    <x v="31"/>
    <s v="Réparation"/>
    <x v="345"/>
    <x v="157"/>
    <x v="18"/>
    <m/>
    <n v="10"/>
    <n v="2019"/>
    <x v="0"/>
  </r>
  <r>
    <x v="155"/>
    <n v="560"/>
    <x v="0"/>
    <x v="0"/>
    <m/>
    <m/>
    <x v="22"/>
    <x v="16"/>
    <s v="Réparation"/>
    <x v="143"/>
    <x v="158"/>
    <x v="18"/>
    <m/>
    <n v="10"/>
    <n v="2019"/>
    <x v="0"/>
  </r>
  <r>
    <x v="156"/>
    <n v="700"/>
    <x v="1"/>
    <x v="3"/>
    <m/>
    <m/>
    <x v="37"/>
    <x v="209"/>
    <s v="Réparation"/>
    <x v="256"/>
    <x v="159"/>
    <x v="18"/>
    <n v="45"/>
    <n v="10"/>
    <n v="2019"/>
    <x v="0"/>
  </r>
  <r>
    <x v="157"/>
    <n v="700"/>
    <x v="1"/>
    <x v="3"/>
    <m/>
    <m/>
    <x v="2"/>
    <x v="210"/>
    <s v="Réparation"/>
    <x v="346"/>
    <x v="160"/>
    <x v="18"/>
    <m/>
    <n v="10"/>
    <n v="2019"/>
    <x v="0"/>
  </r>
  <r>
    <x v="157"/>
    <n v="700"/>
    <x v="1"/>
    <x v="3"/>
    <m/>
    <m/>
    <x v="124"/>
    <x v="211"/>
    <s v="Réparation"/>
    <x v="265"/>
    <x v="160"/>
    <x v="18"/>
    <n v="45"/>
    <n v="10"/>
    <n v="2019"/>
    <x v="0"/>
  </r>
  <r>
    <x v="158"/>
    <n v="560"/>
    <x v="0"/>
    <x v="0"/>
    <m/>
    <m/>
    <x v="0"/>
    <x v="212"/>
    <s v="Réparation"/>
    <x v="347"/>
    <x v="161"/>
    <x v="18"/>
    <m/>
    <n v="10"/>
    <n v="2019"/>
    <x v="0"/>
  </r>
  <r>
    <x v="159"/>
    <n v="565"/>
    <x v="0"/>
    <x v="4"/>
    <m/>
    <m/>
    <x v="125"/>
    <x v="213"/>
    <s v="Réglage"/>
    <x v="348"/>
    <x v="162"/>
    <x v="18"/>
    <m/>
    <n v="10"/>
    <n v="2019"/>
    <x v="0"/>
  </r>
  <r>
    <x v="159"/>
    <n v="700"/>
    <x v="1"/>
    <x v="3"/>
    <m/>
    <m/>
    <x v="69"/>
    <x v="214"/>
    <s v="Réparation"/>
    <x v="349"/>
    <x v="162"/>
    <x v="18"/>
    <m/>
    <n v="10"/>
    <n v="2019"/>
    <x v="0"/>
  </r>
  <r>
    <x v="160"/>
    <n v="590"/>
    <x v="0"/>
    <x v="20"/>
    <m/>
    <m/>
    <x v="90"/>
    <x v="215"/>
    <s v="Réparation"/>
    <x v="350"/>
    <x v="163"/>
    <x v="18"/>
    <m/>
    <n v="10"/>
    <n v="2019"/>
    <x v="0"/>
  </r>
  <r>
    <x v="160"/>
    <n v="582"/>
    <x v="0"/>
    <x v="1"/>
    <m/>
    <m/>
    <x v="126"/>
    <x v="35"/>
    <s v="Réparation"/>
    <x v="167"/>
    <x v="163"/>
    <x v="18"/>
    <n v="30"/>
    <n v="10"/>
    <n v="2019"/>
    <x v="0"/>
  </r>
  <r>
    <x v="160"/>
    <n v="568"/>
    <x v="4"/>
    <x v="14"/>
    <m/>
    <m/>
    <x v="127"/>
    <x v="216"/>
    <s v="Dépannage"/>
    <x v="351"/>
    <x v="163"/>
    <x v="83"/>
    <n v="30"/>
    <n v="10"/>
    <n v="2019"/>
    <x v="0"/>
  </r>
  <r>
    <x v="160"/>
    <n v="606"/>
    <x v="0"/>
    <x v="17"/>
    <m/>
    <m/>
    <x v="97"/>
    <x v="217"/>
    <s v="Réparation"/>
    <x v="242"/>
    <x v="163"/>
    <x v="18"/>
    <n v="3"/>
    <n v="10"/>
    <n v="2019"/>
    <x v="0"/>
  </r>
  <r>
    <x v="161"/>
    <n v="565"/>
    <x v="0"/>
    <x v="4"/>
    <m/>
    <m/>
    <x v="22"/>
    <x v="218"/>
    <s v="Réparation"/>
    <x v="352"/>
    <x v="164"/>
    <x v="18"/>
    <n v="45"/>
    <n v="10"/>
    <n v="2019"/>
    <x v="0"/>
  </r>
  <r>
    <x v="162"/>
    <n v="533"/>
    <x v="2"/>
    <x v="5"/>
    <m/>
    <m/>
    <x v="128"/>
    <x v="86"/>
    <s v="Changement"/>
    <x v="353"/>
    <x v="165"/>
    <x v="18"/>
    <n v="30"/>
    <n v="10"/>
    <n v="2019"/>
    <x v="0"/>
  </r>
  <r>
    <x v="163"/>
    <n v="700"/>
    <x v="1"/>
    <x v="3"/>
    <m/>
    <m/>
    <x v="129"/>
    <x v="219"/>
    <s v="Réparation"/>
    <x v="354"/>
    <x v="166"/>
    <x v="18"/>
    <n v="40"/>
    <n v="10"/>
    <n v="2019"/>
    <x v="0"/>
  </r>
  <r>
    <x v="164"/>
    <n v="604"/>
    <x v="0"/>
    <x v="22"/>
    <m/>
    <m/>
    <x v="130"/>
    <x v="220"/>
    <s v="Changement"/>
    <x v="355"/>
    <x v="167"/>
    <x v="18"/>
    <n v="3"/>
    <n v="10"/>
    <n v="2019"/>
    <x v="0"/>
  </r>
  <r>
    <x v="165"/>
    <n v="700"/>
    <x v="1"/>
    <x v="3"/>
    <m/>
    <m/>
    <x v="106"/>
    <x v="146"/>
    <s v="Changement"/>
    <x v="193"/>
    <x v="168"/>
    <x v="18"/>
    <m/>
    <n v="10"/>
    <n v="2019"/>
    <x v="0"/>
  </r>
  <r>
    <x v="166"/>
    <n v="582"/>
    <x v="0"/>
    <x v="1"/>
    <m/>
    <m/>
    <x v="34"/>
    <x v="221"/>
    <s v="Réparation"/>
    <x v="356"/>
    <x v="169"/>
    <x v="18"/>
    <n v="30"/>
    <n v="10"/>
    <n v="2019"/>
    <x v="0"/>
  </r>
  <r>
    <x v="166"/>
    <n v="571"/>
    <x v="0"/>
    <x v="7"/>
    <m/>
    <m/>
    <x v="131"/>
    <x v="112"/>
    <s v="Réglage"/>
    <x v="357"/>
    <x v="169"/>
    <x v="18"/>
    <m/>
    <n v="10"/>
    <n v="2019"/>
    <x v="0"/>
  </r>
  <r>
    <x v="167"/>
    <n v="700"/>
    <x v="1"/>
    <x v="3"/>
    <m/>
    <m/>
    <x v="132"/>
    <x v="222"/>
    <s v="Dépannage"/>
    <x v="358"/>
    <x v="170"/>
    <x v="18"/>
    <m/>
    <n v="10"/>
    <n v="2019"/>
    <x v="0"/>
  </r>
  <r>
    <x v="167"/>
    <n v="607"/>
    <x v="0"/>
    <x v="12"/>
    <m/>
    <m/>
    <x v="133"/>
    <x v="223"/>
    <s v="Changement"/>
    <x v="359"/>
    <x v="170"/>
    <x v="18"/>
    <n v="4"/>
    <n v="10"/>
    <n v="2019"/>
    <x v="0"/>
  </r>
  <r>
    <x v="167"/>
    <n v="800"/>
    <x v="1"/>
    <x v="2"/>
    <m/>
    <m/>
    <x v="49"/>
    <x v="197"/>
    <s v="Changement"/>
    <x v="360"/>
    <x v="170"/>
    <x v="18"/>
    <n v="2"/>
    <n v="10"/>
    <n v="2019"/>
    <x v="0"/>
  </r>
  <r>
    <x v="168"/>
    <n v="800"/>
    <x v="1"/>
    <x v="2"/>
    <m/>
    <m/>
    <x v="38"/>
    <x v="224"/>
    <s v="Réparation"/>
    <x v="361"/>
    <x v="150"/>
    <x v="84"/>
    <n v="2"/>
    <n v="10"/>
    <n v="2019"/>
    <x v="0"/>
  </r>
  <r>
    <x v="168"/>
    <n v="800"/>
    <x v="1"/>
    <x v="2"/>
    <m/>
    <m/>
    <x v="10"/>
    <x v="225"/>
    <s v="Réparation"/>
    <x v="362"/>
    <x v="150"/>
    <x v="18"/>
    <m/>
    <n v="10"/>
    <n v="2019"/>
    <x v="0"/>
  </r>
  <r>
    <x v="168"/>
    <n v="565"/>
    <x v="0"/>
    <x v="4"/>
    <m/>
    <m/>
    <x v="22"/>
    <x v="155"/>
    <s v="Confection"/>
    <x v="363"/>
    <x v="150"/>
    <x v="18"/>
    <n v="30"/>
    <n v="10"/>
    <n v="2019"/>
    <x v="0"/>
  </r>
  <r>
    <x v="168"/>
    <n v="605"/>
    <x v="0"/>
    <x v="13"/>
    <m/>
    <m/>
    <x v="29"/>
    <x v="189"/>
    <s v="Réparation"/>
    <x v="364"/>
    <x v="150"/>
    <x v="18"/>
    <m/>
    <n v="10"/>
    <n v="2019"/>
    <x v="0"/>
  </r>
  <r>
    <x v="168"/>
    <n v="583"/>
    <x v="4"/>
    <x v="21"/>
    <m/>
    <m/>
    <x v="95"/>
    <x v="207"/>
    <s v="Réparation"/>
    <x v="365"/>
    <x v="150"/>
    <x v="18"/>
    <n v="1"/>
    <n v="10"/>
    <n v="2019"/>
    <x v="0"/>
  </r>
  <r>
    <x v="168"/>
    <n v="582"/>
    <x v="0"/>
    <x v="1"/>
    <m/>
    <m/>
    <x v="134"/>
    <x v="226"/>
    <s v="Réparation"/>
    <x v="366"/>
    <x v="150"/>
    <x v="18"/>
    <m/>
    <n v="10"/>
    <n v="2019"/>
    <x v="0"/>
  </r>
  <r>
    <x v="168"/>
    <n v="583"/>
    <x v="4"/>
    <x v="21"/>
    <m/>
    <m/>
    <x v="135"/>
    <x v="54"/>
    <s v="Changement"/>
    <x v="342"/>
    <x v="150"/>
    <x v="18"/>
    <n v="1"/>
    <n v="10"/>
    <n v="2019"/>
    <x v="0"/>
  </r>
  <r>
    <x v="168"/>
    <n v="582"/>
    <x v="0"/>
    <x v="1"/>
    <m/>
    <m/>
    <x v="136"/>
    <x v="226"/>
    <s v="Réparation"/>
    <x v="366"/>
    <x v="150"/>
    <x v="18"/>
    <n v="28"/>
    <n v="10"/>
    <n v="2019"/>
    <x v="0"/>
  </r>
  <r>
    <x v="168"/>
    <n v="590"/>
    <x v="0"/>
    <x v="20"/>
    <m/>
    <m/>
    <x v="137"/>
    <x v="227"/>
    <s v="Changement"/>
    <x v="367"/>
    <x v="167"/>
    <x v="18"/>
    <m/>
    <n v="10"/>
    <n v="2019"/>
    <x v="0"/>
  </r>
  <r>
    <x v="168"/>
    <n v="605"/>
    <x v="0"/>
    <x v="13"/>
    <m/>
    <m/>
    <x v="29"/>
    <x v="228"/>
    <s v="Changement"/>
    <x v="368"/>
    <x v="150"/>
    <x v="18"/>
    <m/>
    <n v="10"/>
    <n v="2019"/>
    <x v="0"/>
  </r>
  <r>
    <x v="168"/>
    <n v="533"/>
    <x v="2"/>
    <x v="5"/>
    <m/>
    <m/>
    <x v="19"/>
    <x v="178"/>
    <s v="Réparation"/>
    <x v="369"/>
    <x v="150"/>
    <x v="18"/>
    <m/>
    <n v="10"/>
    <n v="2019"/>
    <x v="0"/>
  </r>
  <r>
    <x v="168"/>
    <n v="590"/>
    <x v="0"/>
    <x v="20"/>
    <m/>
    <m/>
    <x v="137"/>
    <x v="227"/>
    <s v="Changement"/>
    <x v="370"/>
    <x v="150"/>
    <x v="18"/>
    <n v="1"/>
    <n v="10"/>
    <n v="2019"/>
    <x v="0"/>
  </r>
  <r>
    <x v="169"/>
    <n v="582"/>
    <x v="0"/>
    <x v="1"/>
    <m/>
    <m/>
    <x v="32"/>
    <x v="229"/>
    <s v="Changement"/>
    <x v="371"/>
    <x v="167"/>
    <x v="18"/>
    <n v="30"/>
    <n v="10"/>
    <n v="2019"/>
    <x v="0"/>
  </r>
  <r>
    <x v="169"/>
    <n v="590"/>
    <x v="0"/>
    <x v="20"/>
    <m/>
    <m/>
    <x v="34"/>
    <x v="4"/>
    <s v="Changement"/>
    <x v="372"/>
    <x v="167"/>
    <x v="18"/>
    <n v="2"/>
    <n v="10"/>
    <n v="2019"/>
    <x v="0"/>
  </r>
  <r>
    <x v="169"/>
    <n v="607"/>
    <x v="0"/>
    <x v="12"/>
    <m/>
    <m/>
    <x v="29"/>
    <x v="230"/>
    <s v="Changement"/>
    <x v="373"/>
    <x v="167"/>
    <x v="18"/>
    <m/>
    <n v="10"/>
    <n v="2019"/>
    <x v="0"/>
  </r>
  <r>
    <x v="169"/>
    <n v="800"/>
    <x v="1"/>
    <x v="2"/>
    <m/>
    <m/>
    <x v="115"/>
    <x v="231"/>
    <s v="Dépannage"/>
    <x v="374"/>
    <x v="167"/>
    <x v="18"/>
    <m/>
    <n v="10"/>
    <n v="2019"/>
    <x v="0"/>
  </r>
  <r>
    <x v="169"/>
    <n v="700"/>
    <x v="1"/>
    <x v="3"/>
    <m/>
    <m/>
    <x v="116"/>
    <x v="232"/>
    <s v="Réparation"/>
    <x v="375"/>
    <x v="167"/>
    <x v="18"/>
    <n v="50"/>
    <n v="10"/>
    <n v="2019"/>
    <x v="0"/>
  </r>
  <r>
    <x v="169"/>
    <n v="533"/>
    <x v="2"/>
    <x v="5"/>
    <m/>
    <m/>
    <x v="19"/>
    <x v="233"/>
    <s v="Réparation"/>
    <x v="340"/>
    <x v="167"/>
    <x v="18"/>
    <m/>
    <n v="10"/>
    <n v="2019"/>
    <x v="0"/>
  </r>
  <r>
    <x v="169"/>
    <n v="800"/>
    <x v="1"/>
    <x v="2"/>
    <m/>
    <m/>
    <x v="7"/>
    <x v="234"/>
    <s v="Changement"/>
    <x v="376"/>
    <x v="171"/>
    <x v="18"/>
    <m/>
    <n v="10"/>
    <n v="2019"/>
    <x v="0"/>
  </r>
  <r>
    <x v="169"/>
    <n v="573"/>
    <x v="6"/>
    <x v="23"/>
    <m/>
    <m/>
    <x v="127"/>
    <x v="235"/>
    <s v="Réparation"/>
    <x v="377"/>
    <x v="167"/>
    <x v="18"/>
    <n v="1"/>
    <n v="10"/>
    <n v="2019"/>
    <x v="0"/>
  </r>
  <r>
    <x v="169"/>
    <n v="573"/>
    <x v="4"/>
    <x v="23"/>
    <m/>
    <m/>
    <x v="138"/>
    <x v="236"/>
    <s v="Réparation"/>
    <x v="378"/>
    <x v="167"/>
    <x v="18"/>
    <n v="4"/>
    <n v="10"/>
    <n v="2019"/>
    <x v="0"/>
  </r>
  <r>
    <x v="170"/>
    <n v="582"/>
    <x v="0"/>
    <x v="1"/>
    <m/>
    <m/>
    <x v="139"/>
    <x v="237"/>
    <s v="Réparation"/>
    <x v="379"/>
    <x v="171"/>
    <x v="18"/>
    <n v="2"/>
    <n v="10"/>
    <n v="2019"/>
    <x v="0"/>
  </r>
  <r>
    <x v="170"/>
    <n v="560"/>
    <x v="0"/>
    <x v="0"/>
    <m/>
    <m/>
    <x v="77"/>
    <x v="238"/>
    <s v="Changement"/>
    <x v="380"/>
    <x v="171"/>
    <x v="18"/>
    <n v="2"/>
    <n v="10"/>
    <n v="2019"/>
    <x v="0"/>
  </r>
  <r>
    <x v="170"/>
    <n v="570"/>
    <x v="0"/>
    <x v="16"/>
    <m/>
    <m/>
    <x v="140"/>
    <x v="239"/>
    <s v="Changement"/>
    <x v="381"/>
    <x v="171"/>
    <x v="18"/>
    <n v="2"/>
    <n v="10"/>
    <n v="2019"/>
    <x v="0"/>
  </r>
  <r>
    <x v="171"/>
    <n v="800"/>
    <x v="1"/>
    <x v="2"/>
    <m/>
    <m/>
    <x v="116"/>
    <x v="240"/>
    <s v="Changement"/>
    <x v="382"/>
    <x v="172"/>
    <x v="18"/>
    <n v="45"/>
    <n v="10"/>
    <n v="2019"/>
    <x v="0"/>
  </r>
  <r>
    <x v="172"/>
    <n v="605"/>
    <x v="0"/>
    <x v="13"/>
    <m/>
    <m/>
    <x v="0"/>
    <x v="241"/>
    <s v="Réparation"/>
    <x v="383"/>
    <x v="173"/>
    <x v="18"/>
    <m/>
    <n v="10"/>
    <n v="2019"/>
    <x v="0"/>
  </r>
  <r>
    <x v="172"/>
    <n v="560"/>
    <x v="0"/>
    <x v="0"/>
    <m/>
    <m/>
    <x v="57"/>
    <x v="242"/>
    <s v="Réparation"/>
    <x v="384"/>
    <x v="173"/>
    <x v="18"/>
    <m/>
    <n v="10"/>
    <n v="2019"/>
    <x v="0"/>
  </r>
  <r>
    <x v="172"/>
    <n v="560"/>
    <x v="0"/>
    <x v="0"/>
    <m/>
    <m/>
    <x v="55"/>
    <x v="4"/>
    <s v="Réparation"/>
    <x v="109"/>
    <x v="174"/>
    <x v="18"/>
    <n v="1"/>
    <n v="1"/>
    <n v="2019"/>
    <x v="0"/>
  </r>
  <r>
    <x v="172"/>
    <n v="533"/>
    <x v="2"/>
    <x v="5"/>
    <m/>
    <m/>
    <x v="129"/>
    <x v="243"/>
    <s v="Réparation"/>
    <x v="385"/>
    <x v="173"/>
    <x v="18"/>
    <n v="1"/>
    <n v="10"/>
    <n v="2019"/>
    <x v="0"/>
  </r>
  <r>
    <x v="172"/>
    <n v="572"/>
    <x v="7"/>
    <x v="32"/>
    <m/>
    <m/>
    <x v="141"/>
    <x v="244"/>
    <s v="Dépannage"/>
    <x v="386"/>
    <x v="173"/>
    <x v="85"/>
    <n v="3"/>
    <n v="10"/>
    <n v="2019"/>
    <x v="0"/>
  </r>
  <r>
    <x v="172"/>
    <n v="590"/>
    <x v="0"/>
    <x v="20"/>
    <m/>
    <m/>
    <x v="142"/>
    <x v="245"/>
    <s v="Changement"/>
    <x v="387"/>
    <x v="173"/>
    <x v="18"/>
    <n v="45"/>
    <n v="10"/>
    <n v="2019"/>
    <x v="0"/>
  </r>
  <r>
    <x v="172"/>
    <n v="590"/>
    <x v="0"/>
    <x v="20"/>
    <m/>
    <m/>
    <x v="139"/>
    <x v="130"/>
    <s v="Changement"/>
    <x v="388"/>
    <x v="173"/>
    <x v="18"/>
    <n v="45"/>
    <n v="10"/>
    <n v="2019"/>
    <x v="0"/>
  </r>
  <r>
    <x v="172"/>
    <n v="580"/>
    <x v="0"/>
    <x v="11"/>
    <m/>
    <m/>
    <x v="32"/>
    <x v="246"/>
    <s v="Dépannage"/>
    <x v="374"/>
    <x v="173"/>
    <x v="18"/>
    <n v="45"/>
    <n v="10"/>
    <n v="2019"/>
    <x v="0"/>
  </r>
  <r>
    <x v="172"/>
    <n v="604"/>
    <x v="0"/>
    <x v="22"/>
    <m/>
    <m/>
    <x v="17"/>
    <x v="247"/>
    <s v="Changement"/>
    <x v="389"/>
    <x v="173"/>
    <x v="18"/>
    <m/>
    <n v="10"/>
    <n v="2019"/>
    <x v="0"/>
  </r>
  <r>
    <x v="172"/>
    <n v="584"/>
    <x v="4"/>
    <x v="24"/>
    <m/>
    <m/>
    <x v="143"/>
    <x v="248"/>
    <s v="Réparation"/>
    <x v="229"/>
    <x v="173"/>
    <x v="18"/>
    <n v="2"/>
    <n v="10"/>
    <n v="2019"/>
    <x v="0"/>
  </r>
  <r>
    <x v="172"/>
    <n v="700"/>
    <x v="1"/>
    <x v="3"/>
    <m/>
    <m/>
    <x v="129"/>
    <x v="249"/>
    <s v="Réparation"/>
    <x v="390"/>
    <x v="173"/>
    <x v="18"/>
    <m/>
    <n v="10"/>
    <n v="2019"/>
    <x v="0"/>
  </r>
  <r>
    <x v="173"/>
    <n v="565"/>
    <x v="0"/>
    <x v="4"/>
    <m/>
    <m/>
    <x v="57"/>
    <x v="250"/>
    <s v="Réparation"/>
    <x v="391"/>
    <x v="175"/>
    <x v="18"/>
    <n v="40"/>
    <n v="10"/>
    <n v="2019"/>
    <x v="0"/>
  </r>
  <r>
    <x v="173"/>
    <n v="580"/>
    <x v="0"/>
    <x v="11"/>
    <m/>
    <m/>
    <x v="144"/>
    <x v="251"/>
    <s v="Réparation"/>
    <x v="317"/>
    <x v="175"/>
    <x v="18"/>
    <n v="4"/>
    <n v="10"/>
    <n v="2019"/>
    <x v="0"/>
  </r>
  <r>
    <x v="173"/>
    <n v="604"/>
    <x v="0"/>
    <x v="22"/>
    <m/>
    <m/>
    <x v="130"/>
    <x v="252"/>
    <s v="Changement"/>
    <x v="392"/>
    <x v="175"/>
    <x v="18"/>
    <m/>
    <n v="10"/>
    <n v="2019"/>
    <x v="0"/>
  </r>
  <r>
    <x v="173"/>
    <n v="605"/>
    <x v="0"/>
    <x v="13"/>
    <m/>
    <m/>
    <x v="17"/>
    <x v="236"/>
    <s v="Changement"/>
    <x v="378"/>
    <x v="175"/>
    <x v="18"/>
    <m/>
    <n v="10"/>
    <n v="2019"/>
    <x v="0"/>
  </r>
  <r>
    <x v="173"/>
    <n v="800"/>
    <x v="1"/>
    <x v="2"/>
    <m/>
    <m/>
    <x v="145"/>
    <x v="249"/>
    <s v="Réparation"/>
    <x v="390"/>
    <x v="175"/>
    <x v="18"/>
    <m/>
    <n v="10"/>
    <n v="2019"/>
    <x v="0"/>
  </r>
  <r>
    <x v="174"/>
    <n v="565"/>
    <x v="0"/>
    <x v="4"/>
    <m/>
    <m/>
    <x v="146"/>
    <x v="253"/>
    <s v="Réparation"/>
    <x v="393"/>
    <x v="176"/>
    <x v="18"/>
    <m/>
    <n v="10"/>
    <n v="2019"/>
    <x v="0"/>
  </r>
  <r>
    <x v="174"/>
    <n v="533"/>
    <x v="2"/>
    <x v="5"/>
    <m/>
    <m/>
    <x v="147"/>
    <x v="254"/>
    <s v="Réparation"/>
    <x v="394"/>
    <x v="176"/>
    <x v="18"/>
    <m/>
    <n v="10"/>
    <n v="2019"/>
    <x v="0"/>
  </r>
  <r>
    <x v="174"/>
    <n v="565"/>
    <x v="0"/>
    <x v="4"/>
    <m/>
    <m/>
    <x v="12"/>
    <x v="254"/>
    <s v="Réparation"/>
    <x v="395"/>
    <x v="176"/>
    <x v="18"/>
    <m/>
    <n v="10"/>
    <n v="2019"/>
    <x v="0"/>
  </r>
  <r>
    <x v="174"/>
    <n v="583"/>
    <x v="4"/>
    <x v="21"/>
    <m/>
    <m/>
    <x v="127"/>
    <x v="248"/>
    <s v="Changement"/>
    <x v="396"/>
    <x v="176"/>
    <x v="18"/>
    <n v="40"/>
    <n v="10"/>
    <n v="2019"/>
    <x v="0"/>
  </r>
  <r>
    <x v="174"/>
    <n v="700"/>
    <x v="1"/>
    <x v="3"/>
    <m/>
    <m/>
    <x v="148"/>
    <x v="255"/>
    <s v="Changement"/>
    <x v="397"/>
    <x v="176"/>
    <x v="18"/>
    <n v="40"/>
    <n v="10"/>
    <n v="2019"/>
    <x v="0"/>
  </r>
  <r>
    <x v="174"/>
    <n v="800"/>
    <x v="1"/>
    <x v="2"/>
    <m/>
    <m/>
    <x v="49"/>
    <x v="256"/>
    <s v="Changement"/>
    <x v="398"/>
    <x v="176"/>
    <x v="18"/>
    <n v="2"/>
    <n v="10"/>
    <n v="2019"/>
    <x v="0"/>
  </r>
  <r>
    <x v="175"/>
    <n v="582"/>
    <x v="0"/>
    <x v="1"/>
    <m/>
    <m/>
    <x v="149"/>
    <x v="257"/>
    <s v="Réparation"/>
    <x v="399"/>
    <x v="177"/>
    <x v="18"/>
    <m/>
    <n v="10"/>
    <n v="2019"/>
    <x v="0"/>
  </r>
  <r>
    <x v="175"/>
    <n v="800"/>
    <x v="1"/>
    <x v="2"/>
    <m/>
    <m/>
    <x v="51"/>
    <x v="258"/>
    <s v="Réparation"/>
    <x v="400"/>
    <x v="177"/>
    <x v="18"/>
    <s v="1j7"/>
    <n v="10"/>
    <n v="2019"/>
    <x v="0"/>
  </r>
  <r>
    <x v="176"/>
    <n v="700"/>
    <x v="1"/>
    <x v="3"/>
    <m/>
    <m/>
    <x v="48"/>
    <x v="259"/>
    <s v="Changement"/>
    <x v="304"/>
    <x v="178"/>
    <x v="18"/>
    <n v="30"/>
    <n v="11"/>
    <n v="2019"/>
    <x v="0"/>
  </r>
  <r>
    <x v="176"/>
    <n v="800"/>
    <x v="1"/>
    <x v="2"/>
    <m/>
    <m/>
    <x v="24"/>
    <x v="260"/>
    <s v="Réparation"/>
    <x v="401"/>
    <x v="154"/>
    <x v="18"/>
    <n v="2"/>
    <n v="10"/>
    <n v="2019"/>
    <x v="0"/>
  </r>
  <r>
    <x v="176"/>
    <n v="582"/>
    <x v="0"/>
    <x v="1"/>
    <m/>
    <m/>
    <x v="34"/>
    <x v="261"/>
    <s v="Réparation"/>
    <x v="402"/>
    <x v="178"/>
    <x v="18"/>
    <n v="30"/>
    <n v="11"/>
    <n v="2019"/>
    <x v="0"/>
  </r>
  <r>
    <x v="177"/>
    <n v="800"/>
    <x v="1"/>
    <x v="2"/>
    <m/>
    <m/>
    <x v="150"/>
    <x v="133"/>
    <s v="Changement"/>
    <x v="403"/>
    <x v="179"/>
    <x v="18"/>
    <n v="30"/>
    <n v="11"/>
    <n v="2019"/>
    <x v="0"/>
  </r>
  <r>
    <x v="177"/>
    <n v="570"/>
    <x v="0"/>
    <x v="16"/>
    <m/>
    <m/>
    <x v="32"/>
    <x v="262"/>
    <s v="Réparation"/>
    <x v="404"/>
    <x v="179"/>
    <x v="18"/>
    <n v="30"/>
    <n v="11"/>
    <n v="2019"/>
    <x v="0"/>
  </r>
  <r>
    <x v="177"/>
    <n v="590"/>
    <x v="0"/>
    <x v="20"/>
    <m/>
    <m/>
    <x v="9"/>
    <x v="263"/>
    <s v="Réparation"/>
    <x v="405"/>
    <x v="179"/>
    <x v="18"/>
    <n v="1"/>
    <n v="11"/>
    <n v="2019"/>
    <x v="0"/>
  </r>
  <r>
    <x v="177"/>
    <n v="582"/>
    <x v="0"/>
    <x v="1"/>
    <m/>
    <m/>
    <x v="151"/>
    <x v="264"/>
    <s v="Réparation"/>
    <x v="406"/>
    <x v="179"/>
    <x v="18"/>
    <m/>
    <n v="11"/>
    <n v="2019"/>
    <x v="0"/>
  </r>
  <r>
    <x v="178"/>
    <n v="800"/>
    <x v="1"/>
    <x v="2"/>
    <m/>
    <m/>
    <x v="152"/>
    <x v="265"/>
    <s v="Réparation"/>
    <x v="407"/>
    <x v="180"/>
    <x v="18"/>
    <n v="40"/>
    <n v="11"/>
    <n v="2019"/>
    <x v="0"/>
  </r>
  <r>
    <x v="178"/>
    <n v="582"/>
    <x v="0"/>
    <x v="1"/>
    <m/>
    <m/>
    <x v="153"/>
    <x v="11"/>
    <s v="Réparation"/>
    <x v="156"/>
    <x v="180"/>
    <x v="18"/>
    <n v="1"/>
    <n v="11"/>
    <n v="2019"/>
    <x v="0"/>
  </r>
  <r>
    <x v="178"/>
    <n v="590"/>
    <x v="0"/>
    <x v="20"/>
    <m/>
    <m/>
    <x v="154"/>
    <x v="266"/>
    <s v="Réparation"/>
    <x v="408"/>
    <x v="180"/>
    <x v="18"/>
    <n v="3"/>
    <n v="11"/>
    <n v="2019"/>
    <x v="0"/>
  </r>
  <r>
    <x v="179"/>
    <n v="700"/>
    <x v="1"/>
    <x v="3"/>
    <m/>
    <m/>
    <x v="48"/>
    <x v="267"/>
    <s v="Changement"/>
    <x v="220"/>
    <x v="181"/>
    <x v="18"/>
    <n v="30"/>
    <n v="11"/>
    <n v="2019"/>
    <x v="0"/>
  </r>
  <r>
    <x v="180"/>
    <n v="800"/>
    <x v="1"/>
    <x v="2"/>
    <m/>
    <m/>
    <x v="13"/>
    <x v="268"/>
    <s v="Réparation"/>
    <x v="409"/>
    <x v="182"/>
    <x v="18"/>
    <n v="40"/>
    <n v="11"/>
    <n v="2019"/>
    <x v="0"/>
  </r>
  <r>
    <x v="181"/>
    <n v="800"/>
    <x v="1"/>
    <x v="2"/>
    <m/>
    <m/>
    <x v="24"/>
    <x v="269"/>
    <s v="Changement"/>
    <x v="410"/>
    <x v="183"/>
    <x v="18"/>
    <m/>
    <n v="11"/>
    <n v="2019"/>
    <x v="0"/>
  </r>
  <r>
    <x v="181"/>
    <n v="800"/>
    <x v="1"/>
    <x v="2"/>
    <m/>
    <m/>
    <x v="129"/>
    <x v="270"/>
    <s v="Réparation"/>
    <x v="411"/>
    <x v="183"/>
    <x v="18"/>
    <n v="30"/>
    <n v="11"/>
    <n v="2019"/>
    <x v="0"/>
  </r>
  <r>
    <x v="181"/>
    <n v="800"/>
    <x v="1"/>
    <x v="2"/>
    <m/>
    <m/>
    <x v="152"/>
    <x v="271"/>
    <s v="Réparation"/>
    <x v="362"/>
    <x v="183"/>
    <x v="18"/>
    <n v="2"/>
    <n v="11"/>
    <n v="2019"/>
    <x v="0"/>
  </r>
  <r>
    <x v="181"/>
    <n v="700"/>
    <x v="1"/>
    <x v="3"/>
    <m/>
    <m/>
    <x v="152"/>
    <x v="272"/>
    <s v="Réparation"/>
    <x v="412"/>
    <x v="184"/>
    <x v="18"/>
    <n v="5"/>
    <n v="11"/>
    <n v="2019"/>
    <x v="0"/>
  </r>
  <r>
    <x v="181"/>
    <n v="582"/>
    <x v="0"/>
    <x v="1"/>
    <m/>
    <m/>
    <x v="155"/>
    <x v="273"/>
    <s v="Réparation"/>
    <x v="413"/>
    <x v="183"/>
    <x v="18"/>
    <n v="6"/>
    <n v="11"/>
    <n v="2019"/>
    <x v="0"/>
  </r>
  <r>
    <x v="181"/>
    <n v="582"/>
    <x v="0"/>
    <x v="1"/>
    <m/>
    <m/>
    <x v="9"/>
    <x v="116"/>
    <s v="Réparation"/>
    <x v="414"/>
    <x v="183"/>
    <x v="18"/>
    <m/>
    <n v="11"/>
    <n v="2019"/>
    <x v="0"/>
  </r>
  <r>
    <x v="182"/>
    <n v="604"/>
    <x v="0"/>
    <x v="22"/>
    <m/>
    <m/>
    <x v="0"/>
    <x v="220"/>
    <s v="Réparation"/>
    <x v="415"/>
    <x v="185"/>
    <x v="18"/>
    <n v="3"/>
    <n v="11"/>
    <n v="2019"/>
    <x v="0"/>
  </r>
  <r>
    <x v="182"/>
    <n v="560"/>
    <x v="0"/>
    <x v="0"/>
    <m/>
    <m/>
    <x v="22"/>
    <x v="274"/>
    <s v="Réparation"/>
    <x v="416"/>
    <x v="185"/>
    <x v="18"/>
    <n v="30"/>
    <n v="11"/>
    <n v="2019"/>
    <x v="0"/>
  </r>
  <r>
    <x v="182"/>
    <n v="590"/>
    <x v="0"/>
    <x v="20"/>
    <m/>
    <m/>
    <x v="90"/>
    <x v="11"/>
    <s v="Réparation"/>
    <x v="417"/>
    <x v="185"/>
    <x v="18"/>
    <n v="1"/>
    <n v="11"/>
    <n v="2019"/>
    <x v="0"/>
  </r>
  <r>
    <x v="183"/>
    <n v="606"/>
    <x v="0"/>
    <x v="17"/>
    <m/>
    <m/>
    <x v="0"/>
    <x v="275"/>
    <s v="Réparation"/>
    <x v="418"/>
    <x v="186"/>
    <x v="18"/>
    <m/>
    <n v="11"/>
    <n v="2019"/>
    <x v="0"/>
  </r>
  <r>
    <x v="184"/>
    <n v="700"/>
    <x v="1"/>
    <x v="3"/>
    <m/>
    <m/>
    <x v="48"/>
    <x v="276"/>
    <s v="Réglage"/>
    <x v="419"/>
    <x v="187"/>
    <x v="18"/>
    <n v="30"/>
    <n v="11"/>
    <n v="2019"/>
    <x v="0"/>
  </r>
  <r>
    <x v="185"/>
    <n v="582"/>
    <x v="0"/>
    <x v="1"/>
    <m/>
    <m/>
    <x v="156"/>
    <x v="181"/>
    <s v="Réparation"/>
    <x v="156"/>
    <x v="184"/>
    <x v="18"/>
    <n v="2"/>
    <n v="11"/>
    <n v="2019"/>
    <x v="0"/>
  </r>
  <r>
    <x v="186"/>
    <n v="603"/>
    <x v="0"/>
    <x v="19"/>
    <m/>
    <m/>
    <x v="157"/>
    <x v="277"/>
    <s v="Réparation"/>
    <x v="420"/>
    <x v="188"/>
    <x v="18"/>
    <n v="1"/>
    <n v="11"/>
    <n v="2019"/>
    <x v="0"/>
  </r>
  <r>
    <x v="187"/>
    <n v="700"/>
    <x v="1"/>
    <x v="3"/>
    <m/>
    <m/>
    <x v="54"/>
    <x v="278"/>
    <s v="Réparation"/>
    <x v="421"/>
    <x v="189"/>
    <x v="18"/>
    <m/>
    <n v="11"/>
    <n v="2019"/>
    <x v="0"/>
  </r>
  <r>
    <x v="187"/>
    <n v="700"/>
    <x v="1"/>
    <x v="3"/>
    <m/>
    <m/>
    <x v="114"/>
    <x v="279"/>
    <s v="Réparation"/>
    <x v="422"/>
    <x v="189"/>
    <x v="18"/>
    <m/>
    <n v="11"/>
    <n v="2019"/>
    <x v="0"/>
  </r>
  <r>
    <x v="188"/>
    <n v="700"/>
    <x v="1"/>
    <x v="3"/>
    <m/>
    <m/>
    <x v="51"/>
    <x v="280"/>
    <s v="Réparation"/>
    <x v="423"/>
    <x v="190"/>
    <x v="18"/>
    <m/>
    <n v="11"/>
    <n v="2019"/>
    <x v="0"/>
  </r>
  <r>
    <x v="189"/>
    <n v="590"/>
    <x v="0"/>
    <x v="20"/>
    <m/>
    <m/>
    <x v="45"/>
    <x v="217"/>
    <s v="Réparation"/>
    <x v="424"/>
    <x v="191"/>
    <x v="18"/>
    <n v="1"/>
    <n v="11"/>
    <n v="2019"/>
    <x v="0"/>
  </r>
  <r>
    <x v="190"/>
    <n v="571"/>
    <x v="0"/>
    <x v="7"/>
    <m/>
    <m/>
    <x v="0"/>
    <x v="86"/>
    <s v="Réparation"/>
    <x v="234"/>
    <x v="192"/>
    <x v="18"/>
    <m/>
    <n v="11"/>
    <n v="2019"/>
    <x v="0"/>
  </r>
  <r>
    <x v="190"/>
    <n v="590"/>
    <x v="0"/>
    <x v="20"/>
    <m/>
    <m/>
    <x v="9"/>
    <x v="281"/>
    <s v="Réparation"/>
    <x v="425"/>
    <x v="192"/>
    <x v="18"/>
    <n v="45"/>
    <n v="11"/>
    <n v="2019"/>
    <x v="0"/>
  </r>
  <r>
    <x v="190"/>
    <n v="590"/>
    <x v="0"/>
    <x v="20"/>
    <m/>
    <m/>
    <x v="45"/>
    <x v="227"/>
    <s v="Réparation"/>
    <x v="233"/>
    <x v="192"/>
    <x v="18"/>
    <n v="3"/>
    <n v="11"/>
    <n v="2019"/>
    <x v="0"/>
  </r>
  <r>
    <x v="191"/>
    <n v="582"/>
    <x v="0"/>
    <x v="1"/>
    <m/>
    <m/>
    <x v="9"/>
    <x v="282"/>
    <s v="Réparation"/>
    <x v="426"/>
    <x v="193"/>
    <x v="18"/>
    <n v="30"/>
    <n v="11"/>
    <n v="2019"/>
    <x v="0"/>
  </r>
  <r>
    <x v="191"/>
    <n v="582"/>
    <x v="0"/>
    <x v="1"/>
    <m/>
    <m/>
    <x v="34"/>
    <x v="76"/>
    <s v="Réparation"/>
    <x v="427"/>
    <x v="193"/>
    <x v="18"/>
    <n v="30"/>
    <n v="11"/>
    <n v="2019"/>
    <x v="0"/>
  </r>
  <r>
    <x v="191"/>
    <n v="561"/>
    <x v="4"/>
    <x v="18"/>
    <m/>
    <m/>
    <x v="10"/>
    <x v="22"/>
    <s v="Réparation"/>
    <x v="428"/>
    <x v="193"/>
    <x v="18"/>
    <n v="3"/>
    <n v="11"/>
    <n v="2019"/>
    <x v="0"/>
  </r>
  <r>
    <x v="191"/>
    <n v="560"/>
    <x v="0"/>
    <x v="0"/>
    <m/>
    <m/>
    <x v="113"/>
    <x v="283"/>
    <s v="Réparation"/>
    <x v="429"/>
    <x v="193"/>
    <x v="18"/>
    <m/>
    <n v="11"/>
    <n v="2019"/>
    <x v="0"/>
  </r>
  <r>
    <x v="192"/>
    <n v="700"/>
    <x v="1"/>
    <x v="3"/>
    <m/>
    <m/>
    <x v="51"/>
    <x v="284"/>
    <s v="Réparation"/>
    <x v="231"/>
    <x v="194"/>
    <x v="86"/>
    <m/>
    <n v="11"/>
    <n v="2019"/>
    <x v="0"/>
  </r>
  <r>
    <x v="193"/>
    <n v="574"/>
    <x v="4"/>
    <x v="29"/>
    <m/>
    <m/>
    <x v="95"/>
    <x v="285"/>
    <s v="Réparation"/>
    <x v="430"/>
    <x v="195"/>
    <x v="18"/>
    <n v="3"/>
    <n v="11"/>
    <n v="2019"/>
    <x v="0"/>
  </r>
  <r>
    <x v="193"/>
    <n v="590"/>
    <x v="0"/>
    <x v="20"/>
    <m/>
    <m/>
    <x v="45"/>
    <x v="35"/>
    <s v="Réparation"/>
    <x v="353"/>
    <x v="196"/>
    <x v="18"/>
    <n v="30"/>
    <n v="11"/>
    <n v="2019"/>
    <x v="0"/>
  </r>
  <r>
    <x v="193"/>
    <n v="565"/>
    <x v="0"/>
    <x v="4"/>
    <m/>
    <m/>
    <x v="125"/>
    <x v="286"/>
    <s v="Réparation"/>
    <x v="431"/>
    <x v="196"/>
    <x v="18"/>
    <n v="45"/>
    <n v="11"/>
    <n v="2019"/>
    <x v="0"/>
  </r>
  <r>
    <x v="194"/>
    <n v="571"/>
    <x v="0"/>
    <x v="7"/>
    <m/>
    <m/>
    <x v="158"/>
    <x v="76"/>
    <s v="Réparation"/>
    <x v="432"/>
    <x v="195"/>
    <x v="18"/>
    <n v="2"/>
    <n v="11"/>
    <n v="2019"/>
    <x v="0"/>
  </r>
  <r>
    <x v="194"/>
    <n v="700"/>
    <x v="1"/>
    <x v="3"/>
    <m/>
    <m/>
    <x v="2"/>
    <x v="287"/>
    <s v="Réparation"/>
    <x v="433"/>
    <x v="197"/>
    <x v="18"/>
    <s v="=SI(ESTVIDE([@[Date"/>
    <n v="11"/>
    <n v="2019"/>
    <x v="0"/>
  </r>
  <r>
    <x v="195"/>
    <n v="610"/>
    <x v="0"/>
    <x v="28"/>
    <m/>
    <m/>
    <x v="97"/>
    <x v="288"/>
    <s v="Réparation"/>
    <x v="434"/>
    <x v="197"/>
    <x v="18"/>
    <n v="45"/>
    <n v="11"/>
    <n v="2019"/>
    <x v="0"/>
  </r>
  <r>
    <x v="195"/>
    <n v="800"/>
    <x v="1"/>
    <x v="2"/>
    <m/>
    <m/>
    <x v="51"/>
    <x v="289"/>
    <s v="Réparation"/>
    <x v="435"/>
    <x v="198"/>
    <x v="87"/>
    <s v="=SI(ESTVIDE([@[Date"/>
    <n v="12"/>
    <n v="2019"/>
    <x v="0"/>
  </r>
  <r>
    <x v="195"/>
    <s v="G.S"/>
    <x v="3"/>
    <x v="33"/>
    <m/>
    <m/>
    <x v="159"/>
    <x v="22"/>
    <s v="Réparation"/>
    <x v="436"/>
    <x v="199"/>
    <x v="88"/>
    <s v="=SI(ESTVIDE([@[Date"/>
    <n v="12"/>
    <n v="2019"/>
    <x v="0"/>
  </r>
  <r>
    <x v="196"/>
    <n v="700"/>
    <x v="1"/>
    <x v="3"/>
    <m/>
    <m/>
    <x v="2"/>
    <x v="290"/>
    <s v="Réparation"/>
    <x v="437"/>
    <x v="200"/>
    <x v="89"/>
    <s v="=SI(ESTVIDE([@[Date"/>
    <n v="12"/>
    <n v="2019"/>
    <x v="0"/>
  </r>
  <r>
    <x v="197"/>
    <n v="580"/>
    <x v="0"/>
    <x v="11"/>
    <m/>
    <m/>
    <x v="2"/>
    <x v="112"/>
    <s v="Réglage"/>
    <x v="438"/>
    <x v="201"/>
    <x v="18"/>
    <m/>
    <n v="11"/>
    <n v="2019"/>
    <x v="0"/>
  </r>
  <r>
    <x v="197"/>
    <n v="570"/>
    <x v="0"/>
    <x v="16"/>
    <m/>
    <m/>
    <x v="22"/>
    <x v="291"/>
    <s v="Réparation"/>
    <x v="439"/>
    <x v="200"/>
    <x v="90"/>
    <n v="40"/>
    <n v="12"/>
    <n v="2019"/>
    <x v="0"/>
  </r>
  <r>
    <x v="197"/>
    <n v="560"/>
    <x v="0"/>
    <x v="0"/>
    <m/>
    <m/>
    <x v="66"/>
    <x v="292"/>
    <s v="Réparation"/>
    <x v="440"/>
    <x v="200"/>
    <x v="91"/>
    <s v="=SI(ESTVIDE([@[Date"/>
    <n v="12"/>
    <n v="2019"/>
    <x v="0"/>
  </r>
  <r>
    <x v="197"/>
    <n v="571"/>
    <x v="0"/>
    <x v="7"/>
    <m/>
    <m/>
    <x v="54"/>
    <x v="293"/>
    <s v="Réparation"/>
    <x v="441"/>
    <x v="201"/>
    <x v="18"/>
    <n v="30"/>
    <n v="11"/>
    <n v="2019"/>
    <x v="0"/>
  </r>
  <r>
    <x v="198"/>
    <n v="565"/>
    <x v="0"/>
    <x v="4"/>
    <m/>
    <m/>
    <x v="107"/>
    <x v="294"/>
    <s v="Réparation"/>
    <x v="442"/>
    <x v="202"/>
    <x v="18"/>
    <m/>
    <n v="11"/>
    <n v="2019"/>
    <x v="0"/>
  </r>
  <r>
    <x v="198"/>
    <n v="565"/>
    <x v="0"/>
    <x v="4"/>
    <m/>
    <m/>
    <x v="160"/>
    <x v="295"/>
    <s v="Réparation"/>
    <x v="443"/>
    <x v="202"/>
    <x v="18"/>
    <n v="1"/>
    <n v="11"/>
    <n v="2019"/>
    <x v="0"/>
  </r>
  <r>
    <x v="198"/>
    <n v="800"/>
    <x v="1"/>
    <x v="2"/>
    <m/>
    <m/>
    <x v="161"/>
    <x v="296"/>
    <s v="Réparation"/>
    <x v="444"/>
    <x v="203"/>
    <x v="92"/>
    <n v="1"/>
    <n v="12"/>
    <n v="2019"/>
    <x v="0"/>
  </r>
  <r>
    <x v="198"/>
    <n v="700"/>
    <x v="1"/>
    <x v="3"/>
    <m/>
    <m/>
    <x v="27"/>
    <x v="297"/>
    <s v="Réparation"/>
    <x v="445"/>
    <x v="202"/>
    <x v="18"/>
    <m/>
    <n v="11"/>
    <n v="2019"/>
    <x v="0"/>
  </r>
  <r>
    <x v="199"/>
    <n v="800"/>
    <x v="1"/>
    <x v="2"/>
    <m/>
    <m/>
    <x v="162"/>
    <x v="298"/>
    <s v="Réparation"/>
    <x v="446"/>
    <x v="204"/>
    <x v="18"/>
    <n v="30"/>
    <n v="11"/>
    <n v="2019"/>
    <x v="0"/>
  </r>
  <r>
    <x v="199"/>
    <n v="560"/>
    <x v="0"/>
    <x v="0"/>
    <m/>
    <m/>
    <x v="163"/>
    <x v="299"/>
    <s v="Réparation"/>
    <x v="447"/>
    <x v="200"/>
    <x v="18"/>
    <m/>
    <n v="12"/>
    <n v="2019"/>
    <x v="0"/>
  </r>
  <r>
    <x v="199"/>
    <n v="606"/>
    <x v="0"/>
    <x v="17"/>
    <m/>
    <m/>
    <x v="0"/>
    <x v="300"/>
    <s v="Réparation"/>
    <x v="105"/>
    <x v="200"/>
    <x v="18"/>
    <m/>
    <n v="12"/>
    <n v="2019"/>
    <x v="0"/>
  </r>
  <r>
    <x v="200"/>
    <n v="582"/>
    <x v="0"/>
    <x v="1"/>
    <m/>
    <m/>
    <x v="164"/>
    <x v="145"/>
    <s v="Réparation"/>
    <x v="448"/>
    <x v="205"/>
    <x v="18"/>
    <n v="4"/>
    <n v="12"/>
    <n v="2019"/>
    <x v="0"/>
  </r>
  <r>
    <x v="201"/>
    <n v="573"/>
    <x v="4"/>
    <x v="23"/>
    <m/>
    <m/>
    <x v="165"/>
    <x v="10"/>
    <s v="Réparation"/>
    <x v="300"/>
    <x v="203"/>
    <x v="18"/>
    <n v="6"/>
    <n v="12"/>
    <n v="2019"/>
    <x v="0"/>
  </r>
  <r>
    <x v="201"/>
    <n v="605"/>
    <x v="0"/>
    <x v="13"/>
    <m/>
    <m/>
    <x v="0"/>
    <x v="301"/>
    <s v="Réparation"/>
    <x v="449"/>
    <x v="203"/>
    <x v="18"/>
    <n v="2"/>
    <n v="12"/>
    <n v="2019"/>
    <x v="0"/>
  </r>
  <r>
    <x v="201"/>
    <n v="580"/>
    <x v="0"/>
    <x v="11"/>
    <m/>
    <m/>
    <x v="87"/>
    <x v="145"/>
    <s v="Réparation"/>
    <x v="448"/>
    <x v="203"/>
    <x v="18"/>
    <n v="2"/>
    <n v="12"/>
    <n v="2019"/>
    <x v="0"/>
  </r>
  <r>
    <x v="202"/>
    <n v="700"/>
    <x v="1"/>
    <x v="3"/>
    <m/>
    <m/>
    <x v="166"/>
    <x v="189"/>
    <s v="Réparation"/>
    <x v="450"/>
    <x v="206"/>
    <x v="18"/>
    <m/>
    <n v="12"/>
    <n v="2019"/>
    <x v="0"/>
  </r>
  <r>
    <x v="202"/>
    <n v="700"/>
    <x v="1"/>
    <x v="3"/>
    <m/>
    <m/>
    <x v="51"/>
    <x v="302"/>
    <s v="Réparation"/>
    <x v="342"/>
    <x v="207"/>
    <x v="18"/>
    <n v="1"/>
    <n v="12"/>
    <n v="2019"/>
    <x v="0"/>
  </r>
  <r>
    <x v="202"/>
    <n v="560"/>
    <x v="0"/>
    <x v="0"/>
    <m/>
    <m/>
    <x v="3"/>
    <x v="303"/>
    <s v="Réparation"/>
    <x v="451"/>
    <x v="206"/>
    <x v="18"/>
    <m/>
    <n v="12"/>
    <n v="2019"/>
    <x v="0"/>
  </r>
  <r>
    <x v="202"/>
    <n v="560"/>
    <x v="0"/>
    <x v="0"/>
    <m/>
    <m/>
    <x v="66"/>
    <x v="304"/>
    <s v="Réparation"/>
    <x v="452"/>
    <x v="206"/>
    <x v="18"/>
    <n v="30"/>
    <n v="12"/>
    <n v="2019"/>
    <x v="0"/>
  </r>
  <r>
    <x v="202"/>
    <n v="700"/>
    <x v="1"/>
    <x v="3"/>
    <m/>
    <m/>
    <x v="2"/>
    <x v="305"/>
    <s v="Réparation"/>
    <x v="453"/>
    <x v="208"/>
    <x v="93"/>
    <s v="=SI(ESTVIDE([@[Date"/>
    <n v="12"/>
    <n v="2019"/>
    <x v="0"/>
  </r>
  <r>
    <x v="203"/>
    <n v="584"/>
    <x v="4"/>
    <x v="24"/>
    <m/>
    <m/>
    <x v="10"/>
    <x v="191"/>
    <s v="Réparation"/>
    <x v="454"/>
    <x v="198"/>
    <x v="18"/>
    <n v="30"/>
    <n v="12"/>
    <n v="2019"/>
    <x v="0"/>
  </r>
  <r>
    <x v="203"/>
    <n v="590"/>
    <x v="0"/>
    <x v="20"/>
    <m/>
    <m/>
    <x v="167"/>
    <x v="227"/>
    <s v="Réparation"/>
    <x v="455"/>
    <x v="198"/>
    <x v="18"/>
    <m/>
    <n v="12"/>
    <n v="2019"/>
    <x v="0"/>
  </r>
  <r>
    <x v="203"/>
    <n v="800"/>
    <x v="1"/>
    <x v="2"/>
    <m/>
    <m/>
    <x v="24"/>
    <x v="306"/>
    <s v="Réparation"/>
    <x v="456"/>
    <x v="198"/>
    <x v="18"/>
    <n v="4"/>
    <n v="12"/>
    <n v="2019"/>
    <x v="0"/>
  </r>
  <r>
    <x v="204"/>
    <n v="583"/>
    <x v="4"/>
    <x v="21"/>
    <m/>
    <m/>
    <x v="6"/>
    <x v="207"/>
    <s v="Réparation"/>
    <x v="342"/>
    <x v="208"/>
    <x v="18"/>
    <n v="2"/>
    <n v="12"/>
    <n v="2019"/>
    <x v="0"/>
  </r>
  <r>
    <x v="204"/>
    <n v="560"/>
    <x v="0"/>
    <x v="0"/>
    <m/>
    <m/>
    <x v="22"/>
    <x v="16"/>
    <s v="Réparation"/>
    <x v="457"/>
    <x v="208"/>
    <x v="18"/>
    <n v="40"/>
    <n v="12"/>
    <n v="2019"/>
    <x v="0"/>
  </r>
  <r>
    <x v="205"/>
    <n v="590"/>
    <x v="0"/>
    <x v="20"/>
    <m/>
    <m/>
    <x v="168"/>
    <x v="307"/>
    <s v="Réparation"/>
    <x v="458"/>
    <x v="207"/>
    <x v="18"/>
    <n v="2"/>
    <n v="12"/>
    <n v="2019"/>
    <x v="0"/>
  </r>
  <r>
    <x v="205"/>
    <n v="582"/>
    <x v="0"/>
    <x v="1"/>
    <m/>
    <m/>
    <x v="169"/>
    <x v="308"/>
    <s v="Réparation"/>
    <x v="305"/>
    <x v="207"/>
    <x v="18"/>
    <n v="1"/>
    <n v="12"/>
    <n v="2019"/>
    <x v="0"/>
  </r>
  <r>
    <x v="206"/>
    <n v="800"/>
    <x v="1"/>
    <x v="2"/>
    <m/>
    <m/>
    <x v="49"/>
    <x v="181"/>
    <s v="Réparation"/>
    <x v="242"/>
    <x v="209"/>
    <x v="18"/>
    <n v="40"/>
    <n v="12"/>
    <n v="2019"/>
    <x v="0"/>
  </r>
  <r>
    <x v="206"/>
    <n v="800"/>
    <x v="1"/>
    <x v="2"/>
    <m/>
    <m/>
    <x v="27"/>
    <x v="309"/>
    <s v="Réparation"/>
    <x v="459"/>
    <x v="209"/>
    <x v="18"/>
    <n v="30"/>
    <n v="12"/>
    <n v="2019"/>
    <x v="0"/>
  </r>
  <r>
    <x v="206"/>
    <n v="590"/>
    <x v="0"/>
    <x v="20"/>
    <m/>
    <m/>
    <x v="65"/>
    <x v="195"/>
    <s v="Réparation"/>
    <x v="460"/>
    <x v="209"/>
    <x v="18"/>
    <m/>
    <n v="12"/>
    <n v="2019"/>
    <x v="0"/>
  </r>
  <r>
    <x v="206"/>
    <n v="606"/>
    <x v="0"/>
    <x v="17"/>
    <m/>
    <m/>
    <x v="149"/>
    <x v="310"/>
    <s v="Réparation"/>
    <x v="461"/>
    <x v="209"/>
    <x v="18"/>
    <n v="2"/>
    <n v="12"/>
    <n v="2019"/>
    <x v="0"/>
  </r>
  <r>
    <x v="207"/>
    <n v="800"/>
    <x v="1"/>
    <x v="2"/>
    <m/>
    <m/>
    <x v="37"/>
    <x v="311"/>
    <s v="Réparation"/>
    <x v="256"/>
    <x v="210"/>
    <x v="94"/>
    <n v="3"/>
    <n v="12"/>
    <n v="2019"/>
    <x v="0"/>
  </r>
  <r>
    <x v="207"/>
    <n v="590"/>
    <x v="0"/>
    <x v="20"/>
    <m/>
    <m/>
    <x v="9"/>
    <x v="282"/>
    <s v="Réparation"/>
    <x v="426"/>
    <x v="210"/>
    <x v="18"/>
    <n v="2"/>
    <n v="12"/>
    <n v="2019"/>
    <x v="0"/>
  </r>
  <r>
    <x v="207"/>
    <n v="571"/>
    <x v="0"/>
    <x v="7"/>
    <m/>
    <m/>
    <x v="0"/>
    <x v="312"/>
    <s v="Réparation"/>
    <x v="462"/>
    <x v="210"/>
    <x v="18"/>
    <m/>
    <n v="12"/>
    <n v="2019"/>
    <x v="0"/>
  </r>
  <r>
    <x v="207"/>
    <n v="607"/>
    <x v="0"/>
    <x v="12"/>
    <m/>
    <m/>
    <x v="170"/>
    <x v="122"/>
    <s v="Réparation"/>
    <x v="463"/>
    <x v="210"/>
    <x v="18"/>
    <n v="1"/>
    <n v="12"/>
    <n v="2019"/>
    <x v="0"/>
  </r>
  <r>
    <x v="208"/>
    <n v="700"/>
    <x v="1"/>
    <x v="3"/>
    <m/>
    <m/>
    <x v="56"/>
    <x v="313"/>
    <s v="Réparation"/>
    <x v="464"/>
    <x v="199"/>
    <x v="18"/>
    <n v="2"/>
    <n v="12"/>
    <n v="2019"/>
    <x v="0"/>
  </r>
  <r>
    <x v="208"/>
    <n v="565"/>
    <x v="0"/>
    <x v="4"/>
    <m/>
    <m/>
    <x v="22"/>
    <x v="314"/>
    <s v="Réparation"/>
    <x v="465"/>
    <x v="199"/>
    <x v="18"/>
    <n v="2"/>
    <n v="12"/>
    <n v="2019"/>
    <x v="0"/>
  </r>
  <r>
    <x v="208"/>
    <n v="583"/>
    <x v="4"/>
    <x v="21"/>
    <m/>
    <m/>
    <x v="6"/>
    <x v="54"/>
    <s v="Réparation"/>
    <x v="466"/>
    <x v="199"/>
    <x v="18"/>
    <n v="2"/>
    <n v="12"/>
    <n v="2019"/>
    <x v="0"/>
  </r>
  <r>
    <x v="209"/>
    <n v="800"/>
    <x v="1"/>
    <x v="2"/>
    <m/>
    <m/>
    <x v="171"/>
    <x v="315"/>
    <s v="Réparation"/>
    <x v="219"/>
    <x v="211"/>
    <x v="18"/>
    <n v="2"/>
    <n v="12"/>
    <n v="2019"/>
    <x v="0"/>
  </r>
  <r>
    <x v="209"/>
    <n v="800"/>
    <x v="1"/>
    <x v="2"/>
    <m/>
    <m/>
    <x v="114"/>
    <x v="316"/>
    <s v="Réparation"/>
    <x v="467"/>
    <x v="211"/>
    <x v="18"/>
    <m/>
    <n v="12"/>
    <n v="2019"/>
    <x v="0"/>
  </r>
  <r>
    <x v="209"/>
    <n v="800"/>
    <x v="1"/>
    <x v="2"/>
    <m/>
    <m/>
    <x v="161"/>
    <x v="317"/>
    <s v="Réparation"/>
    <x v="468"/>
    <x v="211"/>
    <x v="18"/>
    <m/>
    <n v="12"/>
    <n v="2019"/>
    <x v="0"/>
  </r>
  <r>
    <x v="209"/>
    <n v="571"/>
    <x v="0"/>
    <x v="7"/>
    <m/>
    <m/>
    <x v="22"/>
    <x v="318"/>
    <s v="Réparation"/>
    <x v="469"/>
    <x v="211"/>
    <x v="18"/>
    <m/>
    <n v="12"/>
    <n v="2019"/>
    <x v="0"/>
  </r>
  <r>
    <x v="210"/>
    <n v="700"/>
    <x v="1"/>
    <x v="3"/>
    <m/>
    <m/>
    <x v="60"/>
    <x v="319"/>
    <s v="Réparation"/>
    <x v="470"/>
    <x v="212"/>
    <x v="23"/>
    <s v="=SI(ESTVIDE([@[Date"/>
    <n v="12"/>
    <n v="2019"/>
    <x v="0"/>
  </r>
  <r>
    <x v="210"/>
    <n v="700"/>
    <x v="1"/>
    <x v="3"/>
    <m/>
    <m/>
    <x v="60"/>
    <x v="320"/>
    <s v="Réparation"/>
    <x v="471"/>
    <x v="213"/>
    <x v="18"/>
    <m/>
    <n v="12"/>
    <n v="2019"/>
    <x v="0"/>
  </r>
  <r>
    <x v="210"/>
    <n v="565"/>
    <x v="0"/>
    <x v="4"/>
    <m/>
    <m/>
    <x v="22"/>
    <x v="321"/>
    <s v="Réparation"/>
    <x v="465"/>
    <x v="213"/>
    <x v="18"/>
    <n v="2"/>
    <n v="12"/>
    <n v="2019"/>
    <x v="0"/>
  </r>
  <r>
    <x v="210"/>
    <n v="582"/>
    <x v="0"/>
    <x v="1"/>
    <m/>
    <m/>
    <x v="169"/>
    <x v="322"/>
    <s v="Réparation"/>
    <x v="472"/>
    <x v="213"/>
    <x v="18"/>
    <m/>
    <n v="12"/>
    <n v="2019"/>
    <x v="0"/>
  </r>
  <r>
    <x v="210"/>
    <n v="533"/>
    <x v="2"/>
    <x v="5"/>
    <m/>
    <m/>
    <x v="172"/>
    <x v="323"/>
    <s v="Réparation"/>
    <x v="473"/>
    <x v="214"/>
    <x v="95"/>
    <s v="=SI(ESTVIDE([@[Date"/>
    <n v="12"/>
    <n v="2019"/>
    <x v="0"/>
  </r>
  <r>
    <x v="210"/>
    <n v="590"/>
    <x v="0"/>
    <x v="20"/>
    <m/>
    <m/>
    <x v="9"/>
    <x v="324"/>
    <s v="Réparation"/>
    <x v="337"/>
    <x v="213"/>
    <x v="18"/>
    <n v="30"/>
    <n v="12"/>
    <n v="2019"/>
    <x v="0"/>
  </r>
  <r>
    <x v="211"/>
    <n v="560"/>
    <x v="0"/>
    <x v="0"/>
    <m/>
    <m/>
    <x v="0"/>
    <x v="325"/>
    <s v="Réglage"/>
    <x v="474"/>
    <x v="212"/>
    <x v="18"/>
    <n v="45"/>
    <n v="12"/>
    <n v="2019"/>
    <x v="0"/>
  </r>
  <r>
    <x v="211"/>
    <n v="560"/>
    <x v="0"/>
    <x v="0"/>
    <m/>
    <m/>
    <x v="119"/>
    <x v="326"/>
    <s v="Réparation"/>
    <x v="475"/>
    <x v="212"/>
    <x v="18"/>
    <m/>
    <n v="12"/>
    <n v="2019"/>
    <x v="0"/>
  </r>
  <r>
    <x v="211"/>
    <n v="605"/>
    <x v="0"/>
    <x v="13"/>
    <m/>
    <m/>
    <x v="0"/>
    <x v="327"/>
    <s v="Réparation"/>
    <x v="476"/>
    <x v="212"/>
    <x v="18"/>
    <n v="30"/>
    <n v="12"/>
    <n v="2019"/>
    <x v="0"/>
  </r>
  <r>
    <x v="212"/>
    <n v="582"/>
    <x v="0"/>
    <x v="1"/>
    <m/>
    <m/>
    <x v="41"/>
    <x v="328"/>
    <s v="Réparation"/>
    <x v="472"/>
    <x v="214"/>
    <x v="18"/>
    <n v="45"/>
    <n v="12"/>
    <n v="2019"/>
    <x v="0"/>
  </r>
  <r>
    <x v="213"/>
    <n v="700"/>
    <x v="1"/>
    <x v="3"/>
    <m/>
    <m/>
    <x v="48"/>
    <x v="329"/>
    <s v="Réglage"/>
    <x v="477"/>
    <x v="215"/>
    <x v="18"/>
    <m/>
    <n v="12"/>
    <n v="2019"/>
    <x v="0"/>
  </r>
  <r>
    <x v="213"/>
    <n v="583"/>
    <x v="4"/>
    <x v="21"/>
    <m/>
    <m/>
    <x v="121"/>
    <x v="330"/>
    <s v="Réparation"/>
    <x v="478"/>
    <x v="215"/>
    <x v="18"/>
    <m/>
    <n v="12"/>
    <n v="2019"/>
    <x v="0"/>
  </r>
  <r>
    <x v="213"/>
    <n v="582"/>
    <x v="0"/>
    <x v="1"/>
    <m/>
    <m/>
    <x v="173"/>
    <x v="331"/>
    <s v="Réparation"/>
    <x v="472"/>
    <x v="215"/>
    <x v="18"/>
    <n v="45"/>
    <n v="12"/>
    <n v="2019"/>
    <x v="0"/>
  </r>
  <r>
    <x v="214"/>
    <n v="700"/>
    <x v="1"/>
    <x v="3"/>
    <m/>
    <m/>
    <x v="114"/>
    <x v="332"/>
    <s v="Réparation"/>
    <x v="234"/>
    <x v="216"/>
    <x v="18"/>
    <n v="30"/>
    <n v="12"/>
    <n v="2019"/>
    <x v="0"/>
  </r>
  <r>
    <x v="214"/>
    <n v="700"/>
    <x v="1"/>
    <x v="3"/>
    <m/>
    <m/>
    <x v="9"/>
    <x v="333"/>
    <s v="Réparation"/>
    <x v="479"/>
    <x v="216"/>
    <x v="18"/>
    <n v="30"/>
    <n v="12"/>
    <n v="2019"/>
    <x v="0"/>
  </r>
  <r>
    <x v="215"/>
    <n v="800"/>
    <x v="1"/>
    <x v="2"/>
    <m/>
    <m/>
    <x v="23"/>
    <x v="334"/>
    <s v="Réparation"/>
    <x v="480"/>
    <x v="217"/>
    <x v="18"/>
    <n v="2"/>
    <n v="12"/>
    <n v="2019"/>
    <x v="0"/>
  </r>
  <r>
    <x v="215"/>
    <n v="570"/>
    <x v="0"/>
    <x v="16"/>
    <m/>
    <m/>
    <x v="119"/>
    <x v="335"/>
    <s v="Réparation"/>
    <x v="481"/>
    <x v="218"/>
    <x v="18"/>
    <s v="=SI(ESTVIDE([@[Date"/>
    <n v="12"/>
    <n v="2019"/>
    <x v="0"/>
  </r>
  <r>
    <x v="215"/>
    <n v="562"/>
    <x v="4"/>
    <x v="8"/>
    <m/>
    <m/>
    <x v="121"/>
    <x v="336"/>
    <s v="Réparation"/>
    <x v="482"/>
    <x v="217"/>
    <x v="18"/>
    <n v="3"/>
    <n v="12"/>
    <n v="2019"/>
    <x v="0"/>
  </r>
  <r>
    <x v="216"/>
    <n v="582"/>
    <x v="0"/>
    <x v="1"/>
    <m/>
    <m/>
    <x v="9"/>
    <x v="337"/>
    <s v="Réparation"/>
    <x v="483"/>
    <x v="218"/>
    <x v="18"/>
    <n v="30"/>
    <n v="12"/>
    <n v="2019"/>
    <x v="0"/>
  </r>
  <r>
    <x v="216"/>
    <n v="565"/>
    <x v="0"/>
    <x v="4"/>
    <m/>
    <m/>
    <x v="66"/>
    <x v="338"/>
    <s v="Réparation"/>
    <x v="484"/>
    <x v="218"/>
    <x v="18"/>
    <n v="2"/>
    <n v="12"/>
    <n v="2019"/>
    <x v="0"/>
  </r>
  <r>
    <x v="217"/>
    <n v="700"/>
    <x v="1"/>
    <x v="3"/>
    <m/>
    <m/>
    <x v="9"/>
    <x v="339"/>
    <s v="Réparation"/>
    <x v="485"/>
    <x v="219"/>
    <x v="18"/>
    <m/>
    <n v="12"/>
    <n v="2019"/>
    <x v="0"/>
  </r>
  <r>
    <x v="217"/>
    <n v="800"/>
    <x v="1"/>
    <x v="2"/>
    <m/>
    <m/>
    <x v="174"/>
    <x v="340"/>
    <s v="Réparation"/>
    <x v="486"/>
    <x v="219"/>
    <x v="18"/>
    <m/>
    <n v="12"/>
    <n v="2019"/>
    <x v="0"/>
  </r>
  <r>
    <x v="217"/>
    <n v="590"/>
    <x v="0"/>
    <x v="20"/>
    <m/>
    <m/>
    <x v="90"/>
    <x v="341"/>
    <s v="Réparation"/>
    <x v="487"/>
    <x v="219"/>
    <x v="18"/>
    <n v="45"/>
    <n v="12"/>
    <n v="2019"/>
    <x v="0"/>
  </r>
  <r>
    <x v="217"/>
    <n v="570"/>
    <x v="0"/>
    <x v="16"/>
    <m/>
    <m/>
    <x v="175"/>
    <x v="342"/>
    <s v="Réparation"/>
    <x v="488"/>
    <x v="219"/>
    <x v="18"/>
    <n v="4"/>
    <n v="12"/>
    <n v="2019"/>
    <x v="0"/>
  </r>
  <r>
    <x v="217"/>
    <n v="602"/>
    <x v="0"/>
    <x v="34"/>
    <m/>
    <m/>
    <x v="0"/>
    <x v="214"/>
    <s v="Réparation"/>
    <x v="489"/>
    <x v="219"/>
    <x v="18"/>
    <n v="1"/>
    <n v="12"/>
    <n v="2019"/>
    <x v="0"/>
  </r>
  <r>
    <x v="217"/>
    <n v="571"/>
    <x v="0"/>
    <x v="7"/>
    <m/>
    <m/>
    <x v="11"/>
    <x v="343"/>
    <s v="Vidange"/>
    <x v="490"/>
    <x v="219"/>
    <x v="18"/>
    <m/>
    <n v="12"/>
    <n v="2019"/>
    <x v="0"/>
  </r>
  <r>
    <x v="217"/>
    <n v="620"/>
    <x v="0"/>
    <x v="26"/>
    <m/>
    <m/>
    <x v="22"/>
    <x v="344"/>
    <s v="Confection"/>
    <x v="491"/>
    <x v="219"/>
    <x v="18"/>
    <m/>
    <n v="12"/>
    <n v="2019"/>
    <x v="0"/>
  </r>
  <r>
    <x v="218"/>
    <n v="800"/>
    <x v="1"/>
    <x v="2"/>
    <m/>
    <m/>
    <x v="27"/>
    <x v="345"/>
    <s v="Réparation"/>
    <x v="492"/>
    <x v="220"/>
    <x v="18"/>
    <n v="1"/>
    <n v="12"/>
    <n v="2019"/>
    <x v="0"/>
  </r>
  <r>
    <x v="218"/>
    <n v="565"/>
    <x v="0"/>
    <x v="4"/>
    <m/>
    <m/>
    <x v="11"/>
    <x v="343"/>
    <s v="Vidange"/>
    <x v="490"/>
    <x v="220"/>
    <x v="18"/>
    <n v="1"/>
    <n v="12"/>
    <n v="2019"/>
    <x v="0"/>
  </r>
  <r>
    <x v="218"/>
    <n v="565"/>
    <x v="0"/>
    <x v="4"/>
    <m/>
    <m/>
    <x v="22"/>
    <x v="346"/>
    <s v="Réparation"/>
    <x v="493"/>
    <x v="220"/>
    <x v="18"/>
    <n v="1"/>
    <n v="12"/>
    <n v="2019"/>
    <x v="0"/>
  </r>
  <r>
    <x v="218"/>
    <n v="571"/>
    <x v="0"/>
    <x v="7"/>
    <m/>
    <m/>
    <x v="57"/>
    <x v="347"/>
    <s v="Réparation"/>
    <x v="494"/>
    <x v="220"/>
    <x v="18"/>
    <n v="1"/>
    <n v="12"/>
    <n v="2019"/>
    <x v="0"/>
  </r>
  <r>
    <x v="218"/>
    <n v="590"/>
    <x v="0"/>
    <x v="20"/>
    <m/>
    <m/>
    <x v="83"/>
    <x v="348"/>
    <s v="Réparation"/>
    <x v="495"/>
    <x v="220"/>
    <x v="18"/>
    <n v="2"/>
    <n v="12"/>
    <n v="2019"/>
    <x v="0"/>
  </r>
  <r>
    <x v="218"/>
    <n v="582"/>
    <x v="0"/>
    <x v="1"/>
    <m/>
    <m/>
    <x v="176"/>
    <x v="349"/>
    <s v="Amélioration"/>
    <x v="496"/>
    <x v="221"/>
    <x v="26"/>
    <s v="=SI(ESTVIDE([@[Date"/>
    <n v="2"/>
    <n v="2020"/>
    <x v="0"/>
  </r>
  <r>
    <x v="219"/>
    <n v="560"/>
    <x v="0"/>
    <x v="0"/>
    <m/>
    <m/>
    <x v="22"/>
    <x v="350"/>
    <s v="Réparation"/>
    <x v="497"/>
    <x v="222"/>
    <x v="26"/>
    <s v="=SI(ESTVIDE([@[Date"/>
    <n v="1"/>
    <n v="2020"/>
    <x v="0"/>
  </r>
  <r>
    <x v="219"/>
    <n v="570"/>
    <x v="0"/>
    <x v="16"/>
    <m/>
    <m/>
    <x v="175"/>
    <x v="342"/>
    <s v="Réparation"/>
    <x v="498"/>
    <x v="223"/>
    <x v="18"/>
    <n v="2"/>
    <n v="12"/>
    <n v="2019"/>
    <x v="0"/>
  </r>
  <r>
    <x v="219"/>
    <n v="571"/>
    <x v="0"/>
    <x v="7"/>
    <m/>
    <m/>
    <x v="57"/>
    <x v="351"/>
    <s v="Réparation"/>
    <x v="499"/>
    <x v="223"/>
    <x v="18"/>
    <n v="1"/>
    <n v="12"/>
    <n v="2019"/>
    <x v="0"/>
  </r>
  <r>
    <x v="219"/>
    <n v="800"/>
    <x v="1"/>
    <x v="2"/>
    <m/>
    <m/>
    <x v="177"/>
    <x v="352"/>
    <s v="Réparation"/>
    <x v="500"/>
    <x v="224"/>
    <x v="18"/>
    <s v="=SI(ESTVIDE([@[Date"/>
    <n v="1"/>
    <n v="2020"/>
    <x v="0"/>
  </r>
  <r>
    <x v="219"/>
    <n v="700"/>
    <x v="1"/>
    <x v="3"/>
    <m/>
    <m/>
    <x v="178"/>
    <x v="124"/>
    <s v="Réparation"/>
    <x v="501"/>
    <x v="223"/>
    <x v="18"/>
    <n v="3"/>
    <n v="12"/>
    <n v="2019"/>
    <x v="0"/>
  </r>
  <r>
    <x v="219"/>
    <n v="590"/>
    <x v="0"/>
    <x v="20"/>
    <m/>
    <m/>
    <x v="179"/>
    <x v="11"/>
    <s v="Réparation"/>
    <x v="502"/>
    <x v="223"/>
    <x v="18"/>
    <n v="6"/>
    <n v="12"/>
    <n v="2019"/>
    <x v="0"/>
  </r>
  <r>
    <x v="220"/>
    <n v="700"/>
    <x v="1"/>
    <x v="3"/>
    <m/>
    <m/>
    <x v="49"/>
    <x v="353"/>
    <s v="Réparation"/>
    <x v="503"/>
    <x v="225"/>
    <x v="18"/>
    <n v="1"/>
    <n v="12"/>
    <n v="2019"/>
    <x v="0"/>
  </r>
  <r>
    <x v="220"/>
    <n v="700"/>
    <x v="1"/>
    <x v="3"/>
    <m/>
    <m/>
    <x v="23"/>
    <x v="187"/>
    <s v="Réparation"/>
    <x v="234"/>
    <x v="225"/>
    <x v="18"/>
    <n v="40"/>
    <n v="12"/>
    <n v="2019"/>
    <x v="0"/>
  </r>
  <r>
    <x v="220"/>
    <n v="582"/>
    <x v="0"/>
    <x v="1"/>
    <m/>
    <m/>
    <x v="39"/>
    <x v="354"/>
    <s v="Amélioration"/>
    <x v="504"/>
    <x v="225"/>
    <x v="18"/>
    <n v="6"/>
    <n v="12"/>
    <n v="2019"/>
    <x v="0"/>
  </r>
  <r>
    <x v="221"/>
    <n v="590"/>
    <x v="0"/>
    <x v="20"/>
    <m/>
    <m/>
    <x v="87"/>
    <x v="145"/>
    <s v="Réparation"/>
    <x v="505"/>
    <x v="226"/>
    <x v="18"/>
    <n v="5"/>
    <n v="12"/>
    <n v="2019"/>
    <x v="0"/>
  </r>
  <r>
    <x v="222"/>
    <n v="700"/>
    <x v="1"/>
    <x v="3"/>
    <m/>
    <m/>
    <x v="7"/>
    <x v="355"/>
    <s v="Réparation"/>
    <x v="506"/>
    <x v="227"/>
    <x v="18"/>
    <n v="2"/>
    <n v="12"/>
    <n v="2019"/>
    <x v="0"/>
  </r>
  <r>
    <x v="222"/>
    <n v="580"/>
    <x v="0"/>
    <x v="11"/>
    <m/>
    <m/>
    <x v="15"/>
    <x v="356"/>
    <s v="Réparation"/>
    <x v="507"/>
    <x v="227"/>
    <x v="18"/>
    <n v="9"/>
    <n v="12"/>
    <n v="2019"/>
    <x v="0"/>
  </r>
  <r>
    <x v="223"/>
    <n v="570"/>
    <x v="0"/>
    <x v="16"/>
    <m/>
    <m/>
    <x v="180"/>
    <x v="132"/>
    <s v="Réparation"/>
    <x v="508"/>
    <x v="228"/>
    <x v="18"/>
    <n v="2"/>
    <n v="12"/>
    <n v="2019"/>
    <x v="0"/>
  </r>
  <r>
    <x v="224"/>
    <n v="620"/>
    <x v="0"/>
    <x v="26"/>
    <m/>
    <m/>
    <x v="181"/>
    <x v="357"/>
    <s v="Réparation"/>
    <x v="509"/>
    <x v="229"/>
    <x v="96"/>
    <m/>
    <n v="1"/>
    <n v="2020"/>
    <x v="0"/>
  </r>
  <r>
    <x v="224"/>
    <n v="700"/>
    <x v="1"/>
    <x v="3"/>
    <m/>
    <m/>
    <x v="48"/>
    <x v="358"/>
    <s v="Réparation"/>
    <x v="510"/>
    <x v="229"/>
    <x v="18"/>
    <n v="1"/>
    <n v="1"/>
    <n v="2020"/>
    <x v="0"/>
  </r>
  <r>
    <x v="224"/>
    <n v="573"/>
    <x v="4"/>
    <x v="23"/>
    <m/>
    <m/>
    <x v="182"/>
    <x v="359"/>
    <s v="Réparation"/>
    <x v="511"/>
    <x v="224"/>
    <x v="18"/>
    <s v="=SI(ESTVIDE([@[Date"/>
    <n v="1"/>
    <n v="2020"/>
    <x v="0"/>
  </r>
  <r>
    <x v="225"/>
    <n v="590"/>
    <x v="0"/>
    <x v="20"/>
    <m/>
    <m/>
    <x v="9"/>
    <x v="360"/>
    <s v="Réparation"/>
    <x v="512"/>
    <x v="230"/>
    <x v="18"/>
    <m/>
    <n v="1"/>
    <n v="2020"/>
    <x v="0"/>
  </r>
  <r>
    <x v="225"/>
    <n v="582"/>
    <x v="0"/>
    <x v="1"/>
    <m/>
    <m/>
    <x v="41"/>
    <x v="217"/>
    <s v="Réparation"/>
    <x v="513"/>
    <x v="230"/>
    <x v="18"/>
    <n v="1"/>
    <n v="1"/>
    <n v="2020"/>
    <x v="0"/>
  </r>
  <r>
    <x v="225"/>
    <n v="580"/>
    <x v="0"/>
    <x v="11"/>
    <m/>
    <m/>
    <x v="32"/>
    <x v="233"/>
    <s v="Réparation"/>
    <x v="514"/>
    <x v="230"/>
    <x v="18"/>
    <m/>
    <n v="1"/>
    <n v="2020"/>
    <x v="0"/>
  </r>
  <r>
    <x v="225"/>
    <n v="533"/>
    <x v="2"/>
    <x v="5"/>
    <m/>
    <m/>
    <x v="19"/>
    <x v="361"/>
    <s v="Réparation"/>
    <x v="515"/>
    <x v="230"/>
    <x v="18"/>
    <m/>
    <n v="1"/>
    <n v="2020"/>
    <x v="0"/>
  </r>
  <r>
    <x v="226"/>
    <n v="800"/>
    <x v="1"/>
    <x v="2"/>
    <m/>
    <m/>
    <x v="183"/>
    <x v="86"/>
    <s v="Réparation"/>
    <x v="516"/>
    <x v="231"/>
    <x v="18"/>
    <s v="=SI(ESTVIDE([@[Date"/>
    <n v="1"/>
    <n v="2020"/>
    <x v="0"/>
  </r>
  <r>
    <x v="226"/>
    <n v="800"/>
    <x v="1"/>
    <x v="2"/>
    <m/>
    <m/>
    <x v="92"/>
    <x v="155"/>
    <s v="Réparation"/>
    <x v="517"/>
    <x v="224"/>
    <x v="18"/>
    <n v="8"/>
    <n v="1"/>
    <n v="2020"/>
    <x v="0"/>
  </r>
  <r>
    <x v="226"/>
    <n v="700"/>
    <x v="1"/>
    <x v="3"/>
    <m/>
    <m/>
    <x v="2"/>
    <x v="362"/>
    <s v="Réparation"/>
    <x v="518"/>
    <x v="224"/>
    <x v="97"/>
    <m/>
    <n v="1"/>
    <n v="2020"/>
    <x v="0"/>
  </r>
  <r>
    <x v="227"/>
    <n v="800"/>
    <x v="1"/>
    <x v="2"/>
    <m/>
    <m/>
    <x v="24"/>
    <x v="363"/>
    <s v="Réparation"/>
    <x v="519"/>
    <x v="231"/>
    <x v="18"/>
    <n v="1"/>
    <n v="1"/>
    <n v="2020"/>
    <x v="0"/>
  </r>
  <r>
    <x v="228"/>
    <n v="800"/>
    <x v="1"/>
    <x v="2"/>
    <m/>
    <m/>
    <x v="2"/>
    <x v="364"/>
    <s v="Réparation"/>
    <x v="520"/>
    <x v="222"/>
    <x v="18"/>
    <s v="=SI(ESTVIDE([@[Date"/>
    <n v="1"/>
    <n v="2020"/>
    <x v="0"/>
  </r>
  <r>
    <x v="228"/>
    <n v="700"/>
    <x v="1"/>
    <x v="3"/>
    <m/>
    <m/>
    <x v="49"/>
    <x v="365"/>
    <s v="Réparation"/>
    <x v="521"/>
    <x v="232"/>
    <x v="98"/>
    <n v="2"/>
    <n v="1"/>
    <n v="2020"/>
    <x v="0"/>
  </r>
  <r>
    <x v="229"/>
    <n v="700"/>
    <x v="1"/>
    <x v="3"/>
    <m/>
    <m/>
    <x v="60"/>
    <x v="219"/>
    <s v="Réparation"/>
    <x v="522"/>
    <x v="233"/>
    <x v="18"/>
    <n v="30"/>
    <n v="1"/>
    <n v="2020"/>
    <x v="0"/>
  </r>
  <r>
    <x v="230"/>
    <n v="700"/>
    <x v="1"/>
    <x v="3"/>
    <m/>
    <m/>
    <x v="46"/>
    <x v="147"/>
    <s v="Réparation"/>
    <x v="523"/>
    <x v="222"/>
    <x v="18"/>
    <n v="30"/>
    <n v="1"/>
    <n v="2020"/>
    <x v="0"/>
  </r>
  <r>
    <x v="230"/>
    <n v="800"/>
    <x v="1"/>
    <x v="2"/>
    <m/>
    <m/>
    <x v="184"/>
    <x v="366"/>
    <s v="Réparation"/>
    <x v="524"/>
    <x v="222"/>
    <x v="99"/>
    <n v="1"/>
    <n v="1"/>
    <n v="2020"/>
    <x v="0"/>
  </r>
  <r>
    <x v="231"/>
    <n v="565"/>
    <x v="0"/>
    <x v="4"/>
    <m/>
    <m/>
    <x v="22"/>
    <x v="367"/>
    <s v="Réparation"/>
    <x v="525"/>
    <x v="234"/>
    <x v="18"/>
    <m/>
    <n v="1"/>
    <n v="2020"/>
    <x v="0"/>
  </r>
  <r>
    <x v="231"/>
    <n v="565"/>
    <x v="0"/>
    <x v="4"/>
    <m/>
    <m/>
    <x v="125"/>
    <x v="368"/>
    <s v="Réparation"/>
    <x v="526"/>
    <x v="234"/>
    <x v="18"/>
    <n v="2"/>
    <n v="1"/>
    <n v="2020"/>
    <x v="0"/>
  </r>
  <r>
    <x v="231"/>
    <n v="570"/>
    <x v="0"/>
    <x v="16"/>
    <m/>
    <m/>
    <x v="67"/>
    <x v="369"/>
    <s v="Réparation"/>
    <x v="527"/>
    <x v="235"/>
    <x v="100"/>
    <s v="=SI(ESTVIDE([@[Date"/>
    <n v="2"/>
    <n v="2020"/>
    <x v="0"/>
  </r>
  <r>
    <x v="232"/>
    <n v="700"/>
    <x v="1"/>
    <x v="3"/>
    <m/>
    <m/>
    <x v="7"/>
    <x v="370"/>
    <s v="Réparation"/>
    <x v="528"/>
    <x v="236"/>
    <x v="18"/>
    <m/>
    <n v="1"/>
    <n v="2020"/>
    <x v="0"/>
  </r>
  <r>
    <x v="232"/>
    <n v="700"/>
    <x v="1"/>
    <x v="3"/>
    <m/>
    <m/>
    <x v="185"/>
    <x v="371"/>
    <s v="Réparation"/>
    <x v="529"/>
    <x v="236"/>
    <x v="101"/>
    <m/>
    <n v="1"/>
    <n v="2020"/>
    <x v="0"/>
  </r>
  <r>
    <x v="232"/>
    <n v="620"/>
    <x v="0"/>
    <x v="26"/>
    <m/>
    <m/>
    <x v="67"/>
    <x v="343"/>
    <s v="Vidange"/>
    <x v="490"/>
    <x v="236"/>
    <x v="18"/>
    <m/>
    <n v="1"/>
    <n v="2020"/>
    <x v="0"/>
  </r>
  <r>
    <x v="232"/>
    <n v="582"/>
    <x v="0"/>
    <x v="1"/>
    <m/>
    <m/>
    <x v="17"/>
    <x v="10"/>
    <s v="Réparation"/>
    <x v="530"/>
    <x v="236"/>
    <x v="18"/>
    <n v="2"/>
    <n v="1"/>
    <n v="2020"/>
    <x v="0"/>
  </r>
  <r>
    <x v="232"/>
    <n v="582"/>
    <x v="0"/>
    <x v="1"/>
    <m/>
    <m/>
    <x v="11"/>
    <x v="76"/>
    <s v="Réparation"/>
    <x v="531"/>
    <x v="236"/>
    <x v="18"/>
    <m/>
    <n v="1"/>
    <n v="2020"/>
    <x v="0"/>
  </r>
  <r>
    <x v="233"/>
    <n v="800"/>
    <x v="1"/>
    <x v="2"/>
    <m/>
    <m/>
    <x v="186"/>
    <x v="372"/>
    <s v="Réparation"/>
    <x v="532"/>
    <x v="237"/>
    <x v="18"/>
    <n v="1"/>
    <n v="1"/>
    <n v="2020"/>
    <x v="0"/>
  </r>
  <r>
    <x v="234"/>
    <n v="700"/>
    <x v="1"/>
    <x v="3"/>
    <m/>
    <m/>
    <x v="10"/>
    <x v="373"/>
    <s v="Réparation"/>
    <x v="533"/>
    <x v="238"/>
    <x v="18"/>
    <n v="40"/>
    <n v="1"/>
    <n v="2020"/>
    <x v="0"/>
  </r>
  <r>
    <x v="235"/>
    <n v="565"/>
    <x v="0"/>
    <x v="4"/>
    <m/>
    <m/>
    <x v="22"/>
    <x v="304"/>
    <s v="Réparation"/>
    <x v="534"/>
    <x v="239"/>
    <x v="18"/>
    <n v="45"/>
    <n v="1"/>
    <n v="2020"/>
    <x v="0"/>
  </r>
  <r>
    <x v="235"/>
    <n v="560"/>
    <x v="0"/>
    <x v="0"/>
    <m/>
    <m/>
    <x v="120"/>
    <x v="374"/>
    <s v="Réparation"/>
    <x v="535"/>
    <x v="240"/>
    <x v="102"/>
    <s v="=SI(ESTVIDE([@[Date"/>
    <n v="3"/>
    <n v="2020"/>
    <x v="0"/>
  </r>
  <r>
    <x v="235"/>
    <n v="502"/>
    <x v="4"/>
    <x v="31"/>
    <m/>
    <m/>
    <x v="95"/>
    <x v="375"/>
    <s v="Réparation"/>
    <x v="536"/>
    <x v="239"/>
    <x v="18"/>
    <n v="1"/>
    <n v="1"/>
    <n v="2020"/>
    <x v="0"/>
  </r>
  <r>
    <x v="235"/>
    <n v="606"/>
    <x v="0"/>
    <x v="17"/>
    <m/>
    <m/>
    <x v="97"/>
    <x v="376"/>
    <s v="Réparation"/>
    <x v="206"/>
    <x v="239"/>
    <x v="18"/>
    <n v="1"/>
    <n v="1"/>
    <n v="2020"/>
    <x v="0"/>
  </r>
  <r>
    <x v="235"/>
    <n v="560"/>
    <x v="0"/>
    <x v="0"/>
    <m/>
    <m/>
    <x v="16"/>
    <x v="377"/>
    <s v="Réparation"/>
    <x v="537"/>
    <x v="239"/>
    <x v="18"/>
    <n v="1"/>
    <n v="1"/>
    <n v="2020"/>
    <x v="0"/>
  </r>
  <r>
    <x v="236"/>
    <n v="800"/>
    <x v="1"/>
    <x v="2"/>
    <m/>
    <m/>
    <x v="37"/>
    <x v="378"/>
    <s v="Réparation"/>
    <x v="285"/>
    <x v="241"/>
    <x v="103"/>
    <n v="2"/>
    <n v="1"/>
    <n v="2020"/>
    <x v="0"/>
  </r>
  <r>
    <x v="236"/>
    <n v="700"/>
    <x v="1"/>
    <x v="3"/>
    <m/>
    <m/>
    <x v="7"/>
    <x v="379"/>
    <s v="Réparation"/>
    <x v="538"/>
    <x v="241"/>
    <x v="18"/>
    <n v="1"/>
    <n v="1"/>
    <n v="2020"/>
    <x v="0"/>
  </r>
  <r>
    <x v="236"/>
    <n v="700"/>
    <x v="1"/>
    <x v="3"/>
    <m/>
    <m/>
    <x v="8"/>
    <x v="380"/>
    <s v="Réparation"/>
    <x v="539"/>
    <x v="241"/>
    <x v="18"/>
    <m/>
    <n v="1"/>
    <n v="2020"/>
    <x v="0"/>
  </r>
  <r>
    <x v="236"/>
    <n v="560"/>
    <x v="0"/>
    <x v="0"/>
    <m/>
    <m/>
    <x v="187"/>
    <x v="381"/>
    <s v="Réparation"/>
    <x v="540"/>
    <x v="241"/>
    <x v="18"/>
    <n v="2"/>
    <n v="1"/>
    <n v="2020"/>
    <x v="0"/>
  </r>
  <r>
    <x v="236"/>
    <n v="605"/>
    <x v="0"/>
    <x v="13"/>
    <m/>
    <m/>
    <x v="17"/>
    <x v="382"/>
    <s v="Réparation"/>
    <x v="541"/>
    <x v="241"/>
    <x v="18"/>
    <n v="1"/>
    <n v="1"/>
    <n v="2020"/>
    <x v="0"/>
  </r>
  <r>
    <x v="236"/>
    <n v="583"/>
    <x v="4"/>
    <x v="21"/>
    <m/>
    <m/>
    <x v="188"/>
    <x v="383"/>
    <s v="Réparation"/>
    <x v="542"/>
    <x v="241"/>
    <x v="18"/>
    <m/>
    <n v="1"/>
    <n v="2020"/>
    <x v="0"/>
  </r>
  <r>
    <x v="236"/>
    <n v="565"/>
    <x v="0"/>
    <x v="4"/>
    <m/>
    <m/>
    <x v="22"/>
    <x v="384"/>
    <s v="Réparation"/>
    <x v="543"/>
    <x v="241"/>
    <x v="18"/>
    <n v="3"/>
    <n v="1"/>
    <n v="2020"/>
    <x v="0"/>
  </r>
  <r>
    <x v="236"/>
    <n v="565"/>
    <x v="0"/>
    <x v="4"/>
    <m/>
    <m/>
    <x v="20"/>
    <x v="385"/>
    <s v="Réparation"/>
    <x v="544"/>
    <x v="241"/>
    <x v="18"/>
    <n v="40"/>
    <n v="1"/>
    <n v="2020"/>
    <x v="0"/>
  </r>
  <r>
    <x v="237"/>
    <n v="800"/>
    <x v="1"/>
    <x v="2"/>
    <m/>
    <m/>
    <x v="69"/>
    <x v="386"/>
    <s v="Réparation"/>
    <x v="545"/>
    <x v="242"/>
    <x v="18"/>
    <n v="30"/>
    <n v="1"/>
    <n v="2020"/>
    <x v="0"/>
  </r>
  <r>
    <x v="237"/>
    <n v="620"/>
    <x v="0"/>
    <x v="26"/>
    <m/>
    <m/>
    <x v="67"/>
    <x v="387"/>
    <s v="Réparation"/>
    <x v="546"/>
    <x v="242"/>
    <x v="18"/>
    <n v="3"/>
    <n v="1"/>
    <n v="2020"/>
    <x v="0"/>
  </r>
  <r>
    <x v="238"/>
    <n v="700"/>
    <x v="1"/>
    <x v="3"/>
    <m/>
    <m/>
    <x v="24"/>
    <x v="388"/>
    <s v="Réparation"/>
    <x v="547"/>
    <x v="243"/>
    <x v="18"/>
    <n v="40"/>
    <n v="1"/>
    <n v="2020"/>
    <x v="0"/>
  </r>
  <r>
    <x v="238"/>
    <n v="800"/>
    <x v="1"/>
    <x v="2"/>
    <m/>
    <m/>
    <x v="2"/>
    <x v="389"/>
    <s v="Réparation"/>
    <x v="548"/>
    <x v="243"/>
    <x v="18"/>
    <m/>
    <n v="1"/>
    <n v="2020"/>
    <x v="0"/>
  </r>
  <r>
    <x v="238"/>
    <n v="582"/>
    <x v="0"/>
    <x v="1"/>
    <m/>
    <m/>
    <x v="189"/>
    <x v="390"/>
    <s v="Réparation"/>
    <x v="549"/>
    <x v="243"/>
    <x v="18"/>
    <n v="2"/>
    <n v="1"/>
    <n v="2020"/>
    <x v="0"/>
  </r>
  <r>
    <x v="238"/>
    <n v="605"/>
    <x v="0"/>
    <x v="13"/>
    <m/>
    <m/>
    <x v="158"/>
    <x v="189"/>
    <s v="Réparation"/>
    <x v="550"/>
    <x v="243"/>
    <x v="18"/>
    <m/>
    <n v="1"/>
    <n v="2020"/>
    <x v="0"/>
  </r>
  <r>
    <x v="239"/>
    <n v="606"/>
    <x v="0"/>
    <x v="17"/>
    <m/>
    <m/>
    <x v="0"/>
    <x v="300"/>
    <s v="Réparation"/>
    <x v="220"/>
    <x v="244"/>
    <x v="18"/>
    <m/>
    <n v="1"/>
    <n v="2020"/>
    <x v="0"/>
  </r>
  <r>
    <x v="239"/>
    <n v="605"/>
    <x v="0"/>
    <x v="13"/>
    <m/>
    <m/>
    <x v="17"/>
    <x v="382"/>
    <s v="Réparation"/>
    <x v="541"/>
    <x v="244"/>
    <x v="104"/>
    <n v="1"/>
    <n v="1"/>
    <n v="2020"/>
    <x v="0"/>
  </r>
  <r>
    <x v="239"/>
    <n v="582"/>
    <x v="0"/>
    <x v="1"/>
    <m/>
    <m/>
    <x v="190"/>
    <x v="391"/>
    <s v="Réparation"/>
    <x v="551"/>
    <x v="244"/>
    <x v="18"/>
    <n v="30"/>
    <n v="1"/>
    <n v="2020"/>
    <x v="0"/>
  </r>
  <r>
    <x v="239"/>
    <n v="570"/>
    <x v="0"/>
    <x v="16"/>
    <m/>
    <m/>
    <x v="22"/>
    <x v="392"/>
    <s v="Réparation"/>
    <x v="552"/>
    <x v="244"/>
    <x v="18"/>
    <n v="4"/>
    <n v="1"/>
    <n v="2020"/>
    <x v="0"/>
  </r>
  <r>
    <x v="240"/>
    <n v="700"/>
    <x v="1"/>
    <x v="3"/>
    <m/>
    <m/>
    <x v="48"/>
    <x v="393"/>
    <s v="Réparation"/>
    <x v="553"/>
    <x v="245"/>
    <x v="18"/>
    <m/>
    <n v="1"/>
    <n v="2020"/>
    <x v="0"/>
  </r>
  <r>
    <x v="240"/>
    <n v="580"/>
    <x v="0"/>
    <x v="11"/>
    <m/>
    <m/>
    <x v="191"/>
    <x v="394"/>
    <s v="Réparation"/>
    <x v="554"/>
    <x v="245"/>
    <x v="18"/>
    <m/>
    <n v="1"/>
    <n v="2020"/>
    <x v="0"/>
  </r>
  <r>
    <x v="240"/>
    <n v="571"/>
    <x v="0"/>
    <x v="7"/>
    <m/>
    <m/>
    <x v="192"/>
    <x v="395"/>
    <s v="Réparation"/>
    <x v="555"/>
    <x v="245"/>
    <x v="18"/>
    <n v="2"/>
    <n v="1"/>
    <n v="2020"/>
    <x v="0"/>
  </r>
  <r>
    <x v="240"/>
    <n v="565"/>
    <x v="0"/>
    <x v="4"/>
    <m/>
    <m/>
    <x v="22"/>
    <x v="396"/>
    <s v="Réparation"/>
    <x v="556"/>
    <x v="245"/>
    <x v="18"/>
    <m/>
    <n v="1"/>
    <n v="2020"/>
    <x v="0"/>
  </r>
  <r>
    <x v="241"/>
    <n v="800"/>
    <x v="1"/>
    <x v="2"/>
    <m/>
    <m/>
    <x v="177"/>
    <x v="397"/>
    <s v="Réparation"/>
    <x v="557"/>
    <x v="246"/>
    <x v="18"/>
    <m/>
    <n v="1"/>
    <n v="2020"/>
    <x v="0"/>
  </r>
  <r>
    <x v="241"/>
    <n v="568"/>
    <x v="4"/>
    <x v="14"/>
    <m/>
    <m/>
    <x v="193"/>
    <x v="398"/>
    <s v="Réparation"/>
    <x v="284"/>
    <x v="247"/>
    <x v="105"/>
    <s v="=SI(ESTVIDE([@[Date"/>
    <n v="1"/>
    <n v="2020"/>
    <x v="0"/>
  </r>
  <r>
    <x v="241"/>
    <n v="574"/>
    <x v="4"/>
    <x v="29"/>
    <m/>
    <m/>
    <x v="95"/>
    <x v="399"/>
    <s v="Réparation"/>
    <x v="558"/>
    <x v="246"/>
    <x v="18"/>
    <m/>
    <n v="1"/>
    <n v="2020"/>
    <x v="0"/>
  </r>
  <r>
    <x v="241"/>
    <n v="582"/>
    <x v="0"/>
    <x v="1"/>
    <m/>
    <m/>
    <x v="149"/>
    <x v="400"/>
    <s v="Réparation"/>
    <x v="559"/>
    <x v="246"/>
    <x v="18"/>
    <n v="3"/>
    <n v="1"/>
    <n v="2020"/>
    <x v="0"/>
  </r>
  <r>
    <x v="241"/>
    <n v="605"/>
    <x v="0"/>
    <x v="13"/>
    <m/>
    <m/>
    <x v="17"/>
    <x v="186"/>
    <s v="Réparation"/>
    <x v="560"/>
    <x v="246"/>
    <x v="18"/>
    <m/>
    <n v="1"/>
    <n v="2020"/>
    <x v="0"/>
  </r>
  <r>
    <x v="241"/>
    <n v="565"/>
    <x v="0"/>
    <x v="4"/>
    <m/>
    <m/>
    <x v="10"/>
    <x v="373"/>
    <s v="Réparation"/>
    <x v="561"/>
    <x v="246"/>
    <x v="18"/>
    <n v="2"/>
    <n v="1"/>
    <n v="2020"/>
    <x v="0"/>
  </r>
  <r>
    <x v="241"/>
    <n v="610"/>
    <x v="0"/>
    <x v="28"/>
    <m/>
    <m/>
    <x v="119"/>
    <x v="401"/>
    <s v="Réparation"/>
    <x v="562"/>
    <x v="246"/>
    <x v="18"/>
    <n v="5"/>
    <n v="1"/>
    <n v="2020"/>
    <x v="0"/>
  </r>
  <r>
    <x v="242"/>
    <n v="700"/>
    <x v="1"/>
    <x v="3"/>
    <m/>
    <m/>
    <x v="184"/>
    <x v="402"/>
    <s v="Réparation"/>
    <x v="563"/>
    <x v="248"/>
    <x v="18"/>
    <m/>
    <n v="1"/>
    <n v="2020"/>
    <x v="0"/>
  </r>
  <r>
    <x v="242"/>
    <n v="700"/>
    <x v="1"/>
    <x v="3"/>
    <m/>
    <m/>
    <x v="49"/>
    <x v="403"/>
    <s v="Réparation"/>
    <x v="564"/>
    <x v="248"/>
    <x v="18"/>
    <n v="1"/>
    <n v="1"/>
    <n v="2020"/>
    <x v="0"/>
  </r>
  <r>
    <x v="242"/>
    <n v="700"/>
    <x v="1"/>
    <x v="3"/>
    <m/>
    <m/>
    <x v="69"/>
    <x v="404"/>
    <s v="Réparation"/>
    <x v="565"/>
    <x v="248"/>
    <x v="18"/>
    <n v="1"/>
    <n v="1"/>
    <n v="2020"/>
    <x v="0"/>
  </r>
  <r>
    <x v="242"/>
    <n v="580"/>
    <x v="0"/>
    <x v="11"/>
    <m/>
    <m/>
    <x v="9"/>
    <x v="282"/>
    <s v="Réparation"/>
    <x v="426"/>
    <x v="248"/>
    <x v="18"/>
    <m/>
    <n v="1"/>
    <n v="2020"/>
    <x v="0"/>
  </r>
  <r>
    <x v="242"/>
    <n v="606"/>
    <x v="0"/>
    <x v="17"/>
    <m/>
    <m/>
    <x v="97"/>
    <x v="376"/>
    <s v="Réparation"/>
    <x v="566"/>
    <x v="248"/>
    <x v="18"/>
    <n v="2"/>
    <n v="1"/>
    <n v="2020"/>
    <x v="0"/>
  </r>
  <r>
    <x v="242"/>
    <n v="620"/>
    <x v="0"/>
    <x v="26"/>
    <m/>
    <m/>
    <x v="2"/>
    <x v="329"/>
    <s v="Réparation"/>
    <x v="567"/>
    <x v="248"/>
    <x v="18"/>
    <n v="1"/>
    <n v="1"/>
    <n v="2020"/>
    <x v="0"/>
  </r>
  <r>
    <x v="242"/>
    <n v="582"/>
    <x v="0"/>
    <x v="1"/>
    <m/>
    <m/>
    <x v="189"/>
    <x v="405"/>
    <s v="Réparation"/>
    <x v="568"/>
    <x v="248"/>
    <x v="18"/>
    <m/>
    <n v="1"/>
    <n v="2020"/>
    <x v="0"/>
  </r>
  <r>
    <x v="243"/>
    <n v="604"/>
    <x v="0"/>
    <x v="22"/>
    <m/>
    <m/>
    <x v="194"/>
    <x v="406"/>
    <s v="Réparation"/>
    <x v="569"/>
    <x v="249"/>
    <x v="18"/>
    <s v="=SI(ESTVIDE([@[Date"/>
    <n v="1"/>
    <n v="2020"/>
    <x v="0"/>
  </r>
  <r>
    <x v="243"/>
    <n v="580"/>
    <x v="0"/>
    <x v="11"/>
    <m/>
    <m/>
    <x v="9"/>
    <x v="282"/>
    <s v="Réparation"/>
    <x v="570"/>
    <x v="247"/>
    <x v="18"/>
    <m/>
    <n v="1"/>
    <n v="2020"/>
    <x v="0"/>
  </r>
  <r>
    <x v="243"/>
    <n v="574"/>
    <x v="4"/>
    <x v="29"/>
    <m/>
    <m/>
    <x v="95"/>
    <x v="399"/>
    <s v="Réparation"/>
    <x v="322"/>
    <x v="247"/>
    <x v="18"/>
    <n v="1"/>
    <n v="1"/>
    <n v="2020"/>
    <x v="0"/>
  </r>
  <r>
    <x v="244"/>
    <n v="800"/>
    <x v="1"/>
    <x v="2"/>
    <m/>
    <m/>
    <x v="50"/>
    <x v="407"/>
    <s v="Réparation"/>
    <x v="293"/>
    <x v="250"/>
    <x v="18"/>
    <n v="40"/>
    <n v="1"/>
    <n v="2020"/>
    <x v="0"/>
  </r>
  <r>
    <x v="244"/>
    <n v="590"/>
    <x v="0"/>
    <x v="20"/>
    <m/>
    <m/>
    <x v="90"/>
    <x v="11"/>
    <s v="Réparation"/>
    <x v="417"/>
    <x v="250"/>
    <x v="18"/>
    <n v="1"/>
    <n v="1"/>
    <n v="2020"/>
    <x v="0"/>
  </r>
  <r>
    <x v="244"/>
    <n v="560"/>
    <x v="0"/>
    <x v="0"/>
    <m/>
    <m/>
    <x v="57"/>
    <x v="408"/>
    <s v="Réparation"/>
    <x v="571"/>
    <x v="250"/>
    <x v="18"/>
    <m/>
    <n v="1"/>
    <n v="2020"/>
    <x v="0"/>
  </r>
  <r>
    <x v="244"/>
    <n v="571"/>
    <x v="0"/>
    <x v="7"/>
    <m/>
    <m/>
    <x v="2"/>
    <x v="329"/>
    <s v="Réparation"/>
    <x v="572"/>
    <x v="250"/>
    <x v="18"/>
    <m/>
    <n v="1"/>
    <n v="2020"/>
    <x v="0"/>
  </r>
  <r>
    <x v="244"/>
    <n v="570"/>
    <x v="0"/>
    <x v="16"/>
    <m/>
    <m/>
    <x v="97"/>
    <x v="386"/>
    <s v="Réparation"/>
    <x v="573"/>
    <x v="250"/>
    <x v="18"/>
    <m/>
    <n v="1"/>
    <n v="2020"/>
    <x v="0"/>
  </r>
  <r>
    <x v="245"/>
    <n v="800"/>
    <x v="1"/>
    <x v="2"/>
    <m/>
    <m/>
    <x v="51"/>
    <x v="146"/>
    <s v="Réparation"/>
    <x v="574"/>
    <x v="251"/>
    <x v="18"/>
    <s v="=SI(ESTVIDE([@[Date"/>
    <n v="1"/>
    <n v="2020"/>
    <x v="0"/>
  </r>
  <r>
    <x v="245"/>
    <n v="583"/>
    <x v="4"/>
    <x v="21"/>
    <m/>
    <m/>
    <x v="95"/>
    <x v="409"/>
    <s v="Réparation"/>
    <x v="284"/>
    <x v="251"/>
    <x v="18"/>
    <s v="=SI(ESTVIDE([@[Date"/>
    <n v="1"/>
    <n v="2020"/>
    <x v="0"/>
  </r>
  <r>
    <x v="246"/>
    <n v="700"/>
    <x v="1"/>
    <x v="3"/>
    <m/>
    <m/>
    <x v="24"/>
    <x v="269"/>
    <s v="Réparation"/>
    <x v="39"/>
    <x v="249"/>
    <x v="18"/>
    <m/>
    <n v="1"/>
    <n v="2020"/>
    <x v="0"/>
  </r>
  <r>
    <x v="246"/>
    <n v="800"/>
    <x v="1"/>
    <x v="2"/>
    <m/>
    <m/>
    <x v="37"/>
    <x v="410"/>
    <s v="Vidange"/>
    <x v="575"/>
    <x v="249"/>
    <x v="18"/>
    <n v="1"/>
    <n v="1"/>
    <n v="2020"/>
    <x v="0"/>
  </r>
  <r>
    <x v="247"/>
    <n v="800"/>
    <x v="1"/>
    <x v="2"/>
    <m/>
    <m/>
    <x v="23"/>
    <x v="259"/>
    <s v="Réparation"/>
    <x v="148"/>
    <x v="251"/>
    <x v="18"/>
    <m/>
    <n v="1"/>
    <n v="2020"/>
    <x v="0"/>
  </r>
  <r>
    <x v="247"/>
    <n v="700"/>
    <x v="1"/>
    <x v="3"/>
    <m/>
    <m/>
    <x v="195"/>
    <x v="134"/>
    <s v="Réparation"/>
    <x v="576"/>
    <x v="251"/>
    <x v="18"/>
    <m/>
    <n v="1"/>
    <n v="2020"/>
    <x v="0"/>
  </r>
  <r>
    <x v="247"/>
    <n v="607"/>
    <x v="0"/>
    <x v="12"/>
    <m/>
    <m/>
    <x v="97"/>
    <x v="411"/>
    <s v="Réparation"/>
    <x v="577"/>
    <x v="252"/>
    <x v="18"/>
    <s v="=SI(ESTVIDE([@[Date"/>
    <n v="1"/>
    <n v="2020"/>
    <x v="0"/>
  </r>
  <r>
    <x v="248"/>
    <n v="580"/>
    <x v="0"/>
    <x v="11"/>
    <m/>
    <m/>
    <x v="87"/>
    <x v="412"/>
    <s v="Réparation"/>
    <x v="578"/>
    <x v="252"/>
    <x v="18"/>
    <s v="=SI(ESTVIDE([@[Date"/>
    <n v="1"/>
    <n v="2020"/>
    <x v="0"/>
  </r>
  <r>
    <x v="249"/>
    <n v="700"/>
    <x v="1"/>
    <x v="3"/>
    <m/>
    <m/>
    <x v="114"/>
    <x v="413"/>
    <s v="Réparation"/>
    <x v="579"/>
    <x v="253"/>
    <x v="18"/>
    <n v="1"/>
    <n v="2"/>
    <n v="2020"/>
    <x v="0"/>
  </r>
  <r>
    <x v="249"/>
    <n v="580"/>
    <x v="0"/>
    <x v="11"/>
    <m/>
    <m/>
    <x v="87"/>
    <x v="414"/>
    <s v="Réparation"/>
    <x v="580"/>
    <x v="254"/>
    <x v="18"/>
    <s v="=SI(ESTVIDE([@[Date"/>
    <n v="2"/>
    <n v="2020"/>
    <x v="0"/>
  </r>
  <r>
    <x v="249"/>
    <n v="605"/>
    <x v="0"/>
    <x v="13"/>
    <m/>
    <m/>
    <x v="29"/>
    <x v="189"/>
    <s v="Réparation"/>
    <x v="581"/>
    <x v="253"/>
    <x v="18"/>
    <n v="20"/>
    <n v="2"/>
    <n v="2020"/>
    <x v="0"/>
  </r>
  <r>
    <x v="250"/>
    <n v="700"/>
    <x v="1"/>
    <x v="3"/>
    <m/>
    <m/>
    <x v="7"/>
    <x v="415"/>
    <s v="Réparation"/>
    <x v="582"/>
    <x v="254"/>
    <x v="18"/>
    <n v="2"/>
    <n v="2"/>
    <n v="2020"/>
    <x v="0"/>
  </r>
  <r>
    <x v="250"/>
    <n v="570"/>
    <x v="0"/>
    <x v="16"/>
    <m/>
    <m/>
    <x v="196"/>
    <x v="416"/>
    <s v="Réparation"/>
    <x v="583"/>
    <x v="254"/>
    <x v="18"/>
    <n v="2"/>
    <n v="2"/>
    <n v="2020"/>
    <x v="0"/>
  </r>
  <r>
    <x v="250"/>
    <n v="606"/>
    <x v="0"/>
    <x v="17"/>
    <m/>
    <m/>
    <x v="0"/>
    <x v="417"/>
    <s v="Réparation"/>
    <x v="584"/>
    <x v="254"/>
    <x v="18"/>
    <n v="1"/>
    <n v="2"/>
    <n v="2020"/>
    <x v="0"/>
  </r>
  <r>
    <x v="250"/>
    <n v="700"/>
    <x v="1"/>
    <x v="3"/>
    <m/>
    <m/>
    <x v="24"/>
    <x v="418"/>
    <s v="Réparation"/>
    <x v="39"/>
    <x v="254"/>
    <x v="18"/>
    <n v="40"/>
    <n v="2"/>
    <n v="2020"/>
    <x v="0"/>
  </r>
  <r>
    <x v="251"/>
    <n v="800"/>
    <x v="1"/>
    <x v="2"/>
    <m/>
    <m/>
    <x v="114"/>
    <x v="419"/>
    <s v="Réparation"/>
    <x v="585"/>
    <x v="255"/>
    <x v="18"/>
    <n v="1"/>
    <n v="2"/>
    <n v="2020"/>
    <x v="0"/>
  </r>
  <r>
    <x v="251"/>
    <n v="700"/>
    <x v="1"/>
    <x v="3"/>
    <m/>
    <m/>
    <x v="114"/>
    <x v="420"/>
    <s v="Réparation"/>
    <x v="586"/>
    <x v="255"/>
    <x v="18"/>
    <n v="2"/>
    <n v="2"/>
    <n v="2020"/>
    <x v="0"/>
  </r>
  <r>
    <x v="251"/>
    <n v="582"/>
    <x v="0"/>
    <x v="1"/>
    <m/>
    <m/>
    <x v="197"/>
    <x v="421"/>
    <s v="Réparation"/>
    <x v="587"/>
    <x v="255"/>
    <x v="18"/>
    <n v="1"/>
    <n v="2"/>
    <n v="2020"/>
    <x v="0"/>
  </r>
  <r>
    <x v="252"/>
    <n v="700"/>
    <x v="1"/>
    <x v="3"/>
    <m/>
    <m/>
    <x v="2"/>
    <x v="287"/>
    <s v="Réparation"/>
    <x v="283"/>
    <x v="256"/>
    <x v="18"/>
    <s v="=SI(ESTVIDE([@[Date"/>
    <n v="2"/>
    <n v="2020"/>
    <x v="0"/>
  </r>
  <r>
    <x v="252"/>
    <n v="606"/>
    <x v="0"/>
    <x v="17"/>
    <m/>
    <m/>
    <x v="198"/>
    <x v="366"/>
    <s v="Réparation"/>
    <x v="284"/>
    <x v="257"/>
    <x v="18"/>
    <s v="=SI(ESTVIDE([@[Date"/>
    <n v="2"/>
    <n v="2020"/>
    <x v="0"/>
  </r>
  <r>
    <x v="253"/>
    <n v="700"/>
    <x v="1"/>
    <x v="3"/>
    <m/>
    <m/>
    <x v="7"/>
    <x v="422"/>
    <s v="Réparation"/>
    <x v="506"/>
    <x v="256"/>
    <x v="18"/>
    <m/>
    <n v="2"/>
    <n v="2020"/>
    <x v="0"/>
  </r>
  <r>
    <x v="254"/>
    <n v="700"/>
    <x v="1"/>
    <x v="3"/>
    <m/>
    <m/>
    <x v="171"/>
    <x v="423"/>
    <s v="Réparation"/>
    <x v="179"/>
    <x v="257"/>
    <x v="18"/>
    <n v="30"/>
    <n v="2"/>
    <n v="2020"/>
    <x v="0"/>
  </r>
  <r>
    <x v="254"/>
    <n v="700"/>
    <x v="1"/>
    <x v="3"/>
    <m/>
    <m/>
    <x v="69"/>
    <x v="424"/>
    <s v="Réparation"/>
    <x v="588"/>
    <x v="257"/>
    <x v="18"/>
    <m/>
    <n v="2"/>
    <n v="2020"/>
    <x v="0"/>
  </r>
  <r>
    <x v="254"/>
    <n v="590"/>
    <x v="0"/>
    <x v="20"/>
    <m/>
    <m/>
    <x v="90"/>
    <x v="11"/>
    <s v="Réparation"/>
    <x v="589"/>
    <x v="257"/>
    <x v="18"/>
    <n v="1"/>
    <n v="2"/>
    <n v="2020"/>
    <x v="0"/>
  </r>
  <r>
    <x v="254"/>
    <n v="565"/>
    <x v="0"/>
    <x v="4"/>
    <m/>
    <m/>
    <x v="22"/>
    <x v="321"/>
    <s v="Réparation"/>
    <x v="590"/>
    <x v="257"/>
    <x v="18"/>
    <n v="1"/>
    <n v="2"/>
    <n v="2020"/>
    <x v="0"/>
  </r>
  <r>
    <x v="255"/>
    <n v="565"/>
    <x v="0"/>
    <x v="4"/>
    <m/>
    <m/>
    <x v="22"/>
    <x v="321"/>
    <s v="Réparation"/>
    <x v="465"/>
    <x v="258"/>
    <x v="18"/>
    <n v="2"/>
    <n v="2"/>
    <n v="2020"/>
    <x v="0"/>
  </r>
  <r>
    <x v="255"/>
    <n v="606"/>
    <x v="0"/>
    <x v="17"/>
    <m/>
    <m/>
    <x v="0"/>
    <x v="425"/>
    <s v="Réparation"/>
    <x v="591"/>
    <x v="258"/>
    <x v="18"/>
    <n v="1"/>
    <n v="2"/>
    <n v="2020"/>
    <x v="0"/>
  </r>
  <r>
    <x v="255"/>
    <n v="590"/>
    <x v="0"/>
    <x v="20"/>
    <m/>
    <m/>
    <x v="154"/>
    <x v="31"/>
    <s v="Réparation"/>
    <x v="458"/>
    <x v="258"/>
    <x v="18"/>
    <n v="2"/>
    <n v="2"/>
    <n v="2020"/>
    <x v="0"/>
  </r>
  <r>
    <x v="256"/>
    <n v="605"/>
    <x v="0"/>
    <x v="13"/>
    <m/>
    <m/>
    <x v="0"/>
    <x v="426"/>
    <s v="Réparation"/>
    <x v="592"/>
    <x v="259"/>
    <x v="18"/>
    <s v="=SI(ESTVIDE([@[Date"/>
    <n v="2"/>
    <n v="2020"/>
    <x v="0"/>
  </r>
  <r>
    <x v="257"/>
    <n v="700"/>
    <x v="1"/>
    <x v="3"/>
    <m/>
    <m/>
    <x v="49"/>
    <x v="427"/>
    <s v="Réparation"/>
    <x v="593"/>
    <x v="259"/>
    <x v="18"/>
    <n v="2"/>
    <n v="2"/>
    <n v="2020"/>
    <x v="0"/>
  </r>
  <r>
    <x v="257"/>
    <n v="800"/>
    <x v="1"/>
    <x v="2"/>
    <m/>
    <m/>
    <x v="114"/>
    <x v="237"/>
    <s v="Réparation"/>
    <x v="594"/>
    <x v="259"/>
    <x v="18"/>
    <n v="2"/>
    <n v="2"/>
    <n v="2020"/>
    <x v="0"/>
  </r>
  <r>
    <x v="257"/>
    <n v="440"/>
    <x v="8"/>
    <x v="35"/>
    <m/>
    <m/>
    <x v="199"/>
    <x v="428"/>
    <s v="Réparation"/>
    <x v="595"/>
    <x v="259"/>
    <x v="18"/>
    <n v="40"/>
    <n v="2"/>
    <n v="2020"/>
    <x v="0"/>
  </r>
  <r>
    <x v="258"/>
    <n v="800"/>
    <x v="1"/>
    <x v="2"/>
    <m/>
    <m/>
    <x v="37"/>
    <x v="311"/>
    <s v="Réparation"/>
    <x v="256"/>
    <x v="260"/>
    <x v="18"/>
    <n v="2"/>
    <n v="2"/>
    <n v="2020"/>
    <x v="0"/>
  </r>
  <r>
    <x v="258"/>
    <n v="583"/>
    <x v="4"/>
    <x v="21"/>
    <m/>
    <m/>
    <x v="95"/>
    <x v="429"/>
    <s v="Réparation"/>
    <x v="596"/>
    <x v="260"/>
    <x v="18"/>
    <n v="2"/>
    <n v="2"/>
    <n v="2020"/>
    <x v="0"/>
  </r>
  <r>
    <x v="258"/>
    <n v="605"/>
    <x v="0"/>
    <x v="13"/>
    <m/>
    <m/>
    <x v="17"/>
    <x v="430"/>
    <s v="Réparation"/>
    <x v="597"/>
    <x v="260"/>
    <x v="18"/>
    <n v="1"/>
    <n v="2"/>
    <n v="2020"/>
    <x v="0"/>
  </r>
  <r>
    <x v="258"/>
    <n v="581"/>
    <x v="0"/>
    <x v="10"/>
    <m/>
    <m/>
    <x v="47"/>
    <x v="431"/>
    <s v="Réparation"/>
    <x v="598"/>
    <x v="260"/>
    <x v="18"/>
    <n v="40"/>
    <n v="2"/>
    <n v="2020"/>
    <x v="0"/>
  </r>
  <r>
    <x v="258"/>
    <n v="620"/>
    <x v="0"/>
    <x v="26"/>
    <m/>
    <m/>
    <x v="200"/>
    <x v="432"/>
    <s v="Réparation"/>
    <x v="599"/>
    <x v="260"/>
    <x v="18"/>
    <n v="1"/>
    <n v="2"/>
    <n v="2020"/>
    <x v="0"/>
  </r>
  <r>
    <x v="258"/>
    <n v="565"/>
    <x v="0"/>
    <x v="4"/>
    <m/>
    <m/>
    <x v="22"/>
    <x v="433"/>
    <s v="Réparation"/>
    <x v="600"/>
    <x v="260"/>
    <x v="18"/>
    <n v="2"/>
    <n v="2"/>
    <n v="2020"/>
    <x v="0"/>
  </r>
  <r>
    <x v="259"/>
    <n v="800"/>
    <x v="1"/>
    <x v="2"/>
    <m/>
    <m/>
    <x v="23"/>
    <x v="434"/>
    <s v="Réparation"/>
    <x v="601"/>
    <x v="261"/>
    <x v="18"/>
    <n v="2"/>
    <n v="2"/>
    <n v="2020"/>
    <x v="0"/>
  </r>
  <r>
    <x v="259"/>
    <n v="800"/>
    <x v="1"/>
    <x v="2"/>
    <m/>
    <m/>
    <x v="51"/>
    <x v="435"/>
    <s v="Changement"/>
    <x v="602"/>
    <x v="261"/>
    <x v="106"/>
    <n v="1"/>
    <n v="2"/>
    <n v="2020"/>
    <x v="0"/>
  </r>
  <r>
    <x v="259"/>
    <n v="581"/>
    <x v="0"/>
    <x v="10"/>
    <m/>
    <m/>
    <x v="154"/>
    <x v="391"/>
    <s v="Réparation"/>
    <x v="551"/>
    <x v="261"/>
    <x v="18"/>
    <n v="2"/>
    <n v="2"/>
    <n v="2020"/>
    <x v="0"/>
  </r>
  <r>
    <x v="259"/>
    <n v="565"/>
    <x v="0"/>
    <x v="4"/>
    <m/>
    <m/>
    <x v="78"/>
    <x v="10"/>
    <s v="Réparation"/>
    <x v="603"/>
    <x v="261"/>
    <x v="18"/>
    <n v="2"/>
    <n v="2"/>
    <n v="2020"/>
    <x v="0"/>
  </r>
  <r>
    <x v="260"/>
    <n v="700"/>
    <x v="1"/>
    <x v="3"/>
    <m/>
    <m/>
    <x v="25"/>
    <x v="122"/>
    <s v="Réparation"/>
    <x v="486"/>
    <x v="262"/>
    <x v="18"/>
    <m/>
    <n v="2"/>
    <n v="2020"/>
    <x v="0"/>
  </r>
  <r>
    <x v="260"/>
    <n v="700"/>
    <x v="1"/>
    <x v="3"/>
    <m/>
    <m/>
    <x v="49"/>
    <x v="22"/>
    <s v="Réparation"/>
    <x v="499"/>
    <x v="262"/>
    <x v="18"/>
    <m/>
    <n v="2"/>
    <n v="2020"/>
    <x v="0"/>
  </r>
  <r>
    <x v="260"/>
    <n v="582"/>
    <x v="0"/>
    <x v="1"/>
    <m/>
    <m/>
    <x v="201"/>
    <x v="31"/>
    <s v="Réparation"/>
    <x v="604"/>
    <x v="262"/>
    <x v="18"/>
    <n v="1"/>
    <n v="2"/>
    <n v="2020"/>
    <x v="0"/>
  </r>
  <r>
    <x v="261"/>
    <n v="565"/>
    <x v="0"/>
    <x v="4"/>
    <m/>
    <m/>
    <x v="119"/>
    <x v="436"/>
    <s v="Réparation"/>
    <x v="605"/>
    <x v="221"/>
    <x v="107"/>
    <s v="=SI(ESTVIDE([@[Date"/>
    <n v="2"/>
    <n v="2020"/>
    <x v="0"/>
  </r>
  <r>
    <x v="261"/>
    <n v="565"/>
    <x v="0"/>
    <x v="4"/>
    <m/>
    <m/>
    <x v="202"/>
    <x v="437"/>
    <s v="Réparation"/>
    <x v="606"/>
    <x v="263"/>
    <x v="18"/>
    <n v="30"/>
    <n v="2"/>
    <n v="2020"/>
    <x v="0"/>
  </r>
  <r>
    <x v="262"/>
    <n v="700"/>
    <x v="1"/>
    <x v="3"/>
    <m/>
    <m/>
    <x v="24"/>
    <x v="438"/>
    <s v="Réparation"/>
    <x v="607"/>
    <x v="264"/>
    <x v="18"/>
    <n v="7"/>
    <n v="2"/>
    <n v="2020"/>
    <x v="0"/>
  </r>
  <r>
    <x v="262"/>
    <n v="700"/>
    <x v="1"/>
    <x v="3"/>
    <m/>
    <m/>
    <x v="49"/>
    <x v="439"/>
    <s v="Réparation"/>
    <x v="608"/>
    <x v="264"/>
    <x v="18"/>
    <n v="7"/>
    <n v="2"/>
    <n v="2020"/>
    <x v="0"/>
  </r>
  <r>
    <x v="263"/>
    <n v="570"/>
    <x v="0"/>
    <x v="16"/>
    <m/>
    <m/>
    <x v="67"/>
    <x v="440"/>
    <s v="Rénovation"/>
    <x v="609"/>
    <x v="265"/>
    <x v="18"/>
    <n v="3"/>
    <n v="2"/>
    <n v="2020"/>
    <x v="0"/>
  </r>
  <r>
    <x v="264"/>
    <n v="700"/>
    <x v="1"/>
    <x v="3"/>
    <m/>
    <m/>
    <x v="2"/>
    <x v="441"/>
    <s v="Réparation"/>
    <x v="610"/>
    <x v="235"/>
    <x v="108"/>
    <n v="1"/>
    <n v="2"/>
    <n v="2020"/>
    <x v="0"/>
  </r>
  <r>
    <x v="264"/>
    <n v="605"/>
    <x v="0"/>
    <x v="13"/>
    <m/>
    <m/>
    <x v="16"/>
    <x v="261"/>
    <s v="Réparation"/>
    <x v="611"/>
    <x v="235"/>
    <x v="18"/>
    <n v="1"/>
    <n v="2"/>
    <n v="2020"/>
    <x v="0"/>
  </r>
  <r>
    <x v="265"/>
    <n v="534"/>
    <x v="2"/>
    <x v="27"/>
    <m/>
    <m/>
    <x v="203"/>
    <x v="442"/>
    <s v="Réparation"/>
    <x v="612"/>
    <x v="266"/>
    <x v="18"/>
    <n v="1"/>
    <n v="2"/>
    <n v="2020"/>
    <x v="0"/>
  </r>
  <r>
    <x v="265"/>
    <n v="581"/>
    <x v="0"/>
    <x v="10"/>
    <m/>
    <m/>
    <x v="154"/>
    <x v="166"/>
    <s v="Réparation"/>
    <x v="455"/>
    <x v="266"/>
    <x v="18"/>
    <n v="2"/>
    <n v="2"/>
    <n v="2020"/>
    <x v="0"/>
  </r>
  <r>
    <x v="266"/>
    <n v="620"/>
    <x v="0"/>
    <x v="26"/>
    <m/>
    <m/>
    <x v="97"/>
    <x v="10"/>
    <s v="Réparation"/>
    <x v="613"/>
    <x v="267"/>
    <x v="18"/>
    <n v="2"/>
    <n v="2"/>
    <n v="2020"/>
    <x v="0"/>
  </r>
  <r>
    <x v="267"/>
    <n v="700"/>
    <x v="1"/>
    <x v="3"/>
    <m/>
    <m/>
    <x v="49"/>
    <x v="55"/>
    <s v="Réparation"/>
    <x v="304"/>
    <x v="268"/>
    <x v="18"/>
    <n v="1"/>
    <n v="2"/>
    <n v="2020"/>
    <x v="0"/>
  </r>
  <r>
    <x v="267"/>
    <n v="700"/>
    <x v="1"/>
    <x v="3"/>
    <m/>
    <m/>
    <x v="8"/>
    <x v="443"/>
    <s v="Réparation"/>
    <x v="614"/>
    <x v="268"/>
    <x v="18"/>
    <n v="1"/>
    <n v="2"/>
    <n v="2020"/>
    <x v="0"/>
  </r>
  <r>
    <x v="267"/>
    <n v="605"/>
    <x v="0"/>
    <x v="13"/>
    <m/>
    <m/>
    <x v="17"/>
    <x v="444"/>
    <s v="Réparation"/>
    <x v="615"/>
    <x v="221"/>
    <x v="18"/>
    <s v="=SI(ESTVIDE([@[Date"/>
    <n v="2"/>
    <n v="2020"/>
    <x v="0"/>
  </r>
  <r>
    <x v="268"/>
    <n v="580"/>
    <x v="0"/>
    <x v="11"/>
    <m/>
    <m/>
    <x v="87"/>
    <x v="445"/>
    <s v="Réparation"/>
    <x v="616"/>
    <x v="269"/>
    <x v="18"/>
    <s v="=SI(ESTVIDE([@[Date"/>
    <n v="3"/>
    <n v="2020"/>
    <x v="0"/>
  </r>
  <r>
    <x v="269"/>
    <n v="700"/>
    <x v="1"/>
    <x v="3"/>
    <m/>
    <m/>
    <x v="204"/>
    <x v="446"/>
    <s v="Réparation"/>
    <x v="617"/>
    <x v="221"/>
    <x v="18"/>
    <n v="2"/>
    <n v="2"/>
    <n v="2020"/>
    <x v="0"/>
  </r>
  <r>
    <x v="269"/>
    <n v="800"/>
    <x v="1"/>
    <x v="2"/>
    <m/>
    <m/>
    <x v="23"/>
    <x v="447"/>
    <s v="Réparation"/>
    <x v="618"/>
    <x v="221"/>
    <x v="18"/>
    <n v="1"/>
    <n v="2"/>
    <n v="2020"/>
    <x v="0"/>
  </r>
  <r>
    <x v="269"/>
    <n v="605"/>
    <x v="0"/>
    <x v="13"/>
    <m/>
    <m/>
    <x v="0"/>
    <x v="448"/>
    <s v="Réparation"/>
    <x v="619"/>
    <x v="221"/>
    <x v="18"/>
    <n v="2"/>
    <n v="2"/>
    <n v="2020"/>
    <x v="0"/>
  </r>
  <r>
    <x v="270"/>
    <n v="607"/>
    <x v="0"/>
    <x v="12"/>
    <m/>
    <m/>
    <x v="16"/>
    <x v="449"/>
    <s v="Réparation"/>
    <x v="620"/>
    <x v="270"/>
    <x v="18"/>
    <n v="1"/>
    <n v="2"/>
    <n v="2020"/>
    <x v="0"/>
  </r>
  <r>
    <x v="271"/>
    <n v="700"/>
    <x v="1"/>
    <x v="3"/>
    <m/>
    <m/>
    <x v="55"/>
    <x v="450"/>
    <s v="Réparation"/>
    <x v="125"/>
    <x v="271"/>
    <x v="109"/>
    <n v="5"/>
    <n v="2"/>
    <n v="2020"/>
    <x v="0"/>
  </r>
  <r>
    <x v="271"/>
    <n v="800"/>
    <x v="1"/>
    <x v="2"/>
    <m/>
    <m/>
    <x v="24"/>
    <x v="418"/>
    <s v="Réparation"/>
    <x v="621"/>
    <x v="271"/>
    <x v="18"/>
    <n v="1"/>
    <n v="2"/>
    <n v="2020"/>
    <x v="0"/>
  </r>
  <r>
    <x v="271"/>
    <n v="582"/>
    <x v="0"/>
    <x v="1"/>
    <m/>
    <m/>
    <x v="32"/>
    <x v="182"/>
    <s v="Réparation"/>
    <x v="573"/>
    <x v="271"/>
    <x v="18"/>
    <n v="1"/>
    <n v="2"/>
    <n v="2020"/>
    <x v="0"/>
  </r>
  <r>
    <x v="271"/>
    <n v="581"/>
    <x v="0"/>
    <x v="10"/>
    <m/>
    <m/>
    <x v="167"/>
    <x v="35"/>
    <s v="Réparation"/>
    <x v="353"/>
    <x v="272"/>
    <x v="18"/>
    <n v="40"/>
    <n v="2"/>
    <n v="2020"/>
    <x v="0"/>
  </r>
  <r>
    <x v="272"/>
    <n v="581"/>
    <x v="0"/>
    <x v="10"/>
    <m/>
    <m/>
    <x v="15"/>
    <x v="451"/>
    <s v="Réparation"/>
    <x v="622"/>
    <x v="272"/>
    <x v="18"/>
    <n v="1"/>
    <n v="2"/>
    <n v="2020"/>
    <x v="0"/>
  </r>
  <r>
    <x v="272"/>
    <n v="571"/>
    <x v="0"/>
    <x v="7"/>
    <m/>
    <m/>
    <x v="140"/>
    <x v="344"/>
    <s v="Réparation"/>
    <x v="491"/>
    <x v="272"/>
    <x v="18"/>
    <n v="1"/>
    <n v="2"/>
    <n v="2020"/>
    <x v="0"/>
  </r>
  <r>
    <x v="273"/>
    <n v="700"/>
    <x v="1"/>
    <x v="3"/>
    <m/>
    <m/>
    <x v="9"/>
    <x v="452"/>
    <s v="Réparation"/>
    <x v="85"/>
    <x v="273"/>
    <x v="18"/>
    <n v="1"/>
    <n v="2"/>
    <n v="2020"/>
    <x v="0"/>
  </r>
  <r>
    <x v="273"/>
    <n v="571"/>
    <x v="0"/>
    <x v="7"/>
    <m/>
    <m/>
    <x v="0"/>
    <x v="453"/>
    <s v="Réparation"/>
    <x v="623"/>
    <x v="273"/>
    <x v="18"/>
    <n v="1"/>
    <n v="2"/>
    <n v="2020"/>
    <x v="0"/>
  </r>
  <r>
    <x v="274"/>
    <n v="700"/>
    <x v="1"/>
    <x v="3"/>
    <m/>
    <m/>
    <x v="49"/>
    <x v="454"/>
    <s v="Réparation"/>
    <x v="624"/>
    <x v="274"/>
    <x v="18"/>
    <n v="2"/>
    <n v="2"/>
    <n v="2020"/>
    <x v="0"/>
  </r>
  <r>
    <x v="275"/>
    <n v="700"/>
    <x v="1"/>
    <x v="3"/>
    <m/>
    <m/>
    <x v="2"/>
    <x v="329"/>
    <s v="Réparation"/>
    <x v="625"/>
    <x v="269"/>
    <x v="18"/>
    <n v="20"/>
    <n v="3"/>
    <n v="2020"/>
    <x v="0"/>
  </r>
  <r>
    <x v="275"/>
    <n v="606"/>
    <x v="0"/>
    <x v="17"/>
    <m/>
    <m/>
    <x v="205"/>
    <x v="455"/>
    <s v="Réparation"/>
    <x v="626"/>
    <x v="269"/>
    <x v="18"/>
    <n v="40"/>
    <n v="3"/>
    <n v="2020"/>
    <x v="0"/>
  </r>
  <r>
    <x v="275"/>
    <n v="565"/>
    <x v="0"/>
    <x v="4"/>
    <m/>
    <m/>
    <x v="22"/>
    <x v="456"/>
    <s v="Réparation"/>
    <x v="627"/>
    <x v="269"/>
    <x v="18"/>
    <n v="1"/>
    <n v="3"/>
    <n v="2020"/>
    <x v="0"/>
  </r>
  <r>
    <x v="276"/>
    <n v="700"/>
    <x v="1"/>
    <x v="3"/>
    <m/>
    <m/>
    <x v="37"/>
    <x v="311"/>
    <s v="Réparation"/>
    <x v="256"/>
    <x v="275"/>
    <x v="18"/>
    <n v="1"/>
    <n v="3"/>
    <n v="2020"/>
    <x v="0"/>
  </r>
  <r>
    <x v="276"/>
    <n v="584"/>
    <x v="4"/>
    <x v="24"/>
    <m/>
    <m/>
    <x v="10"/>
    <x v="206"/>
    <s v="Réparation"/>
    <x v="454"/>
    <x v="275"/>
    <x v="18"/>
    <n v="30"/>
    <n v="3"/>
    <n v="2020"/>
    <x v="0"/>
  </r>
  <r>
    <x v="277"/>
    <n v="700"/>
    <x v="1"/>
    <x v="3"/>
    <m/>
    <m/>
    <x v="37"/>
    <x v="457"/>
    <s v="Réparation"/>
    <x v="153"/>
    <x v="276"/>
    <x v="18"/>
    <n v="3"/>
    <n v="3"/>
    <n v="2020"/>
    <x v="0"/>
  </r>
  <r>
    <x v="277"/>
    <n v="605"/>
    <x v="0"/>
    <x v="13"/>
    <m/>
    <m/>
    <x v="206"/>
    <x v="458"/>
    <s v="Réparation"/>
    <x v="628"/>
    <x v="276"/>
    <x v="18"/>
    <n v="1"/>
    <n v="3"/>
    <n v="2020"/>
    <x v="0"/>
  </r>
  <r>
    <x v="277"/>
    <n v="581"/>
    <x v="0"/>
    <x v="10"/>
    <m/>
    <m/>
    <x v="201"/>
    <x v="11"/>
    <s v="Réparation"/>
    <x v="79"/>
    <x v="276"/>
    <x v="18"/>
    <n v="1"/>
    <n v="3"/>
    <n v="2020"/>
    <x v="0"/>
  </r>
  <r>
    <x v="278"/>
    <n v="700"/>
    <x v="1"/>
    <x v="3"/>
    <m/>
    <m/>
    <x v="55"/>
    <x v="423"/>
    <s v="Réparation"/>
    <x v="629"/>
    <x v="277"/>
    <x v="18"/>
    <n v="40"/>
    <n v="3"/>
    <n v="2020"/>
    <x v="0"/>
  </r>
  <r>
    <x v="279"/>
    <n v="590"/>
    <x v="0"/>
    <x v="20"/>
    <m/>
    <m/>
    <x v="179"/>
    <x v="459"/>
    <s v="Réparation"/>
    <x v="630"/>
    <x v="278"/>
    <x v="18"/>
    <n v="2"/>
    <n v="3"/>
    <n v="2020"/>
    <x v="0"/>
  </r>
  <r>
    <x v="279"/>
    <n v="700"/>
    <x v="1"/>
    <x v="3"/>
    <m/>
    <m/>
    <x v="207"/>
    <x v="206"/>
    <s v="Réparation"/>
    <x v="631"/>
    <x v="278"/>
    <x v="18"/>
    <n v="1"/>
    <n v="3"/>
    <n v="2020"/>
    <x v="0"/>
  </r>
  <r>
    <x v="280"/>
    <n v="581"/>
    <x v="0"/>
    <x v="10"/>
    <m/>
    <m/>
    <x v="182"/>
    <x v="460"/>
    <s v="Réparation"/>
    <x v="632"/>
    <x v="279"/>
    <x v="18"/>
    <n v="40"/>
    <n v="3"/>
    <n v="2020"/>
    <x v="0"/>
  </r>
  <r>
    <x v="281"/>
    <n v="560"/>
    <x v="0"/>
    <x v="0"/>
    <m/>
    <m/>
    <x v="208"/>
    <x v="461"/>
    <s v="Réparation"/>
    <x v="633"/>
    <x v="240"/>
    <x v="18"/>
    <n v="3"/>
    <n v="3"/>
    <n v="2020"/>
    <x v="0"/>
  </r>
  <r>
    <x v="281"/>
    <n v="570"/>
    <x v="0"/>
    <x v="16"/>
    <m/>
    <m/>
    <x v="10"/>
    <x v="462"/>
    <s v="Réparation"/>
    <x v="518"/>
    <x v="240"/>
    <x v="18"/>
    <n v="1"/>
    <n v="3"/>
    <n v="2020"/>
    <x v="0"/>
  </r>
  <r>
    <x v="281"/>
    <n v="700"/>
    <x v="1"/>
    <x v="3"/>
    <m/>
    <m/>
    <x v="171"/>
    <x v="463"/>
    <s v="Réparation"/>
    <x v="634"/>
    <x v="240"/>
    <x v="18"/>
    <n v="30"/>
    <n v="3"/>
    <n v="2020"/>
    <x v="0"/>
  </r>
  <r>
    <x v="282"/>
    <n v="571"/>
    <x v="0"/>
    <x v="7"/>
    <m/>
    <m/>
    <x v="0"/>
    <x v="464"/>
    <s v="Réparation"/>
    <x v="234"/>
    <x v="280"/>
    <x v="18"/>
    <n v="40"/>
    <n v="3"/>
    <n v="2020"/>
    <x v="0"/>
  </r>
  <r>
    <x v="282"/>
    <n v="700"/>
    <x v="1"/>
    <x v="3"/>
    <m/>
    <m/>
    <x v="51"/>
    <x v="465"/>
    <s v="Réparation"/>
    <x v="635"/>
    <x v="280"/>
    <x v="18"/>
    <n v="2"/>
    <n v="3"/>
    <n v="2020"/>
    <x v="0"/>
  </r>
  <r>
    <x v="282"/>
    <n v="700"/>
    <x v="1"/>
    <x v="3"/>
    <m/>
    <m/>
    <x v="49"/>
    <x v="466"/>
    <s v="Réparation"/>
    <x v="636"/>
    <x v="281"/>
    <x v="18"/>
    <s v="=SI(ESTVIDE([@[Date"/>
    <n v="3"/>
    <n v="2020"/>
    <x v="0"/>
  </r>
  <r>
    <x v="283"/>
    <n v="606"/>
    <x v="0"/>
    <x v="17"/>
    <m/>
    <m/>
    <x v="17"/>
    <x v="467"/>
    <s v="Réparation"/>
    <x v="637"/>
    <x v="281"/>
    <x v="18"/>
    <n v="1"/>
    <n v="3"/>
    <n v="2020"/>
    <x v="0"/>
  </r>
  <r>
    <x v="283"/>
    <n v="800"/>
    <x v="1"/>
    <x v="2"/>
    <m/>
    <m/>
    <x v="209"/>
    <x v="468"/>
    <s v="Réparation"/>
    <x v="638"/>
    <x v="281"/>
    <x v="18"/>
    <n v="1"/>
    <n v="3"/>
    <n v="2020"/>
    <x v="0"/>
  </r>
  <r>
    <x v="284"/>
    <n v="565"/>
    <x v="0"/>
    <x v="4"/>
    <m/>
    <m/>
    <x v="22"/>
    <x v="321"/>
    <s v="Réparation"/>
    <x v="465"/>
    <x v="282"/>
    <x v="18"/>
    <n v="1"/>
    <n v="3"/>
    <n v="2020"/>
    <x v="0"/>
  </r>
  <r>
    <x v="285"/>
    <n v="800"/>
    <x v="1"/>
    <x v="2"/>
    <m/>
    <m/>
    <x v="37"/>
    <x v="469"/>
    <s v="Réparation"/>
    <x v="639"/>
    <x v="283"/>
    <x v="18"/>
    <s v="=SI(ESTVIDE([@[Date"/>
    <n v="4"/>
    <n v="2020"/>
    <x v="0"/>
  </r>
  <r>
    <x v="286"/>
    <n v="700"/>
    <x v="1"/>
    <x v="3"/>
    <m/>
    <m/>
    <x v="49"/>
    <x v="470"/>
    <s v="Réparation"/>
    <x v="640"/>
    <x v="284"/>
    <x v="18"/>
    <s v="=SI(ESTVIDE([@[Date"/>
    <n v="3"/>
    <n v="2020"/>
    <x v="0"/>
  </r>
  <r>
    <x v="286"/>
    <n v="560"/>
    <x v="0"/>
    <x v="0"/>
    <m/>
    <m/>
    <x v="66"/>
    <x v="471"/>
    <s v="Réparation"/>
    <x v="641"/>
    <x v="285"/>
    <x v="18"/>
    <n v="1"/>
    <n v="3"/>
    <n v="2020"/>
    <x v="0"/>
  </r>
  <r>
    <x v="286"/>
    <n v="565"/>
    <x v="0"/>
    <x v="4"/>
    <m/>
    <m/>
    <x v="210"/>
    <x v="472"/>
    <s v="Vidange"/>
    <x v="642"/>
    <x v="285"/>
    <x v="18"/>
    <n v="45"/>
    <n v="3"/>
    <n v="2020"/>
    <x v="0"/>
  </r>
  <r>
    <x v="287"/>
    <n v="800"/>
    <x v="1"/>
    <x v="2"/>
    <m/>
    <m/>
    <x v="37"/>
    <x v="473"/>
    <s v="Réparation"/>
    <x v="643"/>
    <x v="286"/>
    <x v="18"/>
    <s v="=SI(ESTVIDE([@[Date"/>
    <n v="3"/>
    <n v="2020"/>
    <x v="0"/>
  </r>
  <r>
    <x v="288"/>
    <n v="565"/>
    <x v="0"/>
    <x v="4"/>
    <m/>
    <m/>
    <x v="78"/>
    <x v="474"/>
    <s v="Réparation"/>
    <x v="644"/>
    <x v="287"/>
    <x v="18"/>
    <n v="30"/>
    <n v="3"/>
    <n v="2020"/>
    <x v="0"/>
  </r>
  <r>
    <x v="289"/>
    <n v="565"/>
    <x v="0"/>
    <x v="4"/>
    <m/>
    <m/>
    <x v="160"/>
    <x v="475"/>
    <s v="Réparation"/>
    <x v="645"/>
    <x v="288"/>
    <x v="18"/>
    <n v="1"/>
    <n v="3"/>
    <n v="2020"/>
    <x v="0"/>
  </r>
  <r>
    <x v="289"/>
    <n v="565"/>
    <x v="0"/>
    <x v="4"/>
    <m/>
    <m/>
    <x v="125"/>
    <x v="168"/>
    <s v="Réparation"/>
    <x v="302"/>
    <x v="288"/>
    <x v="18"/>
    <n v="1"/>
    <n v="3"/>
    <n v="2020"/>
    <x v="0"/>
  </r>
  <r>
    <x v="290"/>
    <n v="570"/>
    <x v="0"/>
    <x v="16"/>
    <m/>
    <m/>
    <x v="0"/>
    <x v="476"/>
    <s v="Réparation"/>
    <x v="646"/>
    <x v="289"/>
    <x v="18"/>
    <n v="1"/>
    <n v="4"/>
    <n v="2020"/>
    <x v="0"/>
  </r>
  <r>
    <x v="291"/>
    <n v="582"/>
    <x v="0"/>
    <x v="1"/>
    <m/>
    <m/>
    <x v="211"/>
    <x v="217"/>
    <s v="Réparation"/>
    <x v="647"/>
    <x v="290"/>
    <x v="18"/>
    <n v="1"/>
    <n v="4"/>
    <n v="2020"/>
    <x v="0"/>
  </r>
  <r>
    <x v="292"/>
    <n v="700"/>
    <x v="1"/>
    <x v="3"/>
    <m/>
    <m/>
    <x v="37"/>
    <x v="477"/>
    <s v="Réparation"/>
    <x v="648"/>
    <x v="291"/>
    <x v="18"/>
    <n v="3"/>
    <n v="4"/>
    <n v="2020"/>
    <x v="0"/>
  </r>
  <r>
    <x v="293"/>
    <n v="700"/>
    <x v="1"/>
    <x v="3"/>
    <m/>
    <m/>
    <x v="70"/>
    <x v="478"/>
    <s v="Réparation"/>
    <x v="649"/>
    <x v="292"/>
    <x v="18"/>
    <n v="1"/>
    <n v="4"/>
    <n v="2020"/>
    <x v="0"/>
  </r>
  <r>
    <x v="294"/>
    <n v="582"/>
    <x v="0"/>
    <x v="1"/>
    <m/>
    <m/>
    <x v="212"/>
    <x v="331"/>
    <s v="Réparation"/>
    <x v="650"/>
    <x v="293"/>
    <x v="18"/>
    <n v="1"/>
    <n v="4"/>
    <n v="2020"/>
    <x v="0"/>
  </r>
  <r>
    <x v="295"/>
    <n v="605"/>
    <x v="0"/>
    <x v="13"/>
    <m/>
    <m/>
    <x v="17"/>
    <x v="479"/>
    <s v="Réparation"/>
    <x v="651"/>
    <x v="283"/>
    <x v="18"/>
    <n v="1"/>
    <n v="4"/>
    <n v="2020"/>
    <x v="0"/>
  </r>
  <r>
    <x v="296"/>
    <n v="606"/>
    <x v="0"/>
    <x v="17"/>
    <m/>
    <m/>
    <x v="97"/>
    <x v="480"/>
    <s v="Réparation"/>
    <x v="652"/>
    <x v="294"/>
    <x v="18"/>
    <s v="=SI(ESTVIDE([@[Date"/>
    <n v="4"/>
    <n v="2020"/>
    <x v="0"/>
  </r>
  <r>
    <x v="297"/>
    <n v="560"/>
    <x v="0"/>
    <x v="0"/>
    <m/>
    <m/>
    <x v="213"/>
    <x v="481"/>
    <s v="Réparation"/>
    <x v="653"/>
    <x v="295"/>
    <x v="110"/>
    <n v="30"/>
    <n v="4"/>
    <n v="2020"/>
    <x v="0"/>
  </r>
  <r>
    <x v="297"/>
    <n v="562"/>
    <x v="4"/>
    <x v="8"/>
    <m/>
    <m/>
    <x v="214"/>
    <x v="482"/>
    <s v="Réparation"/>
    <x v="654"/>
    <x v="133"/>
    <x v="21"/>
    <s v="=SI(ESTVIDE([@[Date"/>
    <n v="4"/>
    <n v="2020"/>
    <x v="0"/>
  </r>
  <r>
    <x v="297"/>
    <n v="581"/>
    <x v="0"/>
    <x v="10"/>
    <m/>
    <m/>
    <x v="45"/>
    <x v="181"/>
    <s v="Réparation"/>
    <x v="242"/>
    <x v="295"/>
    <x v="18"/>
    <n v="3"/>
    <n v="4"/>
    <n v="2020"/>
    <x v="0"/>
  </r>
  <r>
    <x v="298"/>
    <n v="700"/>
    <x v="1"/>
    <x v="3"/>
    <m/>
    <m/>
    <x v="49"/>
    <x v="483"/>
    <s v="Réparation"/>
    <x v="655"/>
    <x v="296"/>
    <x v="18"/>
    <n v="4"/>
    <n v="4"/>
    <n v="2020"/>
    <x v="0"/>
  </r>
  <r>
    <x v="298"/>
    <n v="584"/>
    <x v="4"/>
    <x v="24"/>
    <m/>
    <m/>
    <x v="95"/>
    <x v="335"/>
    <s v="Réparation"/>
    <x v="656"/>
    <x v="297"/>
    <x v="111"/>
    <s v="=SI(ESTVIDE([@[Date"/>
    <n v="9"/>
    <n v="2020"/>
    <x v="0"/>
  </r>
  <r>
    <x v="299"/>
    <n v="583"/>
    <x v="4"/>
    <x v="21"/>
    <m/>
    <m/>
    <x v="95"/>
    <x v="484"/>
    <s v="Réparation"/>
    <x v="466"/>
    <x v="294"/>
    <x v="18"/>
    <n v="1"/>
    <n v="4"/>
    <n v="2020"/>
    <x v="0"/>
  </r>
  <r>
    <x v="300"/>
    <n v="606"/>
    <x v="0"/>
    <x v="17"/>
    <m/>
    <m/>
    <x v="97"/>
    <x v="485"/>
    <s v="Réparation"/>
    <x v="657"/>
    <x v="298"/>
    <x v="18"/>
    <n v="20"/>
    <n v="4"/>
    <n v="2020"/>
    <x v="0"/>
  </r>
  <r>
    <x v="301"/>
    <n v="583"/>
    <x v="4"/>
    <x v="21"/>
    <m/>
    <m/>
    <x v="95"/>
    <x v="484"/>
    <s v="Réparation"/>
    <x v="466"/>
    <x v="133"/>
    <x v="18"/>
    <n v="1"/>
    <n v="4"/>
    <n v="2020"/>
    <x v="0"/>
  </r>
  <r>
    <x v="302"/>
    <n v="581"/>
    <x v="0"/>
    <x v="10"/>
    <m/>
    <m/>
    <x v="45"/>
    <x v="486"/>
    <s v="Réparation"/>
    <x v="658"/>
    <x v="299"/>
    <x v="18"/>
    <s v="=SI(ESTVIDE([@[Date"/>
    <n v="4"/>
    <n v="2020"/>
    <x v="0"/>
  </r>
  <r>
    <x v="302"/>
    <n v="606"/>
    <x v="0"/>
    <x v="17"/>
    <m/>
    <m/>
    <x v="97"/>
    <x v="487"/>
    <s v="Réparation"/>
    <x v="659"/>
    <x v="299"/>
    <x v="18"/>
    <s v="=SI(ESTVIDE([@[Date"/>
    <n v="4"/>
    <n v="2020"/>
    <x v="0"/>
  </r>
  <r>
    <x v="303"/>
    <n v="591"/>
    <x v="4"/>
    <x v="36"/>
    <m/>
    <m/>
    <x v="167"/>
    <x v="469"/>
    <s v="Réparation"/>
    <x v="660"/>
    <x v="299"/>
    <x v="18"/>
    <n v="1"/>
    <n v="4"/>
    <n v="2020"/>
    <x v="0"/>
  </r>
  <r>
    <x v="304"/>
    <n v="605"/>
    <x v="0"/>
    <x v="13"/>
    <m/>
    <m/>
    <x v="17"/>
    <x v="488"/>
    <s v="Réparation"/>
    <x v="661"/>
    <x v="300"/>
    <x v="18"/>
    <n v="2"/>
    <n v="4"/>
    <n v="2020"/>
    <x v="0"/>
  </r>
  <r>
    <x v="304"/>
    <n v="800"/>
    <x v="1"/>
    <x v="2"/>
    <m/>
    <m/>
    <x v="9"/>
    <x v="489"/>
    <s v="Contrôle"/>
    <x v="662"/>
    <x v="300"/>
    <x v="18"/>
    <n v="1"/>
    <n v="4"/>
    <n v="2020"/>
    <x v="0"/>
  </r>
  <r>
    <x v="305"/>
    <n v="607"/>
    <x v="0"/>
    <x v="12"/>
    <m/>
    <m/>
    <x v="0"/>
    <x v="490"/>
    <s v="Réparation"/>
    <x v="663"/>
    <x v="301"/>
    <x v="18"/>
    <n v="1"/>
    <n v="4"/>
    <n v="2020"/>
    <x v="0"/>
  </r>
  <r>
    <x v="305"/>
    <n v="571"/>
    <x v="0"/>
    <x v="7"/>
    <m/>
    <m/>
    <x v="215"/>
    <x v="491"/>
    <s v="Réparation"/>
    <x v="300"/>
    <x v="301"/>
    <x v="18"/>
    <n v="1"/>
    <n v="4"/>
    <n v="2020"/>
    <x v="0"/>
  </r>
  <r>
    <x v="306"/>
    <n v="565"/>
    <x v="0"/>
    <x v="4"/>
    <m/>
    <m/>
    <x v="216"/>
    <x v="472"/>
    <s v="Vidange"/>
    <x v="642"/>
    <x v="302"/>
    <x v="18"/>
    <n v="45"/>
    <n v="5"/>
    <n v="2020"/>
    <x v="0"/>
  </r>
  <r>
    <x v="307"/>
    <n v="571"/>
    <x v="0"/>
    <x v="7"/>
    <m/>
    <m/>
    <x v="200"/>
    <x v="492"/>
    <s v="Réparation"/>
    <x v="664"/>
    <x v="303"/>
    <x v="18"/>
    <n v="1"/>
    <n v="5"/>
    <n v="2020"/>
    <x v="0"/>
  </r>
  <r>
    <x v="308"/>
    <n v="700"/>
    <x v="1"/>
    <x v="3"/>
    <m/>
    <m/>
    <x v="171"/>
    <x v="423"/>
    <s v="Réparation"/>
    <x v="634"/>
    <x v="304"/>
    <x v="18"/>
    <n v="20"/>
    <n v="5"/>
    <n v="2020"/>
    <x v="0"/>
  </r>
  <r>
    <x v="308"/>
    <n v="565"/>
    <x v="0"/>
    <x v="4"/>
    <m/>
    <m/>
    <x v="66"/>
    <x v="181"/>
    <s v="Réparation"/>
    <x v="665"/>
    <x v="304"/>
    <x v="18"/>
    <n v="1"/>
    <n v="5"/>
    <n v="2020"/>
    <x v="0"/>
  </r>
  <r>
    <x v="308"/>
    <n v="604"/>
    <x v="0"/>
    <x v="22"/>
    <m/>
    <m/>
    <x v="217"/>
    <x v="493"/>
    <s v="Réparation"/>
    <x v="666"/>
    <x v="304"/>
    <x v="18"/>
    <n v="1"/>
    <n v="5"/>
    <n v="2020"/>
    <x v="0"/>
  </r>
  <r>
    <x v="309"/>
    <n v="565"/>
    <x v="0"/>
    <x v="4"/>
    <m/>
    <m/>
    <x v="16"/>
    <x v="494"/>
    <s v="Réparation"/>
    <x v="271"/>
    <x v="305"/>
    <x v="18"/>
    <n v="25"/>
    <n v="5"/>
    <n v="2020"/>
    <x v="0"/>
  </r>
  <r>
    <x v="309"/>
    <n v="571"/>
    <x v="0"/>
    <x v="7"/>
    <m/>
    <m/>
    <x v="66"/>
    <x v="495"/>
    <s v="Vidange"/>
    <x v="667"/>
    <x v="305"/>
    <x v="18"/>
    <n v="1"/>
    <n v="5"/>
    <n v="2020"/>
    <x v="0"/>
  </r>
  <r>
    <x v="309"/>
    <n v="800"/>
    <x v="1"/>
    <x v="2"/>
    <m/>
    <m/>
    <x v="23"/>
    <x v="496"/>
    <s v="Réparation"/>
    <x v="668"/>
    <x v="305"/>
    <x v="18"/>
    <n v="20"/>
    <n v="5"/>
    <n v="2020"/>
    <x v="0"/>
  </r>
  <r>
    <x v="310"/>
    <n v="565"/>
    <x v="0"/>
    <x v="4"/>
    <m/>
    <m/>
    <x v="22"/>
    <x v="321"/>
    <s v="Réparation"/>
    <x v="590"/>
    <x v="306"/>
    <x v="18"/>
    <n v="1"/>
    <n v="5"/>
    <n v="2020"/>
    <x v="0"/>
  </r>
  <r>
    <x v="311"/>
    <n v="565"/>
    <x v="0"/>
    <x v="4"/>
    <m/>
    <m/>
    <x v="67"/>
    <x v="343"/>
    <s v="Réparation"/>
    <x v="669"/>
    <x v="307"/>
    <x v="18"/>
    <n v="1"/>
    <n v="5"/>
    <n v="2020"/>
    <x v="0"/>
  </r>
  <r>
    <x v="311"/>
    <n v="605"/>
    <x v="0"/>
    <x v="13"/>
    <m/>
    <m/>
    <x v="78"/>
    <x v="497"/>
    <s v="Réparation"/>
    <x v="670"/>
    <x v="308"/>
    <x v="18"/>
    <s v="=SI(ESTVIDE([@[Date"/>
    <n v="5"/>
    <n v="2020"/>
    <x v="0"/>
  </r>
  <r>
    <x v="311"/>
    <n v="583"/>
    <x v="4"/>
    <x v="21"/>
    <m/>
    <m/>
    <x v="95"/>
    <x v="484"/>
    <s v="Réparation"/>
    <x v="466"/>
    <x v="307"/>
    <x v="18"/>
    <n v="2"/>
    <n v="5"/>
    <n v="2020"/>
    <x v="0"/>
  </r>
  <r>
    <x v="312"/>
    <n v="606"/>
    <x v="0"/>
    <x v="17"/>
    <m/>
    <m/>
    <x v="97"/>
    <x v="498"/>
    <s v="Réparation"/>
    <x v="671"/>
    <x v="309"/>
    <x v="112"/>
    <s v="=SI(ESTVIDE([@[Date"/>
    <n v="6"/>
    <n v="2020"/>
    <x v="0"/>
  </r>
  <r>
    <x v="313"/>
    <n v="560"/>
    <x v="0"/>
    <x v="0"/>
    <m/>
    <m/>
    <x v="22"/>
    <x v="6"/>
    <s v="Réparation"/>
    <x v="672"/>
    <x v="308"/>
    <x v="18"/>
    <n v="1"/>
    <n v="5"/>
    <n v="2020"/>
    <x v="0"/>
  </r>
  <r>
    <x v="314"/>
    <n v="568"/>
    <x v="4"/>
    <x v="14"/>
    <m/>
    <m/>
    <x v="138"/>
    <x v="499"/>
    <s v="Réparation"/>
    <x v="673"/>
    <x v="310"/>
    <x v="113"/>
    <s v="=SI(ESTVIDE([@[Date"/>
    <n v="6"/>
    <n v="2020"/>
    <x v="0"/>
  </r>
  <r>
    <x v="315"/>
    <n v="565"/>
    <x v="0"/>
    <x v="4"/>
    <m/>
    <m/>
    <x v="67"/>
    <x v="500"/>
    <s v="Réparation"/>
    <x v="674"/>
    <x v="311"/>
    <x v="114"/>
    <s v="=SI(ESTVIDE([@[Date"/>
    <n v="6"/>
    <n v="2020"/>
    <x v="0"/>
  </r>
  <r>
    <x v="315"/>
    <n v="562"/>
    <x v="4"/>
    <x v="8"/>
    <m/>
    <m/>
    <x v="218"/>
    <x v="196"/>
    <s v="Réparation"/>
    <x v="675"/>
    <x v="312"/>
    <x v="115"/>
    <m/>
    <n v="6"/>
    <n v="2020"/>
    <x v="0"/>
  </r>
  <r>
    <x v="316"/>
    <n v="582"/>
    <x v="0"/>
    <x v="1"/>
    <m/>
    <m/>
    <x v="87"/>
    <x v="501"/>
    <s v="Réparation"/>
    <x v="198"/>
    <x v="313"/>
    <x v="18"/>
    <n v="5"/>
    <n v="9"/>
    <n v="2021"/>
    <x v="0"/>
  </r>
  <r>
    <x v="316"/>
    <n v="700"/>
    <x v="1"/>
    <x v="3"/>
    <m/>
    <m/>
    <x v="9"/>
    <x v="502"/>
    <s v="Réparation"/>
    <x v="676"/>
    <x v="313"/>
    <x v="18"/>
    <n v="1"/>
    <n v="9"/>
    <n v="2021"/>
    <x v="0"/>
  </r>
  <r>
    <x v="316"/>
    <n v="700"/>
    <x v="1"/>
    <x v="3"/>
    <m/>
    <m/>
    <x v="7"/>
    <x v="503"/>
    <s v="Réparation"/>
    <x v="677"/>
    <x v="314"/>
    <x v="18"/>
    <n v="1"/>
    <n v="10"/>
    <n v="2021"/>
    <x v="0"/>
  </r>
  <r>
    <x v="316"/>
    <n v="582"/>
    <x v="0"/>
    <x v="1"/>
    <m/>
    <m/>
    <x v="219"/>
    <x v="261"/>
    <s v="Réparation"/>
    <x v="678"/>
    <x v="315"/>
    <x v="18"/>
    <n v="1"/>
    <n v="11"/>
    <n v="2021"/>
    <x v="0"/>
  </r>
  <r>
    <x v="317"/>
    <n v="800"/>
    <x v="1"/>
    <x v="2"/>
    <m/>
    <m/>
    <x v="114"/>
    <x v="316"/>
    <s v="Réparation"/>
    <x v="679"/>
    <x v="316"/>
    <x v="18"/>
    <n v="1"/>
    <n v="12"/>
    <n v="2021"/>
    <x v="0"/>
  </r>
  <r>
    <x v="317"/>
    <n v="800"/>
    <x v="1"/>
    <x v="2"/>
    <m/>
    <m/>
    <x v="38"/>
    <x v="504"/>
    <s v="Réparation"/>
    <x v="680"/>
    <x v="317"/>
    <x v="18"/>
    <n v="1"/>
    <n v="4"/>
    <n v="2022"/>
    <x v="0"/>
  </r>
  <r>
    <x v="318"/>
    <n v="610"/>
    <x v="0"/>
    <x v="28"/>
    <m/>
    <m/>
    <x v="78"/>
    <x v="505"/>
    <s v="Réparation"/>
    <x v="681"/>
    <x v="318"/>
    <x v="18"/>
    <n v="2"/>
    <n v="6"/>
    <n v="2020"/>
    <x v="0"/>
  </r>
  <r>
    <x v="318"/>
    <n v="581"/>
    <x v="0"/>
    <x v="10"/>
    <m/>
    <m/>
    <x v="17"/>
    <x v="506"/>
    <s v="Réparation"/>
    <x v="682"/>
    <x v="319"/>
    <x v="18"/>
    <n v="1"/>
    <n v="6"/>
    <n v="2020"/>
    <x v="0"/>
  </r>
  <r>
    <x v="318"/>
    <n v="581"/>
    <x v="0"/>
    <x v="10"/>
    <m/>
    <m/>
    <x v="220"/>
    <x v="507"/>
    <s v="Réparation"/>
    <x v="683"/>
    <x v="319"/>
    <x v="18"/>
    <n v="1"/>
    <n v="6"/>
    <n v="2020"/>
    <x v="0"/>
  </r>
  <r>
    <x v="319"/>
    <n v="800"/>
    <x v="1"/>
    <x v="2"/>
    <m/>
    <m/>
    <x v="37"/>
    <x v="508"/>
    <s v="Contrôle"/>
    <x v="684"/>
    <x v="320"/>
    <x v="18"/>
    <n v="1"/>
    <n v="6"/>
    <n v="2020"/>
    <x v="0"/>
  </r>
  <r>
    <x v="319"/>
    <n v="581"/>
    <x v="0"/>
    <x v="10"/>
    <m/>
    <m/>
    <x v="15"/>
    <x v="86"/>
    <s v="Réparation"/>
    <x v="685"/>
    <x v="309"/>
    <x v="18"/>
    <s v="=SI(ESTVIDE([@[Date"/>
    <n v="6"/>
    <n v="2020"/>
    <x v="0"/>
  </r>
  <r>
    <x v="319"/>
    <n v="582"/>
    <x v="0"/>
    <x v="1"/>
    <m/>
    <m/>
    <x v="189"/>
    <x v="166"/>
    <s v="Réparation"/>
    <x v="686"/>
    <x v="320"/>
    <x v="18"/>
    <n v="1"/>
    <n v="6"/>
    <n v="2020"/>
    <x v="0"/>
  </r>
  <r>
    <x v="319"/>
    <n v="590"/>
    <x v="0"/>
    <x v="20"/>
    <m/>
    <m/>
    <x v="11"/>
    <x v="509"/>
    <s v="Réparation"/>
    <x v="353"/>
    <x v="320"/>
    <x v="18"/>
    <n v="20"/>
    <n v="6"/>
    <n v="2020"/>
    <x v="0"/>
  </r>
  <r>
    <x v="319"/>
    <n v="582"/>
    <x v="0"/>
    <x v="1"/>
    <m/>
    <m/>
    <x v="221"/>
    <x v="509"/>
    <s v="Réparation"/>
    <x v="353"/>
    <x v="320"/>
    <x v="18"/>
    <n v="20"/>
    <n v="6"/>
    <n v="2020"/>
    <x v="0"/>
  </r>
  <r>
    <x v="320"/>
    <n v="565"/>
    <x v="0"/>
    <x v="4"/>
    <m/>
    <m/>
    <x v="22"/>
    <x v="510"/>
    <s v="Réparation"/>
    <x v="687"/>
    <x v="321"/>
    <x v="18"/>
    <n v="1"/>
    <n v="6"/>
    <n v="2020"/>
    <x v="0"/>
  </r>
  <r>
    <x v="321"/>
    <n v="582"/>
    <x v="0"/>
    <x v="1"/>
    <m/>
    <m/>
    <x v="222"/>
    <x v="501"/>
    <s v="Réparation"/>
    <x v="688"/>
    <x v="309"/>
    <x v="18"/>
    <n v="3"/>
    <n v="6"/>
    <n v="2020"/>
    <x v="0"/>
  </r>
  <r>
    <x v="321"/>
    <n v="582"/>
    <x v="0"/>
    <x v="1"/>
    <m/>
    <m/>
    <x v="223"/>
    <x v="511"/>
    <s v="Réparation"/>
    <x v="689"/>
    <x v="322"/>
    <x v="18"/>
    <s v="=SI(ESTVIDE([@[Date"/>
    <n v="6"/>
    <n v="2020"/>
    <x v="0"/>
  </r>
  <r>
    <x v="322"/>
    <n v="590"/>
    <x v="0"/>
    <x v="20"/>
    <m/>
    <m/>
    <x v="81"/>
    <x v="512"/>
    <s v="Réparation"/>
    <x v="346"/>
    <x v="323"/>
    <x v="18"/>
    <n v="1"/>
    <n v="6"/>
    <n v="2020"/>
    <x v="0"/>
  </r>
  <r>
    <x v="322"/>
    <n v="565"/>
    <x v="0"/>
    <x v="4"/>
    <m/>
    <m/>
    <x v="22"/>
    <x v="456"/>
    <s v="Réparation"/>
    <x v="690"/>
    <x v="323"/>
    <x v="18"/>
    <n v="1"/>
    <n v="6"/>
    <n v="2020"/>
    <x v="0"/>
  </r>
  <r>
    <x v="322"/>
    <n v="571"/>
    <x v="0"/>
    <x v="7"/>
    <m/>
    <m/>
    <x v="68"/>
    <x v="513"/>
    <s v="Réparation"/>
    <x v="691"/>
    <x v="323"/>
    <x v="18"/>
    <n v="1"/>
    <n v="6"/>
    <n v="2020"/>
    <x v="0"/>
  </r>
  <r>
    <x v="322"/>
    <n v="581"/>
    <x v="0"/>
    <x v="10"/>
    <m/>
    <m/>
    <x v="224"/>
    <x v="181"/>
    <s v="Réparation"/>
    <x v="692"/>
    <x v="324"/>
    <x v="18"/>
    <s v="=SI(ESTVIDE([@[Date"/>
    <n v="6"/>
    <n v="2020"/>
    <x v="0"/>
  </r>
  <r>
    <x v="322"/>
    <n v="700"/>
    <x v="1"/>
    <x v="3"/>
    <m/>
    <m/>
    <x v="2"/>
    <x v="86"/>
    <s v="Réparation"/>
    <x v="693"/>
    <x v="323"/>
    <x v="18"/>
    <n v="1"/>
    <n v="6"/>
    <n v="2020"/>
    <x v="0"/>
  </r>
  <r>
    <x v="323"/>
    <n v="590"/>
    <x v="0"/>
    <x v="20"/>
    <m/>
    <m/>
    <x v="189"/>
    <x v="514"/>
    <s v="Réparation"/>
    <x v="694"/>
    <x v="324"/>
    <x v="18"/>
    <n v="1"/>
    <n v="6"/>
    <n v="2020"/>
    <x v="0"/>
  </r>
  <r>
    <x v="323"/>
    <n v="800"/>
    <x v="1"/>
    <x v="2"/>
    <m/>
    <m/>
    <x v="46"/>
    <x v="515"/>
    <s v="Réparation"/>
    <x v="695"/>
    <x v="324"/>
    <x v="18"/>
    <n v="1"/>
    <n v="6"/>
    <n v="2020"/>
    <x v="0"/>
  </r>
  <r>
    <x v="323"/>
    <n v="562"/>
    <x v="4"/>
    <x v="8"/>
    <m/>
    <m/>
    <x v="182"/>
    <x v="516"/>
    <s v="Réparation"/>
    <x v="696"/>
    <x v="324"/>
    <x v="18"/>
    <n v="15"/>
    <n v="6"/>
    <n v="2020"/>
    <x v="0"/>
  </r>
  <r>
    <x v="324"/>
    <n v="800"/>
    <x v="1"/>
    <x v="2"/>
    <m/>
    <m/>
    <x v="225"/>
    <x v="517"/>
    <s v="Réparation"/>
    <x v="697"/>
    <x v="325"/>
    <x v="18"/>
    <s v="=SI(ESTVIDE([@[Date"/>
    <n v="6"/>
    <n v="2020"/>
    <x v="0"/>
  </r>
  <r>
    <x v="324"/>
    <n v="571"/>
    <x v="0"/>
    <x v="7"/>
    <m/>
    <m/>
    <x v="16"/>
    <x v="518"/>
    <s v="Réparation"/>
    <x v="698"/>
    <x v="326"/>
    <x v="18"/>
    <n v="1"/>
    <n v="6"/>
    <n v="2020"/>
    <x v="0"/>
  </r>
  <r>
    <x v="325"/>
    <n v="562"/>
    <x v="4"/>
    <x v="8"/>
    <m/>
    <m/>
    <x v="165"/>
    <x v="519"/>
    <s v="Réparation"/>
    <x v="284"/>
    <x v="327"/>
    <x v="18"/>
    <s v="=SI(ESTVIDE([@[Date"/>
    <n v="6"/>
    <n v="2020"/>
    <x v="0"/>
  </r>
  <r>
    <x v="325"/>
    <n v="581"/>
    <x v="0"/>
    <x v="10"/>
    <m/>
    <m/>
    <x v="17"/>
    <x v="520"/>
    <s v="Réparation"/>
    <x v="699"/>
    <x v="327"/>
    <x v="18"/>
    <s v="=SI(ESTVIDE([@[Date"/>
    <n v="6"/>
    <n v="2020"/>
    <x v="0"/>
  </r>
  <r>
    <x v="325"/>
    <n v="700"/>
    <x v="1"/>
    <x v="3"/>
    <m/>
    <m/>
    <x v="46"/>
    <x v="55"/>
    <s v="Réparation"/>
    <x v="700"/>
    <x v="328"/>
    <x v="18"/>
    <n v="30"/>
    <n v="6"/>
    <n v="2020"/>
    <x v="0"/>
  </r>
  <r>
    <x v="325"/>
    <n v="560"/>
    <x v="0"/>
    <x v="0"/>
    <m/>
    <m/>
    <x v="30"/>
    <x v="521"/>
    <s v="Réparation"/>
    <x v="701"/>
    <x v="328"/>
    <x v="18"/>
    <n v="1"/>
    <n v="6"/>
    <n v="2020"/>
    <x v="0"/>
  </r>
  <r>
    <x v="326"/>
    <n v="700"/>
    <x v="1"/>
    <x v="3"/>
    <m/>
    <m/>
    <x v="69"/>
    <x v="522"/>
    <s v="Réparation"/>
    <x v="702"/>
    <x v="325"/>
    <x v="18"/>
    <s v="1H"/>
    <n v="6"/>
    <n v="2020"/>
    <x v="0"/>
  </r>
  <r>
    <x v="326"/>
    <n v="582"/>
    <x v="0"/>
    <x v="1"/>
    <m/>
    <m/>
    <x v="223"/>
    <x v="509"/>
    <s v="Réparation"/>
    <x v="353"/>
    <x v="325"/>
    <x v="18"/>
    <n v="30"/>
    <n v="6"/>
    <n v="2020"/>
    <x v="0"/>
  </r>
  <r>
    <x v="327"/>
    <n v="700"/>
    <x v="1"/>
    <x v="3"/>
    <m/>
    <m/>
    <x v="225"/>
    <x v="517"/>
    <s v="Réparation"/>
    <x v="697"/>
    <x v="329"/>
    <x v="18"/>
    <s v="=SI(ESTVIDE([@[Date"/>
    <n v="6"/>
    <n v="2020"/>
    <x v="0"/>
  </r>
  <r>
    <x v="327"/>
    <n v="700"/>
    <x v="1"/>
    <x v="3"/>
    <m/>
    <m/>
    <x v="2"/>
    <x v="523"/>
    <s v="Réparation"/>
    <x v="703"/>
    <x v="330"/>
    <x v="18"/>
    <s v="=SI(ESTVIDE([@[Date"/>
    <n v="6"/>
    <n v="2020"/>
    <x v="0"/>
  </r>
  <r>
    <x v="328"/>
    <n v="800"/>
    <x v="1"/>
    <x v="2"/>
    <m/>
    <m/>
    <x v="69"/>
    <x v="524"/>
    <s v="Réparation"/>
    <x v="704"/>
    <x v="330"/>
    <x v="18"/>
    <n v="20"/>
    <n v="6"/>
    <n v="2020"/>
    <x v="0"/>
  </r>
  <r>
    <x v="329"/>
    <n v="700"/>
    <x v="1"/>
    <x v="3"/>
    <m/>
    <m/>
    <x v="27"/>
    <x v="525"/>
    <s v="Réparation"/>
    <x v="705"/>
    <x v="331"/>
    <x v="18"/>
    <n v="1"/>
    <n v="6"/>
    <n v="2020"/>
    <x v="0"/>
  </r>
  <r>
    <x v="330"/>
    <n v="700"/>
    <x v="1"/>
    <x v="3"/>
    <m/>
    <m/>
    <x v="49"/>
    <x v="526"/>
    <s v="Réparation"/>
    <x v="706"/>
    <x v="332"/>
    <x v="18"/>
    <n v="1"/>
    <n v="6"/>
    <n v="2020"/>
    <x v="0"/>
  </r>
  <r>
    <x v="331"/>
    <n v="700"/>
    <x v="1"/>
    <x v="3"/>
    <m/>
    <m/>
    <x v="37"/>
    <x v="527"/>
    <s v="Réparation"/>
    <x v="707"/>
    <x v="329"/>
    <x v="18"/>
    <s v="=SI(ESTVIDE([@[Date"/>
    <n v="6"/>
    <n v="2020"/>
    <x v="0"/>
  </r>
  <r>
    <x v="332"/>
    <n v="565"/>
    <x v="0"/>
    <x v="4"/>
    <m/>
    <m/>
    <x v="66"/>
    <x v="528"/>
    <s v="Réparation"/>
    <x v="708"/>
    <x v="333"/>
    <x v="18"/>
    <n v="2"/>
    <n v="7"/>
    <n v="2020"/>
    <x v="0"/>
  </r>
  <r>
    <x v="332"/>
    <n v="581"/>
    <x v="0"/>
    <x v="10"/>
    <m/>
    <m/>
    <x v="137"/>
    <x v="529"/>
    <s v="Réparation"/>
    <x v="589"/>
    <x v="333"/>
    <x v="18"/>
    <n v="2"/>
    <n v="7"/>
    <n v="2020"/>
    <x v="0"/>
  </r>
  <r>
    <x v="333"/>
    <n v="606"/>
    <x v="0"/>
    <x v="17"/>
    <m/>
    <m/>
    <x v="0"/>
    <x v="530"/>
    <s v="Réparation"/>
    <x v="709"/>
    <x v="334"/>
    <x v="18"/>
    <n v="1"/>
    <n v="7"/>
    <n v="2020"/>
    <x v="0"/>
  </r>
  <r>
    <x v="334"/>
    <n v="582"/>
    <x v="0"/>
    <x v="1"/>
    <m/>
    <m/>
    <x v="32"/>
    <x v="531"/>
    <s v="Réparation"/>
    <x v="710"/>
    <x v="335"/>
    <x v="18"/>
    <n v="1"/>
    <n v="7"/>
    <n v="2020"/>
    <x v="0"/>
  </r>
  <r>
    <x v="335"/>
    <n v="582"/>
    <x v="0"/>
    <x v="1"/>
    <m/>
    <m/>
    <x v="17"/>
    <x v="529"/>
    <s v="Réparation"/>
    <x v="711"/>
    <x v="336"/>
    <x v="18"/>
    <n v="2"/>
    <n v="7"/>
    <n v="2020"/>
    <x v="0"/>
  </r>
  <r>
    <x v="335"/>
    <n v="800"/>
    <x v="1"/>
    <x v="2"/>
    <m/>
    <m/>
    <x v="226"/>
    <x v="532"/>
    <s v="Réparation"/>
    <x v="569"/>
    <x v="337"/>
    <x v="18"/>
    <s v="=SI(ESTVIDE([@[Date"/>
    <n v="7"/>
    <n v="2020"/>
    <x v="0"/>
  </r>
  <r>
    <x v="336"/>
    <n v="582"/>
    <x v="0"/>
    <x v="1"/>
    <m/>
    <m/>
    <x v="227"/>
    <x v="11"/>
    <s v="Réparation"/>
    <x v="549"/>
    <x v="338"/>
    <x v="18"/>
    <n v="1"/>
    <n v="7"/>
    <n v="2020"/>
    <x v="0"/>
  </r>
  <r>
    <x v="337"/>
    <n v="590"/>
    <x v="0"/>
    <x v="20"/>
    <m/>
    <m/>
    <x v="11"/>
    <x v="76"/>
    <s v="Réparation"/>
    <x v="712"/>
    <x v="339"/>
    <x v="18"/>
    <n v="1"/>
    <n v="7"/>
    <n v="2020"/>
    <x v="0"/>
  </r>
  <r>
    <x v="337"/>
    <n v="581"/>
    <x v="0"/>
    <x v="10"/>
    <m/>
    <m/>
    <x v="122"/>
    <x v="533"/>
    <s v="Réparation"/>
    <x v="713"/>
    <x v="339"/>
    <x v="18"/>
    <n v="1"/>
    <n v="7"/>
    <n v="2020"/>
    <x v="0"/>
  </r>
  <r>
    <x v="337"/>
    <n v="605"/>
    <x v="0"/>
    <x v="13"/>
    <m/>
    <m/>
    <x v="17"/>
    <x v="534"/>
    <s v="Réparation"/>
    <x v="714"/>
    <x v="339"/>
    <x v="18"/>
    <n v="1"/>
    <n v="7"/>
    <n v="2020"/>
    <x v="0"/>
  </r>
  <r>
    <x v="338"/>
    <n v="565"/>
    <x v="0"/>
    <x v="4"/>
    <m/>
    <m/>
    <x v="11"/>
    <x v="535"/>
    <s v="Réparation"/>
    <x v="284"/>
    <x v="340"/>
    <x v="18"/>
    <s v="=SI(ESTVIDE([@[Date"/>
    <n v="7"/>
    <n v="2020"/>
    <x v="0"/>
  </r>
  <r>
    <x v="338"/>
    <n v="700"/>
    <x v="1"/>
    <x v="3"/>
    <m/>
    <m/>
    <x v="228"/>
    <x v="536"/>
    <s v="Réparation"/>
    <x v="715"/>
    <x v="341"/>
    <x v="116"/>
    <s v="=SI(ESTVIDE([@[Date"/>
    <n v="1"/>
    <n v="2021"/>
    <x v="0"/>
  </r>
  <r>
    <x v="338"/>
    <n v="800"/>
    <x v="1"/>
    <x v="2"/>
    <m/>
    <m/>
    <x v="49"/>
    <x v="537"/>
    <s v="Réparation"/>
    <x v="284"/>
    <x v="342"/>
    <x v="18"/>
    <s v="=SI(ESTVIDE([@[Date"/>
    <n v="7"/>
    <n v="2020"/>
    <x v="0"/>
  </r>
  <r>
    <x v="338"/>
    <n v="800"/>
    <x v="1"/>
    <x v="2"/>
    <m/>
    <m/>
    <x v="99"/>
    <x v="538"/>
    <s v="Réparation"/>
    <x v="126"/>
    <x v="343"/>
    <x v="18"/>
    <n v="1"/>
    <n v="7"/>
    <n v="2020"/>
    <x v="0"/>
  </r>
  <r>
    <x v="339"/>
    <n v="590"/>
    <x v="0"/>
    <x v="20"/>
    <m/>
    <m/>
    <x v="87"/>
    <x v="145"/>
    <s v="Réparation"/>
    <x v="716"/>
    <x v="337"/>
    <x v="18"/>
    <n v="5"/>
    <n v="7"/>
    <n v="2020"/>
    <x v="0"/>
  </r>
  <r>
    <x v="339"/>
    <n v="700"/>
    <x v="1"/>
    <x v="3"/>
    <m/>
    <m/>
    <x v="229"/>
    <x v="409"/>
    <s v="Réparation"/>
    <x v="284"/>
    <x v="344"/>
    <x v="18"/>
    <s v="=SI(ESTVIDE([@[Date"/>
    <n v="7"/>
    <n v="2020"/>
    <x v="0"/>
  </r>
  <r>
    <x v="340"/>
    <n v="800"/>
    <x v="1"/>
    <x v="2"/>
    <m/>
    <m/>
    <x v="27"/>
    <x v="539"/>
    <s v="Réparation"/>
    <x v="717"/>
    <x v="342"/>
    <x v="18"/>
    <n v="4"/>
    <n v="7"/>
    <n v="2020"/>
    <x v="0"/>
  </r>
  <r>
    <x v="341"/>
    <n v="800"/>
    <x v="1"/>
    <x v="2"/>
    <m/>
    <m/>
    <x v="46"/>
    <x v="237"/>
    <s v="Réparation"/>
    <x v="718"/>
    <x v="345"/>
    <x v="18"/>
    <n v="1"/>
    <n v="7"/>
    <n v="2020"/>
    <x v="0"/>
  </r>
  <r>
    <x v="341"/>
    <n v="800"/>
    <x v="1"/>
    <x v="2"/>
    <m/>
    <m/>
    <x v="49"/>
    <x v="540"/>
    <s v="Réparation"/>
    <x v="719"/>
    <x v="345"/>
    <x v="18"/>
    <n v="1"/>
    <n v="7"/>
    <n v="2020"/>
    <x v="0"/>
  </r>
  <r>
    <x v="341"/>
    <n v="590"/>
    <x v="0"/>
    <x v="20"/>
    <m/>
    <m/>
    <x v="224"/>
    <x v="11"/>
    <s v="Réparation"/>
    <x v="720"/>
    <x v="345"/>
    <x v="18"/>
    <n v="4"/>
    <n v="7"/>
    <n v="2020"/>
    <x v="0"/>
  </r>
  <r>
    <x v="342"/>
    <n v="700"/>
    <x v="1"/>
    <x v="3"/>
    <m/>
    <m/>
    <x v="49"/>
    <x v="541"/>
    <s v="Dépannage"/>
    <x v="721"/>
    <x v="346"/>
    <x v="18"/>
    <n v="1"/>
    <n v="7"/>
    <n v="2020"/>
    <x v="0"/>
  </r>
  <r>
    <x v="342"/>
    <n v="581"/>
    <x v="0"/>
    <x v="10"/>
    <m/>
    <m/>
    <x v="17"/>
    <x v="542"/>
    <s v="Réparation"/>
    <x v="722"/>
    <x v="346"/>
    <x v="18"/>
    <n v="1"/>
    <n v="7"/>
    <n v="2020"/>
    <x v="0"/>
  </r>
  <r>
    <x v="343"/>
    <n v="582"/>
    <x v="0"/>
    <x v="1"/>
    <m/>
    <m/>
    <x v="230"/>
    <x v="509"/>
    <s v="Réparation"/>
    <x v="723"/>
    <x v="347"/>
    <x v="18"/>
    <n v="15"/>
    <n v="7"/>
    <n v="2020"/>
    <x v="0"/>
  </r>
  <r>
    <x v="344"/>
    <n v="800"/>
    <x v="1"/>
    <x v="2"/>
    <m/>
    <m/>
    <x v="161"/>
    <x v="317"/>
    <s v="Réparation"/>
    <x v="724"/>
    <x v="348"/>
    <x v="18"/>
    <n v="1"/>
    <n v="7"/>
    <n v="2020"/>
    <x v="0"/>
  </r>
  <r>
    <x v="345"/>
    <n v="800"/>
    <x v="1"/>
    <x v="2"/>
    <m/>
    <m/>
    <x v="37"/>
    <x v="209"/>
    <s v="Réparation"/>
    <x v="725"/>
    <x v="344"/>
    <x v="117"/>
    <n v="2"/>
    <n v="7"/>
    <n v="2020"/>
    <x v="0"/>
  </r>
  <r>
    <x v="346"/>
    <n v="565"/>
    <x v="0"/>
    <x v="4"/>
    <m/>
    <m/>
    <x v="231"/>
    <x v="543"/>
    <s v="Réparation"/>
    <x v="242"/>
    <x v="349"/>
    <x v="18"/>
    <n v="1"/>
    <n v="7"/>
    <n v="2020"/>
    <x v="0"/>
  </r>
  <r>
    <x v="346"/>
    <n v="565"/>
    <x v="0"/>
    <x v="4"/>
    <m/>
    <m/>
    <x v="232"/>
    <x v="544"/>
    <s v="Réparation"/>
    <x v="726"/>
    <x v="349"/>
    <x v="18"/>
    <n v="1"/>
    <n v="7"/>
    <n v="2020"/>
    <x v="0"/>
  </r>
  <r>
    <x v="347"/>
    <n v="800"/>
    <x v="1"/>
    <x v="2"/>
    <m/>
    <m/>
    <x v="37"/>
    <x v="209"/>
    <s v="Réparation"/>
    <x v="727"/>
    <x v="350"/>
    <x v="18"/>
    <s v="=SI(ESTVIDE([@[Date"/>
    <n v="7"/>
    <n v="2020"/>
    <x v="0"/>
  </r>
  <r>
    <x v="348"/>
    <n v="700"/>
    <x v="1"/>
    <x v="3"/>
    <m/>
    <m/>
    <x v="69"/>
    <x v="545"/>
    <s v="Réparation"/>
    <x v="226"/>
    <x v="351"/>
    <x v="18"/>
    <n v="1"/>
    <n v="7"/>
    <n v="2020"/>
    <x v="0"/>
  </r>
  <r>
    <x v="348"/>
    <n v="565"/>
    <x v="0"/>
    <x v="4"/>
    <m/>
    <m/>
    <x v="16"/>
    <x v="546"/>
    <s v="Réparation"/>
    <x v="728"/>
    <x v="351"/>
    <x v="18"/>
    <n v="2"/>
    <n v="7"/>
    <n v="2020"/>
    <x v="0"/>
  </r>
  <r>
    <x v="349"/>
    <n v="610"/>
    <x v="0"/>
    <x v="28"/>
    <m/>
    <m/>
    <x v="198"/>
    <x v="86"/>
    <s v="Réparation"/>
    <x v="729"/>
    <x v="352"/>
    <x v="18"/>
    <n v="2"/>
    <n v="7"/>
    <n v="2020"/>
    <x v="0"/>
  </r>
  <r>
    <x v="349"/>
    <n v="580"/>
    <x v="0"/>
    <x v="11"/>
    <m/>
    <m/>
    <x v="10"/>
    <x v="373"/>
    <s v="Réparation"/>
    <x v="573"/>
    <x v="352"/>
    <x v="18"/>
    <n v="1"/>
    <n v="7"/>
    <n v="2020"/>
    <x v="0"/>
  </r>
  <r>
    <x v="350"/>
    <n v="581"/>
    <x v="0"/>
    <x v="10"/>
    <m/>
    <m/>
    <x v="45"/>
    <x v="469"/>
    <s v="Réparation"/>
    <x v="730"/>
    <x v="353"/>
    <x v="18"/>
    <n v="3"/>
    <n v="7"/>
    <n v="2020"/>
    <x v="0"/>
  </r>
  <r>
    <x v="350"/>
    <n v="581"/>
    <x v="0"/>
    <x v="10"/>
    <m/>
    <m/>
    <x v="32"/>
    <x v="547"/>
    <s v="Réparation"/>
    <x v="731"/>
    <x v="353"/>
    <x v="18"/>
    <n v="15"/>
    <n v="7"/>
    <n v="2020"/>
    <x v="0"/>
  </r>
  <r>
    <x v="350"/>
    <n v="582"/>
    <x v="0"/>
    <x v="1"/>
    <m/>
    <m/>
    <x v="233"/>
    <x v="509"/>
    <s v="Réparation"/>
    <x v="167"/>
    <x v="353"/>
    <x v="18"/>
    <n v="30"/>
    <n v="7"/>
    <n v="2020"/>
    <x v="0"/>
  </r>
  <r>
    <x v="350"/>
    <n v="580"/>
    <x v="0"/>
    <x v="11"/>
    <m/>
    <m/>
    <x v="9"/>
    <x v="261"/>
    <s v="Réparation"/>
    <x v="427"/>
    <x v="353"/>
    <x v="18"/>
    <n v="30"/>
    <n v="7"/>
    <n v="2020"/>
    <x v="0"/>
  </r>
  <r>
    <x v="350"/>
    <n v="565"/>
    <x v="0"/>
    <x v="4"/>
    <m/>
    <m/>
    <x v="22"/>
    <x v="548"/>
    <s v="Réparation"/>
    <x v="732"/>
    <x v="353"/>
    <x v="18"/>
    <n v="480"/>
    <n v="7"/>
    <n v="2020"/>
    <x v="0"/>
  </r>
  <r>
    <x v="351"/>
    <n v="582"/>
    <x v="0"/>
    <x v="1"/>
    <m/>
    <m/>
    <x v="189"/>
    <x v="549"/>
    <s v="Réparation"/>
    <x v="733"/>
    <x v="354"/>
    <x v="18"/>
    <n v="1"/>
    <n v="7"/>
    <n v="2020"/>
    <x v="0"/>
  </r>
  <r>
    <x v="351"/>
    <n v="605"/>
    <x v="0"/>
    <x v="13"/>
    <m/>
    <m/>
    <x v="17"/>
    <x v="550"/>
    <s v="Réparation"/>
    <x v="734"/>
    <x v="355"/>
    <x v="18"/>
    <s v="=SI(ESTVIDE([@[Date"/>
    <n v="8"/>
    <n v="2020"/>
    <x v="0"/>
  </r>
  <r>
    <x v="352"/>
    <n v="582"/>
    <x v="0"/>
    <x v="1"/>
    <m/>
    <m/>
    <x v="223"/>
    <x v="181"/>
    <s v="Réparation"/>
    <x v="735"/>
    <x v="356"/>
    <x v="18"/>
    <n v="3"/>
    <n v="7"/>
    <n v="2020"/>
    <x v="0"/>
  </r>
  <r>
    <x v="353"/>
    <n v="800"/>
    <x v="1"/>
    <x v="2"/>
    <m/>
    <m/>
    <x v="37"/>
    <x v="498"/>
    <s v="Réparation"/>
    <x v="736"/>
    <x v="355"/>
    <x v="18"/>
    <s v="=SI(ESTVIDE([@[Date"/>
    <n v="8"/>
    <n v="2020"/>
    <x v="0"/>
  </r>
  <r>
    <x v="354"/>
    <n v="700"/>
    <x v="1"/>
    <x v="3"/>
    <m/>
    <m/>
    <x v="24"/>
    <x v="472"/>
    <s v="Vidange"/>
    <x v="737"/>
    <x v="357"/>
    <x v="18"/>
    <n v="60"/>
    <n v="8"/>
    <n v="2020"/>
    <x v="0"/>
  </r>
  <r>
    <x v="354"/>
    <n v="700"/>
    <x v="1"/>
    <x v="3"/>
    <m/>
    <m/>
    <x v="55"/>
    <x v="472"/>
    <s v="Vidange"/>
    <x v="738"/>
    <x v="357"/>
    <x v="18"/>
    <n v="120"/>
    <n v="8"/>
    <n v="2020"/>
    <x v="0"/>
  </r>
  <r>
    <x v="355"/>
    <n v="580"/>
    <x v="0"/>
    <x v="11"/>
    <m/>
    <m/>
    <x v="10"/>
    <x v="373"/>
    <s v="Réparation"/>
    <x v="739"/>
    <x v="355"/>
    <x v="18"/>
    <n v="20"/>
    <n v="8"/>
    <n v="2020"/>
    <x v="0"/>
  </r>
  <r>
    <x v="356"/>
    <n v="582"/>
    <x v="0"/>
    <x v="1"/>
    <m/>
    <m/>
    <x v="234"/>
    <x v="509"/>
    <s v="Réparation"/>
    <x v="167"/>
    <x v="358"/>
    <x v="18"/>
    <n v="30"/>
    <n v="8"/>
    <n v="2020"/>
    <x v="0"/>
  </r>
  <r>
    <x v="357"/>
    <n v="700"/>
    <x v="1"/>
    <x v="3"/>
    <m/>
    <m/>
    <x v="46"/>
    <x v="551"/>
    <s v="Réparation"/>
    <x v="740"/>
    <x v="308"/>
    <x v="18"/>
    <n v="1"/>
    <n v="5"/>
    <n v="2020"/>
    <x v="0"/>
  </r>
  <r>
    <x v="357"/>
    <n v="800"/>
    <x v="1"/>
    <x v="2"/>
    <m/>
    <m/>
    <x v="24"/>
    <x v="472"/>
    <s v="Vidange"/>
    <x v="737"/>
    <x v="359"/>
    <x v="18"/>
    <n v="45"/>
    <n v="8"/>
    <n v="2020"/>
    <x v="0"/>
  </r>
  <r>
    <x v="357"/>
    <n v="800"/>
    <x v="1"/>
    <x v="2"/>
    <m/>
    <m/>
    <x v="55"/>
    <x v="472"/>
    <s v="Vidange"/>
    <x v="741"/>
    <x v="359"/>
    <x v="18"/>
    <n v="120"/>
    <n v="8"/>
    <n v="2020"/>
    <x v="0"/>
  </r>
  <r>
    <x v="358"/>
    <n v="800"/>
    <x v="1"/>
    <x v="2"/>
    <m/>
    <m/>
    <x v="7"/>
    <x v="355"/>
    <s v="Réparation"/>
    <x v="742"/>
    <x v="360"/>
    <x v="18"/>
    <n v="1"/>
    <n v="8"/>
    <n v="2020"/>
    <x v="0"/>
  </r>
  <r>
    <x v="358"/>
    <n v="700"/>
    <x v="1"/>
    <x v="3"/>
    <m/>
    <m/>
    <x v="37"/>
    <x v="552"/>
    <s v="Réparation"/>
    <x v="743"/>
    <x v="361"/>
    <x v="18"/>
    <n v="1"/>
    <n v="5"/>
    <n v="2020"/>
    <x v="0"/>
  </r>
  <r>
    <x v="359"/>
    <n v="700"/>
    <x v="1"/>
    <x v="3"/>
    <m/>
    <m/>
    <x v="69"/>
    <x v="393"/>
    <s v="Réparation"/>
    <x v="744"/>
    <x v="362"/>
    <x v="18"/>
    <n v="20"/>
    <n v="5"/>
    <n v="2020"/>
    <x v="0"/>
  </r>
  <r>
    <x v="359"/>
    <n v="565"/>
    <x v="0"/>
    <x v="4"/>
    <m/>
    <m/>
    <x v="235"/>
    <x v="553"/>
    <s v="Réparation"/>
    <x v="745"/>
    <x v="360"/>
    <x v="18"/>
    <s v="=SI(ESTVIDE([@[Date"/>
    <n v="8"/>
    <n v="2020"/>
    <x v="0"/>
  </r>
  <r>
    <x v="360"/>
    <n v="581"/>
    <x v="0"/>
    <x v="10"/>
    <m/>
    <m/>
    <x v="137"/>
    <x v="181"/>
    <s v="Réparation"/>
    <x v="242"/>
    <x v="363"/>
    <x v="18"/>
    <s v="=SI(ESTVIDE([@[Date"/>
    <n v="8"/>
    <n v="2020"/>
    <x v="0"/>
  </r>
  <r>
    <x v="361"/>
    <n v="700"/>
    <x v="1"/>
    <x v="3"/>
    <m/>
    <m/>
    <x v="27"/>
    <x v="554"/>
    <s v="Réparation"/>
    <x v="289"/>
    <x v="364"/>
    <x v="18"/>
    <n v="1"/>
    <n v="8"/>
    <n v="2020"/>
    <x v="0"/>
  </r>
  <r>
    <x v="362"/>
    <n v="581"/>
    <x v="0"/>
    <x v="10"/>
    <m/>
    <m/>
    <x v="154"/>
    <x v="555"/>
    <s v="Réparation"/>
    <x v="17"/>
    <x v="363"/>
    <x v="18"/>
    <n v="3"/>
    <n v="8"/>
    <n v="2020"/>
    <x v="0"/>
  </r>
  <r>
    <x v="363"/>
    <n v="582"/>
    <x v="0"/>
    <x v="1"/>
    <m/>
    <m/>
    <x v="236"/>
    <x v="217"/>
    <s v="Réparation"/>
    <x v="746"/>
    <x v="365"/>
    <x v="18"/>
    <n v="2"/>
    <n v="8"/>
    <n v="2020"/>
    <x v="0"/>
  </r>
  <r>
    <x v="363"/>
    <n v="580"/>
    <x v="0"/>
    <x v="11"/>
    <m/>
    <m/>
    <x v="87"/>
    <x v="556"/>
    <s v="Réparation"/>
    <x v="747"/>
    <x v="365"/>
    <x v="18"/>
    <n v="4"/>
    <n v="8"/>
    <n v="2020"/>
    <x v="0"/>
  </r>
  <r>
    <x v="363"/>
    <n v="582"/>
    <x v="0"/>
    <x v="1"/>
    <m/>
    <m/>
    <x v="237"/>
    <x v="35"/>
    <s v="Réparation"/>
    <x v="234"/>
    <x v="365"/>
    <x v="18"/>
    <n v="30"/>
    <n v="8"/>
    <n v="2020"/>
    <x v="0"/>
  </r>
  <r>
    <x v="364"/>
    <n v="590"/>
    <x v="0"/>
    <x v="20"/>
    <m/>
    <m/>
    <x v="87"/>
    <x v="557"/>
    <s v="Réparation"/>
    <x v="748"/>
    <x v="366"/>
    <x v="18"/>
    <s v="=SI(ESTVIDE([@[Date"/>
    <n v="9"/>
    <n v="2020"/>
    <x v="0"/>
  </r>
  <r>
    <x v="365"/>
    <n v="582"/>
    <x v="0"/>
    <x v="1"/>
    <m/>
    <m/>
    <x v="97"/>
    <x v="11"/>
    <s v="Réparation"/>
    <x v="549"/>
    <x v="367"/>
    <x v="18"/>
    <n v="1"/>
    <n v="8"/>
    <n v="2020"/>
    <x v="0"/>
  </r>
  <r>
    <x v="366"/>
    <n v="800"/>
    <x v="1"/>
    <x v="2"/>
    <m/>
    <m/>
    <x v="27"/>
    <x v="22"/>
    <s v="Réparation"/>
    <x v="749"/>
    <x v="368"/>
    <x v="18"/>
    <n v="1"/>
    <n v="8"/>
    <n v="2020"/>
    <x v="0"/>
  </r>
  <r>
    <x v="367"/>
    <n v="582"/>
    <x v="0"/>
    <x v="1"/>
    <m/>
    <m/>
    <x v="238"/>
    <x v="558"/>
    <s v="Réparation"/>
    <x v="750"/>
    <x v="369"/>
    <x v="18"/>
    <n v="2"/>
    <n v="9"/>
    <n v="2020"/>
    <x v="0"/>
  </r>
  <r>
    <x v="367"/>
    <n v="590"/>
    <x v="0"/>
    <x v="20"/>
    <m/>
    <m/>
    <x v="220"/>
    <x v="559"/>
    <s v="Réparation"/>
    <x v="751"/>
    <x v="369"/>
    <x v="18"/>
    <n v="1"/>
    <n v="9"/>
    <n v="2020"/>
    <x v="0"/>
  </r>
  <r>
    <x v="367"/>
    <n v="590"/>
    <x v="0"/>
    <x v="20"/>
    <m/>
    <m/>
    <x v="239"/>
    <x v="560"/>
    <s v="Réparation"/>
    <x v="752"/>
    <x v="369"/>
    <x v="18"/>
    <n v="3"/>
    <n v="9"/>
    <n v="2020"/>
    <x v="0"/>
  </r>
  <r>
    <x v="367"/>
    <n v="700"/>
    <x v="1"/>
    <x v="3"/>
    <m/>
    <m/>
    <x v="9"/>
    <x v="393"/>
    <s v="Réparation"/>
    <x v="753"/>
    <x v="369"/>
    <x v="18"/>
    <n v="30"/>
    <n v="9"/>
    <n v="2020"/>
    <x v="0"/>
  </r>
  <r>
    <x v="368"/>
    <n v="570"/>
    <x v="0"/>
    <x v="16"/>
    <m/>
    <m/>
    <x v="175"/>
    <x v="357"/>
    <s v="Réparation"/>
    <x v="754"/>
    <x v="370"/>
    <x v="18"/>
    <n v="2"/>
    <n v="9"/>
    <n v="2020"/>
    <x v="0"/>
  </r>
  <r>
    <x v="368"/>
    <n v="581"/>
    <x v="0"/>
    <x v="10"/>
    <m/>
    <m/>
    <x v="17"/>
    <x v="561"/>
    <s v="Réparation"/>
    <x v="755"/>
    <x v="370"/>
    <x v="18"/>
    <n v="1"/>
    <n v="9"/>
    <n v="2020"/>
    <x v="0"/>
  </r>
  <r>
    <x v="368"/>
    <n v="700"/>
    <x v="1"/>
    <x v="3"/>
    <m/>
    <m/>
    <x v="37"/>
    <x v="562"/>
    <s v="Amélioration"/>
    <x v="756"/>
    <x v="370"/>
    <x v="18"/>
    <n v="1"/>
    <n v="9"/>
    <n v="2020"/>
    <x v="0"/>
  </r>
  <r>
    <x v="369"/>
    <n v="565"/>
    <x v="0"/>
    <x v="4"/>
    <m/>
    <m/>
    <x v="125"/>
    <x v="563"/>
    <s v="Réparation"/>
    <x v="274"/>
    <x v="371"/>
    <x v="18"/>
    <n v="1"/>
    <n v="9"/>
    <n v="2020"/>
    <x v="0"/>
  </r>
  <r>
    <x v="369"/>
    <n v="582"/>
    <x v="0"/>
    <x v="1"/>
    <m/>
    <m/>
    <x v="240"/>
    <x v="564"/>
    <s v="Réparation"/>
    <x v="757"/>
    <x v="372"/>
    <x v="18"/>
    <s v="=SI(ESTVIDE([@[Date"/>
    <n v="9"/>
    <n v="2020"/>
    <x v="0"/>
  </r>
  <r>
    <x v="369"/>
    <n v="700"/>
    <x v="1"/>
    <x v="3"/>
    <m/>
    <m/>
    <x v="9"/>
    <x v="565"/>
    <s v="Réparation"/>
    <x v="758"/>
    <x v="371"/>
    <x v="18"/>
    <n v="1"/>
    <n v="9"/>
    <n v="2020"/>
    <x v="0"/>
  </r>
  <r>
    <x v="370"/>
    <n v="700"/>
    <x v="1"/>
    <x v="3"/>
    <m/>
    <m/>
    <x v="69"/>
    <x v="566"/>
    <s v="Réparation"/>
    <x v="759"/>
    <x v="372"/>
    <x v="18"/>
    <n v="1"/>
    <n v="9"/>
    <n v="2020"/>
    <x v="0"/>
  </r>
  <r>
    <x v="370"/>
    <n v="700"/>
    <x v="1"/>
    <x v="3"/>
    <m/>
    <m/>
    <x v="49"/>
    <x v="567"/>
    <s v="Réparation"/>
    <x v="760"/>
    <x v="372"/>
    <x v="18"/>
    <n v="1"/>
    <n v="9"/>
    <n v="2020"/>
    <x v="0"/>
  </r>
  <r>
    <x v="371"/>
    <n v="582"/>
    <x v="0"/>
    <x v="1"/>
    <m/>
    <m/>
    <x v="241"/>
    <x v="568"/>
    <s v="Réparation"/>
    <x v="761"/>
    <x v="373"/>
    <x v="18"/>
    <n v="1"/>
    <n v="9"/>
    <n v="2020"/>
    <x v="0"/>
  </r>
  <r>
    <x v="371"/>
    <n v="610"/>
    <x v="0"/>
    <x v="28"/>
    <m/>
    <m/>
    <x v="210"/>
    <x v="364"/>
    <s v="Réparation"/>
    <x v="762"/>
    <x v="373"/>
    <x v="18"/>
    <n v="4"/>
    <n v="9"/>
    <n v="2020"/>
    <x v="0"/>
  </r>
  <r>
    <x v="371"/>
    <n v="570"/>
    <x v="0"/>
    <x v="16"/>
    <m/>
    <m/>
    <x v="27"/>
    <x v="569"/>
    <s v="Réparation"/>
    <x v="763"/>
    <x v="373"/>
    <x v="18"/>
    <n v="1"/>
    <n v="9"/>
    <n v="2020"/>
    <x v="0"/>
  </r>
  <r>
    <x v="371"/>
    <n v="700"/>
    <x v="1"/>
    <x v="3"/>
    <m/>
    <m/>
    <x v="242"/>
    <x v="570"/>
    <s v="Réparation"/>
    <x v="764"/>
    <x v="373"/>
    <x v="18"/>
    <n v="2"/>
    <n v="9"/>
    <n v="2020"/>
    <x v="0"/>
  </r>
  <r>
    <x v="372"/>
    <n v="605"/>
    <x v="0"/>
    <x v="13"/>
    <m/>
    <m/>
    <x v="97"/>
    <x v="571"/>
    <s v="Réparation"/>
    <x v="765"/>
    <x v="366"/>
    <x v="18"/>
    <n v="1"/>
    <n v="9"/>
    <n v="2020"/>
    <x v="0"/>
  </r>
  <r>
    <x v="372"/>
    <n v="565"/>
    <x v="0"/>
    <x v="4"/>
    <m/>
    <m/>
    <x v="66"/>
    <x v="181"/>
    <s v="Réparation"/>
    <x v="665"/>
    <x v="366"/>
    <x v="18"/>
    <n v="1"/>
    <n v="9"/>
    <n v="2020"/>
    <x v="0"/>
  </r>
  <r>
    <x v="372"/>
    <n v="580"/>
    <x v="0"/>
    <x v="11"/>
    <m/>
    <m/>
    <x v="243"/>
    <x v="572"/>
    <s v="Réparation"/>
    <x v="766"/>
    <x v="366"/>
    <x v="18"/>
    <n v="1"/>
    <n v="9"/>
    <n v="2020"/>
    <x v="0"/>
  </r>
  <r>
    <x v="372"/>
    <n v="582"/>
    <x v="0"/>
    <x v="1"/>
    <m/>
    <m/>
    <x v="244"/>
    <x v="166"/>
    <s v="Réparation"/>
    <x v="767"/>
    <x v="366"/>
    <x v="18"/>
    <n v="1"/>
    <n v="9"/>
    <n v="2020"/>
    <x v="0"/>
  </r>
  <r>
    <x v="373"/>
    <n v="700"/>
    <x v="1"/>
    <x v="3"/>
    <m/>
    <m/>
    <x v="27"/>
    <x v="87"/>
    <s v="Réparation"/>
    <x v="768"/>
    <x v="374"/>
    <x v="18"/>
    <s v="=SI(ESTVIDE([@[Date"/>
    <n v="9"/>
    <n v="2020"/>
    <x v="0"/>
  </r>
  <r>
    <x v="373"/>
    <n v="700"/>
    <x v="1"/>
    <x v="3"/>
    <m/>
    <m/>
    <x v="60"/>
    <x v="573"/>
    <s v="Réparation"/>
    <x v="769"/>
    <x v="375"/>
    <x v="18"/>
    <n v="4"/>
    <n v="9"/>
    <n v="2020"/>
    <x v="0"/>
  </r>
  <r>
    <x v="373"/>
    <n v="700"/>
    <x v="1"/>
    <x v="3"/>
    <m/>
    <m/>
    <x v="106"/>
    <x v="87"/>
    <s v="Réparation"/>
    <x v="770"/>
    <x v="375"/>
    <x v="18"/>
    <n v="4"/>
    <n v="9"/>
    <n v="2020"/>
    <x v="0"/>
  </r>
  <r>
    <x v="373"/>
    <n v="583"/>
    <x v="4"/>
    <x v="21"/>
    <m/>
    <m/>
    <x v="95"/>
    <x v="574"/>
    <s v="Réparation"/>
    <x v="771"/>
    <x v="375"/>
    <x v="18"/>
    <n v="30"/>
    <n v="9"/>
    <n v="2020"/>
    <x v="0"/>
  </r>
  <r>
    <x v="374"/>
    <n v="560"/>
    <x v="0"/>
    <x v="0"/>
    <m/>
    <m/>
    <x v="22"/>
    <x v="575"/>
    <s v="Réparation"/>
    <x v="772"/>
    <x v="374"/>
    <x v="18"/>
    <n v="15"/>
    <n v="9"/>
    <n v="2020"/>
    <x v="0"/>
  </r>
  <r>
    <x v="374"/>
    <n v="605"/>
    <x v="0"/>
    <x v="13"/>
    <m/>
    <m/>
    <x v="0"/>
    <x v="576"/>
    <s v="Réparation"/>
    <x v="466"/>
    <x v="374"/>
    <x v="18"/>
    <n v="20"/>
    <n v="9"/>
    <n v="2020"/>
    <x v="0"/>
  </r>
  <r>
    <x v="374"/>
    <n v="700"/>
    <x v="1"/>
    <x v="3"/>
    <m/>
    <m/>
    <x v="49"/>
    <x v="577"/>
    <s v="Réparation"/>
    <x v="773"/>
    <x v="374"/>
    <x v="18"/>
    <n v="2"/>
    <n v="9"/>
    <n v="2020"/>
    <x v="0"/>
  </r>
  <r>
    <x v="374"/>
    <n v="605"/>
    <x v="0"/>
    <x v="13"/>
    <m/>
    <m/>
    <x v="0"/>
    <x v="578"/>
    <s v="Réparation"/>
    <x v="466"/>
    <x v="374"/>
    <x v="18"/>
    <n v="20"/>
    <n v="9"/>
    <n v="2020"/>
    <x v="0"/>
  </r>
  <r>
    <x v="375"/>
    <n v="581"/>
    <x v="0"/>
    <x v="10"/>
    <m/>
    <m/>
    <x v="15"/>
    <x v="579"/>
    <s v="Réparation"/>
    <x v="774"/>
    <x v="376"/>
    <x v="18"/>
    <s v="=SI(ESTVIDE([@[Date"/>
    <n v="9"/>
    <n v="2020"/>
    <x v="0"/>
  </r>
  <r>
    <x v="375"/>
    <n v="580"/>
    <x v="0"/>
    <x v="11"/>
    <m/>
    <m/>
    <x v="87"/>
    <x v="580"/>
    <s v="Réparation"/>
    <x v="775"/>
    <x v="377"/>
    <x v="18"/>
    <s v="=SI(ESTVIDE([@[Date"/>
    <n v="9"/>
    <n v="2020"/>
    <x v="0"/>
  </r>
  <r>
    <x v="375"/>
    <n v="568"/>
    <x v="4"/>
    <x v="14"/>
    <m/>
    <m/>
    <x v="182"/>
    <x v="54"/>
    <m/>
    <x v="776"/>
    <x v="378"/>
    <x v="18"/>
    <m/>
    <n v="9"/>
    <n v="2020"/>
    <x v="0"/>
  </r>
  <r>
    <x v="375"/>
    <n v="565"/>
    <x v="0"/>
    <x v="4"/>
    <m/>
    <m/>
    <x v="125"/>
    <x v="581"/>
    <s v="Réparation"/>
    <x v="274"/>
    <x v="378"/>
    <x v="18"/>
    <m/>
    <n v="9"/>
    <n v="2020"/>
    <x v="0"/>
  </r>
  <r>
    <x v="375"/>
    <n v="581"/>
    <x v="0"/>
    <x v="10"/>
    <m/>
    <m/>
    <x v="15"/>
    <x v="582"/>
    <s v="Réparation"/>
    <x v="777"/>
    <x v="379"/>
    <x v="18"/>
    <s v="=SI(ESTVIDE([@[Date"/>
    <n v="9"/>
    <n v="2020"/>
    <x v="0"/>
  </r>
  <r>
    <x v="375"/>
    <n v="700"/>
    <x v="1"/>
    <x v="3"/>
    <m/>
    <m/>
    <x v="60"/>
    <x v="583"/>
    <s v="Réparation"/>
    <x v="778"/>
    <x v="378"/>
    <x v="18"/>
    <n v="1"/>
    <n v="9"/>
    <n v="2020"/>
    <x v="0"/>
  </r>
  <r>
    <x v="375"/>
    <n v="580"/>
    <x v="0"/>
    <x v="11"/>
    <m/>
    <m/>
    <x v="87"/>
    <x v="584"/>
    <s v="Réparation"/>
    <x v="779"/>
    <x v="378"/>
    <x v="18"/>
    <n v="1"/>
    <n v="9"/>
    <n v="2020"/>
    <x v="0"/>
  </r>
  <r>
    <x v="375"/>
    <n v="560"/>
    <x v="0"/>
    <x v="0"/>
    <m/>
    <m/>
    <x v="22"/>
    <x v="585"/>
    <s v="Réparation"/>
    <x v="780"/>
    <x v="378"/>
    <x v="18"/>
    <n v="1"/>
    <n v="9"/>
    <n v="2020"/>
    <x v="0"/>
  </r>
  <r>
    <x v="375"/>
    <n v="568"/>
    <x v="4"/>
    <x v="14"/>
    <m/>
    <m/>
    <x v="245"/>
    <x v="54"/>
    <s v="Réparation"/>
    <x v="781"/>
    <x v="378"/>
    <x v="18"/>
    <m/>
    <n v="9"/>
    <n v="2020"/>
    <x v="0"/>
  </r>
  <r>
    <x v="375"/>
    <n v="565"/>
    <x v="0"/>
    <x v="4"/>
    <m/>
    <m/>
    <x v="160"/>
    <x v="586"/>
    <s v="Réparation"/>
    <x v="274"/>
    <x v="378"/>
    <x v="18"/>
    <n v="20"/>
    <n v="9"/>
    <n v="2020"/>
    <x v="0"/>
  </r>
  <r>
    <x v="376"/>
    <n v="590"/>
    <x v="0"/>
    <x v="20"/>
    <m/>
    <m/>
    <x v="219"/>
    <x v="261"/>
    <s v="Réparation"/>
    <x v="427"/>
    <x v="377"/>
    <x v="18"/>
    <n v="1"/>
    <n v="9"/>
    <n v="2020"/>
    <x v="0"/>
  </r>
  <r>
    <x v="376"/>
    <n v="800"/>
    <x v="1"/>
    <x v="2"/>
    <m/>
    <m/>
    <x v="92"/>
    <x v="469"/>
    <s v="Réparation"/>
    <x v="782"/>
    <x v="377"/>
    <x v="18"/>
    <n v="3"/>
    <n v="9"/>
    <n v="2020"/>
    <x v="0"/>
  </r>
  <r>
    <x v="376"/>
    <n v="590"/>
    <x v="0"/>
    <x v="20"/>
    <m/>
    <m/>
    <x v="219"/>
    <x v="587"/>
    <s v="Réparation"/>
    <x v="783"/>
    <x v="377"/>
    <x v="18"/>
    <n v="1"/>
    <n v="9"/>
    <n v="2020"/>
    <x v="0"/>
  </r>
  <r>
    <x v="377"/>
    <n v="590"/>
    <x v="0"/>
    <x v="20"/>
    <m/>
    <m/>
    <x v="246"/>
    <x v="588"/>
    <s v="Réparation"/>
    <x v="784"/>
    <x v="380"/>
    <x v="18"/>
    <n v="1"/>
    <n v="9"/>
    <n v="2020"/>
    <x v="0"/>
  </r>
  <r>
    <x v="378"/>
    <n v="800"/>
    <x v="1"/>
    <x v="2"/>
    <m/>
    <m/>
    <x v="171"/>
    <x v="589"/>
    <s v="Réparation"/>
    <x v="785"/>
    <x v="381"/>
    <x v="18"/>
    <n v="30"/>
    <n v="9"/>
    <n v="2020"/>
    <x v="0"/>
  </r>
  <r>
    <x v="378"/>
    <n v="800"/>
    <x v="1"/>
    <x v="2"/>
    <m/>
    <m/>
    <x v="247"/>
    <x v="189"/>
    <s v="Réparation"/>
    <x v="234"/>
    <x v="381"/>
    <x v="18"/>
    <n v="30"/>
    <n v="9"/>
    <n v="2020"/>
    <x v="0"/>
  </r>
  <r>
    <x v="379"/>
    <n v="590"/>
    <x v="0"/>
    <x v="20"/>
    <m/>
    <m/>
    <x v="248"/>
    <x v="11"/>
    <s v="Réparation"/>
    <x v="786"/>
    <x v="382"/>
    <x v="18"/>
    <n v="1"/>
    <n v="9"/>
    <n v="2020"/>
    <x v="0"/>
  </r>
  <r>
    <x v="379"/>
    <n v="700"/>
    <x v="1"/>
    <x v="3"/>
    <m/>
    <m/>
    <x v="24"/>
    <x v="590"/>
    <s v="Réparation"/>
    <x v="787"/>
    <x v="382"/>
    <x v="18"/>
    <m/>
    <n v="9"/>
    <n v="2020"/>
    <x v="0"/>
  </r>
  <r>
    <x v="379"/>
    <n v="800"/>
    <x v="1"/>
    <x v="2"/>
    <m/>
    <m/>
    <x v="24"/>
    <x v="591"/>
    <s v="Réparation"/>
    <x v="788"/>
    <x v="382"/>
    <x v="18"/>
    <n v="45"/>
    <n v="9"/>
    <n v="2020"/>
    <x v="0"/>
  </r>
  <r>
    <x v="379"/>
    <n v="800"/>
    <x v="1"/>
    <x v="2"/>
    <m/>
    <m/>
    <x v="28"/>
    <x v="592"/>
    <s v="Réparation"/>
    <x v="789"/>
    <x v="382"/>
    <x v="18"/>
    <n v="30"/>
    <n v="9"/>
    <n v="2020"/>
    <x v="0"/>
  </r>
  <r>
    <x v="380"/>
    <n v="533"/>
    <x v="2"/>
    <x v="5"/>
    <m/>
    <m/>
    <x v="249"/>
    <x v="593"/>
    <s v="Réparation"/>
    <x v="790"/>
    <x v="383"/>
    <x v="18"/>
    <n v="2"/>
    <n v="9"/>
    <n v="2020"/>
    <x v="0"/>
  </r>
  <r>
    <x v="381"/>
    <n v="582"/>
    <x v="0"/>
    <x v="1"/>
    <m/>
    <m/>
    <x v="244"/>
    <x v="166"/>
    <s v="Réparation"/>
    <x v="791"/>
    <x v="384"/>
    <x v="18"/>
    <n v="2"/>
    <n v="9"/>
    <n v="2020"/>
    <x v="0"/>
  </r>
  <r>
    <x v="382"/>
    <n v="800"/>
    <x v="1"/>
    <x v="2"/>
    <m/>
    <m/>
    <x v="46"/>
    <x v="594"/>
    <s v="Réparation"/>
    <x v="582"/>
    <x v="379"/>
    <x v="18"/>
    <n v="45"/>
    <n v="9"/>
    <n v="2020"/>
    <x v="0"/>
  </r>
  <r>
    <x v="382"/>
    <n v="800"/>
    <x v="1"/>
    <x v="2"/>
    <m/>
    <m/>
    <x v="27"/>
    <x v="595"/>
    <s v="Réparation"/>
    <x v="792"/>
    <x v="379"/>
    <x v="18"/>
    <n v="30"/>
    <n v="9"/>
    <n v="2020"/>
    <x v="0"/>
  </r>
  <r>
    <x v="382"/>
    <n v="590"/>
    <x v="0"/>
    <x v="20"/>
    <m/>
    <m/>
    <x v="42"/>
    <x v="596"/>
    <s v="Réparation"/>
    <x v="793"/>
    <x v="379"/>
    <x v="18"/>
    <n v="3"/>
    <n v="9"/>
    <n v="2020"/>
    <x v="0"/>
  </r>
  <r>
    <x v="383"/>
    <n v="700"/>
    <x v="1"/>
    <x v="3"/>
    <m/>
    <m/>
    <x v="23"/>
    <x v="597"/>
    <s v="Réparation"/>
    <x v="794"/>
    <x v="385"/>
    <x v="18"/>
    <n v="2"/>
    <n v="9"/>
    <n v="2020"/>
    <x v="0"/>
  </r>
  <r>
    <x v="383"/>
    <n v="800"/>
    <x v="1"/>
    <x v="2"/>
    <m/>
    <m/>
    <x v="24"/>
    <x v="598"/>
    <s v="Réparation"/>
    <x v="795"/>
    <x v="385"/>
    <x v="18"/>
    <n v="30"/>
    <n v="9"/>
    <n v="2020"/>
    <x v="0"/>
  </r>
  <r>
    <x v="384"/>
    <n v="533"/>
    <x v="2"/>
    <x v="5"/>
    <m/>
    <m/>
    <x v="250"/>
    <x v="593"/>
    <s v="Réparation"/>
    <x v="790"/>
    <x v="386"/>
    <x v="18"/>
    <n v="2"/>
    <n v="10"/>
    <n v="2020"/>
    <x v="0"/>
  </r>
  <r>
    <x v="385"/>
    <n v="700"/>
    <x v="1"/>
    <x v="3"/>
    <m/>
    <m/>
    <x v="54"/>
    <x v="262"/>
    <s v="Réparation"/>
    <x v="404"/>
    <x v="387"/>
    <x v="18"/>
    <n v="20"/>
    <n v="10"/>
    <n v="2020"/>
    <x v="0"/>
  </r>
  <r>
    <x v="385"/>
    <n v="700"/>
    <x v="1"/>
    <x v="3"/>
    <m/>
    <m/>
    <x v="49"/>
    <x v="599"/>
    <s v="Réparation"/>
    <x v="796"/>
    <x v="387"/>
    <x v="18"/>
    <n v="13"/>
    <n v="10"/>
    <n v="2020"/>
    <x v="0"/>
  </r>
  <r>
    <x v="386"/>
    <n v="800"/>
    <x v="1"/>
    <x v="2"/>
    <m/>
    <m/>
    <x v="46"/>
    <x v="600"/>
    <s v="Réparation"/>
    <x v="797"/>
    <x v="388"/>
    <x v="18"/>
    <n v="30"/>
    <n v="10"/>
    <n v="2020"/>
    <x v="0"/>
  </r>
  <r>
    <x v="387"/>
    <n v="800"/>
    <x v="1"/>
    <x v="2"/>
    <m/>
    <m/>
    <x v="49"/>
    <x v="601"/>
    <s v="Réparation"/>
    <x v="798"/>
    <x v="389"/>
    <x v="18"/>
    <n v="1"/>
    <n v="10"/>
    <n v="2020"/>
    <x v="0"/>
  </r>
  <r>
    <x v="388"/>
    <n v="560"/>
    <x v="0"/>
    <x v="0"/>
    <m/>
    <m/>
    <x v="0"/>
    <x v="602"/>
    <s v="Réparation"/>
    <x v="799"/>
    <x v="390"/>
    <x v="18"/>
    <n v="1"/>
    <n v="10"/>
    <n v="2020"/>
    <x v="0"/>
  </r>
  <r>
    <x v="388"/>
    <n v="571"/>
    <x v="0"/>
    <x v="7"/>
    <m/>
    <m/>
    <x v="66"/>
    <x v="603"/>
    <s v="Réparation"/>
    <x v="800"/>
    <x v="390"/>
    <x v="18"/>
    <n v="30"/>
    <n v="10"/>
    <n v="2020"/>
    <x v="0"/>
  </r>
  <r>
    <x v="388"/>
    <n v="581"/>
    <x v="0"/>
    <x v="10"/>
    <m/>
    <m/>
    <x v="224"/>
    <x v="217"/>
    <s v="Réparation"/>
    <x v="79"/>
    <x v="390"/>
    <x v="18"/>
    <n v="1"/>
    <n v="10"/>
    <n v="2020"/>
    <x v="0"/>
  </r>
  <r>
    <x v="388"/>
    <n v="581"/>
    <x v="0"/>
    <x v="10"/>
    <m/>
    <m/>
    <x v="224"/>
    <x v="604"/>
    <s v="Réparation"/>
    <x v="353"/>
    <x v="390"/>
    <x v="18"/>
    <n v="15"/>
    <n v="10"/>
    <n v="2020"/>
    <x v="0"/>
  </r>
  <r>
    <x v="389"/>
    <n v="560"/>
    <x v="0"/>
    <x v="0"/>
    <m/>
    <m/>
    <x v="0"/>
    <x v="605"/>
    <s v="Réparation"/>
    <x v="207"/>
    <x v="391"/>
    <x v="18"/>
    <n v="20"/>
    <n v="10"/>
    <n v="2020"/>
    <x v="0"/>
  </r>
  <r>
    <x v="389"/>
    <n v="571"/>
    <x v="0"/>
    <x v="7"/>
    <m/>
    <m/>
    <x v="97"/>
    <x v="606"/>
    <s v="Réparation"/>
    <x v="801"/>
    <x v="391"/>
    <x v="18"/>
    <n v="45"/>
    <n v="10"/>
    <n v="2020"/>
    <x v="0"/>
  </r>
  <r>
    <x v="390"/>
    <n v="700"/>
    <x v="1"/>
    <x v="3"/>
    <m/>
    <m/>
    <x v="46"/>
    <x v="607"/>
    <s v="Réparation"/>
    <x v="802"/>
    <x v="392"/>
    <x v="18"/>
    <n v="2"/>
    <n v="10"/>
    <n v="2020"/>
    <x v="0"/>
  </r>
  <r>
    <x v="390"/>
    <n v="620"/>
    <x v="0"/>
    <x v="26"/>
    <m/>
    <m/>
    <x v="2"/>
    <x v="608"/>
    <s v="Réparation"/>
    <x v="625"/>
    <x v="392"/>
    <x v="18"/>
    <n v="40"/>
    <n v="10"/>
    <n v="2020"/>
    <x v="0"/>
  </r>
  <r>
    <x v="390"/>
    <n v="582"/>
    <x v="0"/>
    <x v="1"/>
    <m/>
    <m/>
    <x v="32"/>
    <x v="262"/>
    <s v="Réparation"/>
    <x v="803"/>
    <x v="392"/>
    <x v="18"/>
    <n v="15"/>
    <n v="10"/>
    <n v="2020"/>
    <x v="0"/>
  </r>
  <r>
    <x v="390"/>
    <n v="607"/>
    <x v="0"/>
    <x v="12"/>
    <m/>
    <m/>
    <x v="97"/>
    <x v="217"/>
    <s v="Réparation"/>
    <x v="804"/>
    <x v="392"/>
    <x v="18"/>
    <n v="30"/>
    <n v="10"/>
    <n v="2020"/>
    <x v="0"/>
  </r>
  <r>
    <x v="390"/>
    <n v="604"/>
    <x v="0"/>
    <x v="22"/>
    <m/>
    <m/>
    <x v="0"/>
    <x v="609"/>
    <s v="Réparation"/>
    <x v="805"/>
    <x v="392"/>
    <x v="18"/>
    <n v="15"/>
    <n v="10"/>
    <n v="2020"/>
    <x v="0"/>
  </r>
  <r>
    <x v="391"/>
    <n v="582"/>
    <x v="0"/>
    <x v="1"/>
    <m/>
    <m/>
    <x v="15"/>
    <x v="610"/>
    <s v="Réparation"/>
    <x v="806"/>
    <x v="393"/>
    <x v="18"/>
    <n v="45"/>
    <n v="10"/>
    <n v="2020"/>
    <x v="0"/>
  </r>
  <r>
    <x v="392"/>
    <n v="800"/>
    <x v="1"/>
    <x v="2"/>
    <m/>
    <m/>
    <x v="49"/>
    <x v="114"/>
    <s v="Réparation"/>
    <x v="807"/>
    <x v="394"/>
    <x v="18"/>
    <n v="1"/>
    <n v="10"/>
    <n v="2020"/>
    <x v="0"/>
  </r>
  <r>
    <x v="393"/>
    <n v="700"/>
    <x v="1"/>
    <x v="3"/>
    <m/>
    <m/>
    <x v="106"/>
    <x v="611"/>
    <s v="Réparation"/>
    <x v="808"/>
    <x v="395"/>
    <x v="18"/>
    <n v="20"/>
    <n v="10"/>
    <n v="2020"/>
    <x v="0"/>
  </r>
  <r>
    <x v="393"/>
    <n v="700"/>
    <x v="1"/>
    <x v="3"/>
    <m/>
    <m/>
    <x v="251"/>
    <x v="612"/>
    <s v="Réparation"/>
    <x v="404"/>
    <x v="395"/>
    <x v="18"/>
    <n v="15"/>
    <n v="10"/>
    <n v="2020"/>
    <x v="0"/>
  </r>
  <r>
    <x v="393"/>
    <n v="581"/>
    <x v="0"/>
    <x v="10"/>
    <m/>
    <m/>
    <x v="252"/>
    <x v="391"/>
    <s v="Réparation"/>
    <x v="353"/>
    <x v="395"/>
    <x v="18"/>
    <n v="20"/>
    <n v="10"/>
    <n v="2020"/>
    <x v="0"/>
  </r>
  <r>
    <x v="394"/>
    <n v="800"/>
    <x v="1"/>
    <x v="2"/>
    <m/>
    <m/>
    <x v="184"/>
    <x v="589"/>
    <s v="Réparation"/>
    <x v="179"/>
    <x v="396"/>
    <x v="18"/>
    <n v="20"/>
    <n v="10"/>
    <n v="2020"/>
    <x v="0"/>
  </r>
  <r>
    <x v="394"/>
    <n v="582"/>
    <x v="0"/>
    <x v="1"/>
    <m/>
    <m/>
    <x v="126"/>
    <x v="596"/>
    <s v="Réparation"/>
    <x v="513"/>
    <x v="396"/>
    <x v="18"/>
    <n v="3"/>
    <n v="10"/>
    <n v="2020"/>
    <x v="0"/>
  </r>
  <r>
    <x v="394"/>
    <n v="565"/>
    <x v="0"/>
    <x v="4"/>
    <m/>
    <m/>
    <x v="22"/>
    <x v="613"/>
    <s v="Réparation"/>
    <x v="465"/>
    <x v="396"/>
    <x v="18"/>
    <n v="30"/>
    <n v="10"/>
    <n v="2020"/>
    <x v="0"/>
  </r>
  <r>
    <x v="395"/>
    <n v="700"/>
    <x v="1"/>
    <x v="3"/>
    <m/>
    <m/>
    <x v="251"/>
    <x v="86"/>
    <s v="Réparation"/>
    <x v="729"/>
    <x v="397"/>
    <x v="18"/>
    <n v="20"/>
    <n v="10"/>
    <n v="2020"/>
    <x v="0"/>
  </r>
  <r>
    <x v="395"/>
    <n v="700"/>
    <x v="1"/>
    <x v="3"/>
    <m/>
    <m/>
    <x v="114"/>
    <x v="614"/>
    <s v="Réparation"/>
    <x v="809"/>
    <x v="397"/>
    <x v="18"/>
    <n v="1"/>
    <n v="10"/>
    <n v="2020"/>
    <x v="0"/>
  </r>
  <r>
    <x v="395"/>
    <n v="584"/>
    <x v="4"/>
    <x v="24"/>
    <m/>
    <m/>
    <x v="10"/>
    <x v="615"/>
    <s v="Réparation"/>
    <x v="810"/>
    <x v="397"/>
    <x v="18"/>
    <n v="1"/>
    <n v="10"/>
    <n v="2020"/>
    <x v="0"/>
  </r>
  <r>
    <x v="396"/>
    <n v="800"/>
    <x v="1"/>
    <x v="2"/>
    <m/>
    <m/>
    <x v="49"/>
    <x v="616"/>
    <s v="Réparation"/>
    <x v="811"/>
    <x v="398"/>
    <x v="18"/>
    <n v="1"/>
    <n v="10"/>
    <n v="2020"/>
    <x v="0"/>
  </r>
  <r>
    <x v="396"/>
    <n v="533"/>
    <x v="2"/>
    <x v="5"/>
    <m/>
    <m/>
    <x v="253"/>
    <x v="617"/>
    <s v="Réparation"/>
    <x v="812"/>
    <x v="398"/>
    <x v="18"/>
    <n v="20"/>
    <n v="10"/>
    <n v="2020"/>
    <x v="0"/>
  </r>
  <r>
    <x v="396"/>
    <n v="570"/>
    <x v="0"/>
    <x v="16"/>
    <m/>
    <m/>
    <x v="97"/>
    <x v="618"/>
    <s v="Réparation"/>
    <x v="404"/>
    <x v="398"/>
    <x v="18"/>
    <n v="15"/>
    <n v="10"/>
    <n v="2020"/>
    <x v="0"/>
  </r>
  <r>
    <x v="397"/>
    <n v="700"/>
    <x v="1"/>
    <x v="3"/>
    <m/>
    <m/>
    <x v="59"/>
    <x v="619"/>
    <s v="Réparation"/>
    <x v="813"/>
    <x v="399"/>
    <x v="18"/>
    <n v="30"/>
    <n v="10"/>
    <n v="2020"/>
    <x v="0"/>
  </r>
  <r>
    <x v="397"/>
    <n v="700"/>
    <x v="1"/>
    <x v="3"/>
    <m/>
    <m/>
    <x v="49"/>
    <x v="54"/>
    <s v="Réparation"/>
    <x v="466"/>
    <x v="399"/>
    <x v="18"/>
    <n v="1"/>
    <n v="10"/>
    <n v="2020"/>
    <x v="0"/>
  </r>
  <r>
    <x v="397"/>
    <n v="560"/>
    <x v="0"/>
    <x v="0"/>
    <m/>
    <m/>
    <x v="22"/>
    <x v="620"/>
    <s v="Réparation"/>
    <x v="814"/>
    <x v="399"/>
    <x v="18"/>
    <n v="40"/>
    <n v="10"/>
    <n v="2020"/>
    <x v="0"/>
  </r>
  <r>
    <x v="398"/>
    <n v="700"/>
    <x v="1"/>
    <x v="3"/>
    <m/>
    <m/>
    <x v="48"/>
    <x v="621"/>
    <s v="Réparation"/>
    <x v="815"/>
    <x v="400"/>
    <x v="18"/>
    <n v="1"/>
    <n v="10"/>
    <n v="2020"/>
    <x v="0"/>
  </r>
  <r>
    <x v="398"/>
    <n v="582"/>
    <x v="0"/>
    <x v="1"/>
    <m/>
    <m/>
    <x v="87"/>
    <x v="622"/>
    <s v="Réparation"/>
    <x v="779"/>
    <x v="400"/>
    <x v="18"/>
    <s v="3j"/>
    <n v="10"/>
    <n v="2020"/>
    <x v="0"/>
  </r>
  <r>
    <x v="399"/>
    <n v="700"/>
    <x v="1"/>
    <x v="3"/>
    <m/>
    <m/>
    <x v="242"/>
    <x v="623"/>
    <s v="Réparation"/>
    <x v="361"/>
    <x v="401"/>
    <x v="18"/>
    <n v="2"/>
    <n v="10"/>
    <n v="2020"/>
    <x v="0"/>
  </r>
  <r>
    <x v="399"/>
    <n v="590"/>
    <x v="0"/>
    <x v="20"/>
    <m/>
    <m/>
    <x v="223"/>
    <x v="308"/>
    <s v="Réparation"/>
    <x v="816"/>
    <x v="401"/>
    <x v="18"/>
    <n v="30"/>
    <n v="10"/>
    <n v="2020"/>
    <x v="0"/>
  </r>
  <r>
    <x v="400"/>
    <n v="800"/>
    <x v="1"/>
    <x v="2"/>
    <m/>
    <m/>
    <x v="24"/>
    <x v="624"/>
    <s v="Réparation"/>
    <x v="817"/>
    <x v="402"/>
    <x v="18"/>
    <n v="20"/>
    <n v="10"/>
    <n v="2020"/>
    <x v="0"/>
  </r>
  <r>
    <x v="400"/>
    <n v="700"/>
    <x v="1"/>
    <x v="3"/>
    <m/>
    <m/>
    <x v="27"/>
    <x v="231"/>
    <s v="Réparation"/>
    <x v="466"/>
    <x v="402"/>
    <x v="18"/>
    <n v="30"/>
    <n v="10"/>
    <n v="2020"/>
    <x v="0"/>
  </r>
  <r>
    <x v="401"/>
    <n v="800"/>
    <x v="1"/>
    <x v="2"/>
    <m/>
    <m/>
    <x v="254"/>
    <x v="147"/>
    <s v="Réparation"/>
    <x v="818"/>
    <x v="403"/>
    <x v="18"/>
    <n v="20"/>
    <n v="10"/>
    <n v="2020"/>
    <x v="0"/>
  </r>
  <r>
    <x v="401"/>
    <n v="590"/>
    <x v="0"/>
    <x v="20"/>
    <m/>
    <m/>
    <x v="126"/>
    <x v="217"/>
    <s v="Réparation"/>
    <x v="79"/>
    <x v="403"/>
    <x v="18"/>
    <n v="2"/>
    <n v="10"/>
    <n v="2020"/>
    <x v="0"/>
  </r>
  <r>
    <x v="402"/>
    <n v="700"/>
    <x v="1"/>
    <x v="3"/>
    <m/>
    <m/>
    <x v="114"/>
    <x v="329"/>
    <s v="Réparation"/>
    <x v="819"/>
    <x v="404"/>
    <x v="18"/>
    <n v="45"/>
    <n v="10"/>
    <n v="2020"/>
    <x v="0"/>
  </r>
  <r>
    <x v="402"/>
    <n v="700"/>
    <x v="1"/>
    <x v="3"/>
    <m/>
    <m/>
    <x v="242"/>
    <x v="625"/>
    <s v="Réparation"/>
    <x v="820"/>
    <x v="404"/>
    <x v="18"/>
    <n v="40"/>
    <n v="10"/>
    <n v="2020"/>
    <x v="0"/>
  </r>
  <r>
    <x v="403"/>
    <n v="590"/>
    <x v="0"/>
    <x v="20"/>
    <m/>
    <m/>
    <x v="201"/>
    <x v="10"/>
    <s v="Réparation"/>
    <x v="821"/>
    <x v="405"/>
    <x v="18"/>
    <n v="1"/>
    <n v="10"/>
    <n v="2020"/>
    <x v="0"/>
  </r>
  <r>
    <x v="404"/>
    <n v="700"/>
    <x v="1"/>
    <x v="3"/>
    <m/>
    <m/>
    <x v="48"/>
    <x v="626"/>
    <s v="Réparation"/>
    <x v="822"/>
    <x v="406"/>
    <x v="18"/>
    <n v="30"/>
    <n v="10"/>
    <n v="2020"/>
    <x v="0"/>
  </r>
  <r>
    <x v="404"/>
    <n v="582"/>
    <x v="0"/>
    <x v="1"/>
    <m/>
    <m/>
    <x v="9"/>
    <x v="533"/>
    <s v="Réparation"/>
    <x v="426"/>
    <x v="406"/>
    <x v="18"/>
    <n v="30"/>
    <n v="10"/>
    <n v="2020"/>
    <x v="0"/>
  </r>
  <r>
    <x v="404"/>
    <n v="601"/>
    <x v="0"/>
    <x v="25"/>
    <m/>
    <m/>
    <x v="0"/>
    <x v="627"/>
    <s v="Réparation"/>
    <x v="823"/>
    <x v="406"/>
    <x v="18"/>
    <n v="2"/>
    <n v="10"/>
    <n v="2020"/>
    <x v="0"/>
  </r>
  <r>
    <x v="405"/>
    <n v="565"/>
    <x v="0"/>
    <x v="4"/>
    <m/>
    <m/>
    <x v="57"/>
    <x v="628"/>
    <s v="Réparation"/>
    <x v="824"/>
    <x v="407"/>
    <x v="18"/>
    <n v="30"/>
    <n v="10"/>
    <n v="2020"/>
    <x v="0"/>
  </r>
  <r>
    <x v="406"/>
    <n v="700"/>
    <x v="1"/>
    <x v="3"/>
    <m/>
    <m/>
    <x v="24"/>
    <x v="629"/>
    <s v="Réparation"/>
    <x v="825"/>
    <x v="408"/>
    <x v="18"/>
    <n v="1"/>
    <n v="10"/>
    <n v="2020"/>
    <x v="0"/>
  </r>
  <r>
    <x v="407"/>
    <n v="565"/>
    <x v="0"/>
    <x v="4"/>
    <m/>
    <m/>
    <x v="66"/>
    <x v="528"/>
    <s v="Réparation"/>
    <x v="708"/>
    <x v="409"/>
    <x v="18"/>
    <n v="2"/>
    <n v="11"/>
    <n v="2020"/>
    <x v="0"/>
  </r>
  <r>
    <x v="407"/>
    <n v="581"/>
    <x v="0"/>
    <x v="10"/>
    <m/>
    <m/>
    <x v="137"/>
    <x v="529"/>
    <s v="Réparation"/>
    <x v="589"/>
    <x v="409"/>
    <x v="18"/>
    <n v="2"/>
    <n v="11"/>
    <n v="2020"/>
    <x v="0"/>
  </r>
  <r>
    <x v="408"/>
    <n v="606"/>
    <x v="0"/>
    <x v="17"/>
    <m/>
    <m/>
    <x v="0"/>
    <x v="530"/>
    <s v="Réparation"/>
    <x v="709"/>
    <x v="410"/>
    <x v="18"/>
    <n v="1"/>
    <n v="11"/>
    <n v="2020"/>
    <x v="0"/>
  </r>
  <r>
    <x v="409"/>
    <n v="582"/>
    <x v="0"/>
    <x v="1"/>
    <m/>
    <m/>
    <x v="32"/>
    <x v="531"/>
    <s v="Réparation"/>
    <x v="710"/>
    <x v="411"/>
    <x v="18"/>
    <n v="1"/>
    <n v="11"/>
    <n v="2020"/>
    <x v="0"/>
  </r>
  <r>
    <x v="410"/>
    <n v="582"/>
    <x v="0"/>
    <x v="1"/>
    <m/>
    <m/>
    <x v="17"/>
    <x v="529"/>
    <s v="Réparation"/>
    <x v="711"/>
    <x v="412"/>
    <x v="18"/>
    <n v="2"/>
    <n v="11"/>
    <n v="2020"/>
    <x v="0"/>
  </r>
  <r>
    <x v="410"/>
    <n v="800"/>
    <x v="1"/>
    <x v="2"/>
    <m/>
    <m/>
    <x v="226"/>
    <x v="532"/>
    <s v="Réparation"/>
    <x v="569"/>
    <x v="412"/>
    <x v="18"/>
    <n v="1"/>
    <n v="11"/>
    <n v="2020"/>
    <x v="0"/>
  </r>
  <r>
    <x v="411"/>
    <n v="582"/>
    <x v="0"/>
    <x v="1"/>
    <m/>
    <m/>
    <x v="227"/>
    <x v="11"/>
    <s v="Réparation"/>
    <x v="549"/>
    <x v="413"/>
    <x v="18"/>
    <n v="1"/>
    <n v="11"/>
    <n v="2020"/>
    <x v="0"/>
  </r>
  <r>
    <x v="412"/>
    <n v="590"/>
    <x v="0"/>
    <x v="20"/>
    <m/>
    <m/>
    <x v="11"/>
    <x v="76"/>
    <s v="Réparation"/>
    <x v="712"/>
    <x v="414"/>
    <x v="18"/>
    <n v="1"/>
    <n v="11"/>
    <n v="2020"/>
    <x v="0"/>
  </r>
  <r>
    <x v="412"/>
    <n v="581"/>
    <x v="0"/>
    <x v="10"/>
    <m/>
    <m/>
    <x v="122"/>
    <x v="533"/>
    <s v="Réparation"/>
    <x v="713"/>
    <x v="414"/>
    <x v="18"/>
    <n v="1"/>
    <n v="11"/>
    <n v="2020"/>
    <x v="0"/>
  </r>
  <r>
    <x v="412"/>
    <n v="605"/>
    <x v="0"/>
    <x v="13"/>
    <m/>
    <m/>
    <x v="17"/>
    <x v="534"/>
    <s v="Réparation"/>
    <x v="714"/>
    <x v="414"/>
    <x v="18"/>
    <n v="1"/>
    <n v="11"/>
    <n v="2020"/>
    <x v="0"/>
  </r>
  <r>
    <x v="413"/>
    <n v="565"/>
    <x v="0"/>
    <x v="4"/>
    <m/>
    <m/>
    <x v="11"/>
    <x v="535"/>
    <s v="Réparation"/>
    <x v="284"/>
    <x v="415"/>
    <x v="118"/>
    <n v="45"/>
    <n v="11"/>
    <n v="2020"/>
    <x v="0"/>
  </r>
  <r>
    <x v="413"/>
    <n v="700"/>
    <x v="1"/>
    <x v="3"/>
    <m/>
    <m/>
    <x v="228"/>
    <x v="536"/>
    <s v="Réparation"/>
    <x v="715"/>
    <x v="415"/>
    <x v="18"/>
    <n v="30"/>
    <n v="11"/>
    <n v="2020"/>
    <x v="0"/>
  </r>
  <r>
    <x v="413"/>
    <n v="800"/>
    <x v="1"/>
    <x v="2"/>
    <m/>
    <m/>
    <x v="49"/>
    <x v="537"/>
    <s v="Réparation"/>
    <x v="284"/>
    <x v="415"/>
    <x v="18"/>
    <n v="20"/>
    <n v="11"/>
    <n v="2020"/>
    <x v="0"/>
  </r>
  <r>
    <x v="413"/>
    <n v="800"/>
    <x v="1"/>
    <x v="2"/>
    <m/>
    <m/>
    <x v="99"/>
    <x v="538"/>
    <s v="Réparation"/>
    <x v="126"/>
    <x v="415"/>
    <x v="18"/>
    <n v="1"/>
    <n v="11"/>
    <n v="2020"/>
    <x v="0"/>
  </r>
  <r>
    <x v="414"/>
    <n v="590"/>
    <x v="0"/>
    <x v="20"/>
    <m/>
    <m/>
    <x v="87"/>
    <x v="145"/>
    <s v="Réparation"/>
    <x v="716"/>
    <x v="416"/>
    <x v="18"/>
    <n v="5"/>
    <n v="11"/>
    <n v="2020"/>
    <x v="0"/>
  </r>
  <r>
    <x v="414"/>
    <n v="700"/>
    <x v="1"/>
    <x v="3"/>
    <m/>
    <m/>
    <x v="229"/>
    <x v="409"/>
    <s v="Réparation"/>
    <x v="284"/>
    <x v="416"/>
    <x v="18"/>
    <n v="15"/>
    <n v="11"/>
    <n v="2020"/>
    <x v="0"/>
  </r>
  <r>
    <x v="415"/>
    <n v="800"/>
    <x v="1"/>
    <x v="2"/>
    <m/>
    <m/>
    <x v="27"/>
    <x v="539"/>
    <s v="Réparation"/>
    <x v="717"/>
    <x v="417"/>
    <x v="18"/>
    <n v="4"/>
    <n v="11"/>
    <n v="2020"/>
    <x v="0"/>
  </r>
  <r>
    <x v="416"/>
    <n v="800"/>
    <x v="1"/>
    <x v="2"/>
    <m/>
    <m/>
    <x v="46"/>
    <x v="237"/>
    <s v="Réparation"/>
    <x v="718"/>
    <x v="418"/>
    <x v="18"/>
    <n v="1"/>
    <n v="11"/>
    <n v="2020"/>
    <x v="0"/>
  </r>
  <r>
    <x v="416"/>
    <n v="800"/>
    <x v="1"/>
    <x v="2"/>
    <m/>
    <m/>
    <x v="49"/>
    <x v="540"/>
    <s v="Réparation"/>
    <x v="719"/>
    <x v="418"/>
    <x v="18"/>
    <n v="1"/>
    <n v="11"/>
    <n v="2020"/>
    <x v="0"/>
  </r>
  <r>
    <x v="416"/>
    <n v="590"/>
    <x v="0"/>
    <x v="20"/>
    <m/>
    <m/>
    <x v="224"/>
    <x v="11"/>
    <s v="Réparation"/>
    <x v="720"/>
    <x v="418"/>
    <x v="18"/>
    <n v="4"/>
    <n v="11"/>
    <n v="2020"/>
    <x v="0"/>
  </r>
  <r>
    <x v="417"/>
    <n v="700"/>
    <x v="1"/>
    <x v="3"/>
    <m/>
    <m/>
    <x v="49"/>
    <x v="541"/>
    <s v="Dépannage"/>
    <x v="721"/>
    <x v="419"/>
    <x v="18"/>
    <n v="1"/>
    <n v="11"/>
    <n v="2020"/>
    <x v="0"/>
  </r>
  <r>
    <x v="417"/>
    <n v="581"/>
    <x v="0"/>
    <x v="10"/>
    <m/>
    <m/>
    <x v="17"/>
    <x v="542"/>
    <s v="Réparation"/>
    <x v="722"/>
    <x v="419"/>
    <x v="18"/>
    <n v="1"/>
    <n v="11"/>
    <n v="2020"/>
    <x v="0"/>
  </r>
  <r>
    <x v="418"/>
    <n v="582"/>
    <x v="0"/>
    <x v="1"/>
    <m/>
    <m/>
    <x v="230"/>
    <x v="509"/>
    <s v="Réparation"/>
    <x v="723"/>
    <x v="420"/>
    <x v="18"/>
    <n v="15"/>
    <n v="11"/>
    <n v="2020"/>
    <x v="0"/>
  </r>
  <r>
    <x v="419"/>
    <n v="800"/>
    <x v="1"/>
    <x v="2"/>
    <m/>
    <m/>
    <x v="161"/>
    <x v="317"/>
    <s v="Réparation"/>
    <x v="826"/>
    <x v="421"/>
    <x v="18"/>
    <n v="1"/>
    <n v="11"/>
    <n v="2020"/>
    <x v="0"/>
  </r>
  <r>
    <x v="420"/>
    <n v="800"/>
    <x v="1"/>
    <x v="2"/>
    <m/>
    <m/>
    <x v="37"/>
    <x v="209"/>
    <s v="Réparation"/>
    <x v="725"/>
    <x v="422"/>
    <x v="117"/>
    <n v="2"/>
    <n v="11"/>
    <n v="2020"/>
    <x v="0"/>
  </r>
  <r>
    <x v="421"/>
    <n v="565"/>
    <x v="0"/>
    <x v="4"/>
    <m/>
    <m/>
    <x v="231"/>
    <x v="543"/>
    <s v="Réparation"/>
    <x v="242"/>
    <x v="423"/>
    <x v="18"/>
    <n v="1"/>
    <n v="11"/>
    <n v="2020"/>
    <x v="0"/>
  </r>
  <r>
    <x v="421"/>
    <n v="565"/>
    <x v="0"/>
    <x v="4"/>
    <m/>
    <m/>
    <x v="232"/>
    <x v="544"/>
    <s v="Réparation"/>
    <x v="726"/>
    <x v="423"/>
    <x v="18"/>
    <n v="1"/>
    <n v="11"/>
    <n v="2020"/>
    <x v="0"/>
  </r>
  <r>
    <x v="422"/>
    <n v="800"/>
    <x v="1"/>
    <x v="2"/>
    <m/>
    <m/>
    <x v="37"/>
    <x v="209"/>
    <s v="Réparation"/>
    <x v="727"/>
    <x v="424"/>
    <x v="18"/>
    <n v="1"/>
    <n v="11"/>
    <n v="2020"/>
    <x v="0"/>
  </r>
  <r>
    <x v="423"/>
    <n v="700"/>
    <x v="1"/>
    <x v="3"/>
    <m/>
    <m/>
    <x v="69"/>
    <x v="545"/>
    <s v="Réparation"/>
    <x v="226"/>
    <x v="425"/>
    <x v="18"/>
    <n v="1"/>
    <n v="11"/>
    <n v="2020"/>
    <x v="0"/>
  </r>
  <r>
    <x v="423"/>
    <n v="565"/>
    <x v="0"/>
    <x v="4"/>
    <m/>
    <m/>
    <x v="16"/>
    <x v="546"/>
    <s v="Réparation"/>
    <x v="728"/>
    <x v="425"/>
    <x v="18"/>
    <n v="2"/>
    <n v="11"/>
    <n v="2020"/>
    <x v="0"/>
  </r>
  <r>
    <x v="424"/>
    <n v="610"/>
    <x v="0"/>
    <x v="28"/>
    <m/>
    <m/>
    <x v="198"/>
    <x v="86"/>
    <s v="Réparation"/>
    <x v="729"/>
    <x v="426"/>
    <x v="18"/>
    <n v="2"/>
    <n v="11"/>
    <n v="2020"/>
    <x v="0"/>
  </r>
  <r>
    <x v="424"/>
    <n v="580"/>
    <x v="0"/>
    <x v="11"/>
    <m/>
    <m/>
    <x v="10"/>
    <x v="373"/>
    <s v="Réparation"/>
    <x v="573"/>
    <x v="426"/>
    <x v="18"/>
    <n v="1"/>
    <n v="11"/>
    <n v="2020"/>
    <x v="0"/>
  </r>
  <r>
    <x v="425"/>
    <n v="581"/>
    <x v="0"/>
    <x v="10"/>
    <m/>
    <m/>
    <x v="45"/>
    <x v="469"/>
    <s v="Réparation"/>
    <x v="730"/>
    <x v="427"/>
    <x v="18"/>
    <n v="3"/>
    <n v="11"/>
    <n v="2020"/>
    <x v="0"/>
  </r>
  <r>
    <x v="425"/>
    <n v="581"/>
    <x v="0"/>
    <x v="10"/>
    <m/>
    <m/>
    <x v="32"/>
    <x v="547"/>
    <s v="Réparation"/>
    <x v="731"/>
    <x v="427"/>
    <x v="18"/>
    <n v="15"/>
    <n v="11"/>
    <n v="2020"/>
    <x v="0"/>
  </r>
  <r>
    <x v="425"/>
    <n v="582"/>
    <x v="0"/>
    <x v="1"/>
    <m/>
    <m/>
    <x v="233"/>
    <x v="509"/>
    <s v="Réparation"/>
    <x v="167"/>
    <x v="427"/>
    <x v="18"/>
    <n v="30"/>
    <n v="11"/>
    <n v="2020"/>
    <x v="0"/>
  </r>
  <r>
    <x v="425"/>
    <n v="580"/>
    <x v="0"/>
    <x v="11"/>
    <m/>
    <m/>
    <x v="9"/>
    <x v="261"/>
    <s v="Réparation"/>
    <x v="427"/>
    <x v="427"/>
    <x v="18"/>
    <n v="30"/>
    <n v="11"/>
    <n v="2020"/>
    <x v="0"/>
  </r>
  <r>
    <x v="426"/>
    <n v="800"/>
    <x v="1"/>
    <x v="2"/>
    <m/>
    <m/>
    <x v="46"/>
    <x v="630"/>
    <s v="Réparation"/>
    <x v="353"/>
    <x v="428"/>
    <x v="18"/>
    <n v="30"/>
    <n v="11"/>
    <n v="2020"/>
    <x v="0"/>
  </r>
  <r>
    <x v="427"/>
    <n v="800"/>
    <x v="1"/>
    <x v="2"/>
    <m/>
    <m/>
    <x v="49"/>
    <x v="631"/>
    <s v="Réparation"/>
    <x v="827"/>
    <x v="429"/>
    <x v="18"/>
    <s v="=SI(ESTVIDE([@[Date"/>
    <n v="11"/>
    <n v="2020"/>
    <x v="0"/>
  </r>
  <r>
    <x v="428"/>
    <n v="582"/>
    <x v="0"/>
    <x v="1"/>
    <m/>
    <m/>
    <x v="189"/>
    <x v="549"/>
    <s v="Réparation"/>
    <x v="733"/>
    <x v="429"/>
    <x v="18"/>
    <n v="1"/>
    <n v="11"/>
    <n v="2020"/>
    <x v="0"/>
  </r>
  <r>
    <x v="428"/>
    <n v="605"/>
    <x v="0"/>
    <x v="13"/>
    <m/>
    <m/>
    <x v="17"/>
    <x v="550"/>
    <s v="Réparation"/>
    <x v="734"/>
    <x v="429"/>
    <x v="18"/>
    <n v="1"/>
    <n v="11"/>
    <n v="2020"/>
    <x v="0"/>
  </r>
  <r>
    <x v="429"/>
    <n v="582"/>
    <x v="0"/>
    <x v="1"/>
    <m/>
    <m/>
    <x v="223"/>
    <x v="181"/>
    <s v="Réparation"/>
    <x v="735"/>
    <x v="430"/>
    <x v="18"/>
    <n v="3"/>
    <n v="11"/>
    <n v="2020"/>
    <x v="0"/>
  </r>
  <r>
    <x v="430"/>
    <n v="800"/>
    <x v="1"/>
    <x v="2"/>
    <m/>
    <m/>
    <x v="37"/>
    <x v="498"/>
    <s v="Réparation"/>
    <x v="736"/>
    <x v="431"/>
    <x v="18"/>
    <n v="2"/>
    <n v="11"/>
    <n v="2020"/>
    <x v="0"/>
  </r>
  <r>
    <x v="431"/>
    <n v="700"/>
    <x v="1"/>
    <x v="3"/>
    <m/>
    <m/>
    <x v="49"/>
    <x v="632"/>
    <s v="Réparation"/>
    <x v="828"/>
    <x v="432"/>
    <x v="18"/>
    <n v="2"/>
    <n v="11"/>
    <n v="2020"/>
    <x v="0"/>
  </r>
  <r>
    <x v="432"/>
    <n v="581"/>
    <x v="0"/>
    <x v="10"/>
    <m/>
    <m/>
    <x v="2"/>
    <x v="633"/>
    <s v="Réglage"/>
    <x v="2"/>
    <x v="433"/>
    <x v="18"/>
    <n v="20"/>
    <n v="12"/>
    <n v="2020"/>
    <x v="0"/>
  </r>
  <r>
    <x v="432"/>
    <n v="582"/>
    <x v="0"/>
    <x v="1"/>
    <m/>
    <m/>
    <x v="97"/>
    <x v="634"/>
    <s v="Réparation"/>
    <x v="829"/>
    <x v="433"/>
    <x v="18"/>
    <n v="30"/>
    <n v="12"/>
    <n v="2020"/>
    <x v="0"/>
  </r>
  <r>
    <x v="432"/>
    <n v="800"/>
    <x v="1"/>
    <x v="2"/>
    <m/>
    <m/>
    <x v="255"/>
    <x v="635"/>
    <s v="Réparation"/>
    <x v="830"/>
    <x v="433"/>
    <x v="18"/>
    <n v="2"/>
    <n v="12"/>
    <n v="2020"/>
    <x v="0"/>
  </r>
  <r>
    <x v="433"/>
    <n v="620"/>
    <x v="0"/>
    <x v="26"/>
    <m/>
    <m/>
    <x v="57"/>
    <x v="596"/>
    <s v="Réparation"/>
    <x v="831"/>
    <x v="434"/>
    <x v="18"/>
    <n v="30"/>
    <n v="12"/>
    <n v="2020"/>
    <x v="0"/>
  </r>
  <r>
    <x v="433"/>
    <n v="800"/>
    <x v="1"/>
    <x v="2"/>
    <m/>
    <m/>
    <x v="60"/>
    <x v="376"/>
    <s v="Réparation"/>
    <x v="832"/>
    <x v="434"/>
    <x v="18"/>
    <n v="30"/>
    <n v="12"/>
    <n v="2020"/>
    <x v="0"/>
  </r>
  <r>
    <x v="433"/>
    <n v="584"/>
    <x v="4"/>
    <x v="24"/>
    <m/>
    <m/>
    <x v="198"/>
    <x v="636"/>
    <s v="Réparation"/>
    <x v="99"/>
    <x v="435"/>
    <x v="119"/>
    <m/>
    <n v="12"/>
    <n v="2020"/>
    <x v="0"/>
  </r>
  <r>
    <x v="434"/>
    <n v="581"/>
    <x v="0"/>
    <x v="10"/>
    <m/>
    <m/>
    <x v="45"/>
    <x v="217"/>
    <s v="Réparation"/>
    <x v="513"/>
    <x v="436"/>
    <x v="18"/>
    <n v="1"/>
    <n v="12"/>
    <n v="2020"/>
    <x v="0"/>
  </r>
  <r>
    <x v="434"/>
    <n v="800"/>
    <x v="1"/>
    <x v="2"/>
    <m/>
    <m/>
    <x v="2"/>
    <x v="633"/>
    <s v="Réparation"/>
    <x v="2"/>
    <x v="436"/>
    <x v="18"/>
    <n v="10"/>
    <n v="12"/>
    <n v="2020"/>
    <x v="0"/>
  </r>
  <r>
    <x v="434"/>
    <n v="700"/>
    <x v="1"/>
    <x v="3"/>
    <m/>
    <m/>
    <x v="256"/>
    <x v="637"/>
    <s v="Réparation"/>
    <x v="833"/>
    <x v="436"/>
    <x v="18"/>
    <n v="30"/>
    <n v="12"/>
    <n v="2020"/>
    <x v="0"/>
  </r>
  <r>
    <x v="434"/>
    <n v="700"/>
    <x v="1"/>
    <x v="3"/>
    <m/>
    <m/>
    <x v="7"/>
    <x v="638"/>
    <s v="Réparation"/>
    <x v="618"/>
    <x v="436"/>
    <x v="18"/>
    <n v="30"/>
    <n v="12"/>
    <n v="2020"/>
    <x v="0"/>
  </r>
  <r>
    <x v="435"/>
    <n v="560"/>
    <x v="0"/>
    <x v="0"/>
    <m/>
    <m/>
    <x v="30"/>
    <x v="639"/>
    <s v="Réparation"/>
    <x v="834"/>
    <x v="437"/>
    <x v="18"/>
    <n v="30"/>
    <n v="12"/>
    <n v="2020"/>
    <x v="0"/>
  </r>
  <r>
    <x v="435"/>
    <n v="570"/>
    <x v="0"/>
    <x v="16"/>
    <m/>
    <m/>
    <x v="29"/>
    <x v="189"/>
    <s v="Réparation"/>
    <x v="835"/>
    <x v="437"/>
    <x v="18"/>
    <n v="20"/>
    <n v="12"/>
    <n v="2020"/>
    <x v="0"/>
  </r>
  <r>
    <x v="435"/>
    <n v="582"/>
    <x v="0"/>
    <x v="1"/>
    <m/>
    <m/>
    <x v="15"/>
    <x v="640"/>
    <s v="Réparation"/>
    <x v="836"/>
    <x v="438"/>
    <x v="18"/>
    <s v="=SI(ESTVIDE([@[Date"/>
    <n v="12"/>
    <n v="2020"/>
    <x v="0"/>
  </r>
  <r>
    <x v="436"/>
    <n v="571"/>
    <x v="0"/>
    <x v="7"/>
    <m/>
    <m/>
    <x v="57"/>
    <x v="641"/>
    <s v="Réparation"/>
    <x v="506"/>
    <x v="439"/>
    <x v="18"/>
    <n v="45"/>
    <n v="12"/>
    <n v="2020"/>
    <x v="0"/>
  </r>
  <r>
    <x v="436"/>
    <n v="581"/>
    <x v="0"/>
    <x v="10"/>
    <m/>
    <m/>
    <x v="9"/>
    <x v="300"/>
    <s v="Réparation"/>
    <x v="220"/>
    <x v="439"/>
    <x v="18"/>
    <n v="30"/>
    <n v="12"/>
    <n v="2020"/>
    <x v="0"/>
  </r>
  <r>
    <x v="436"/>
    <n v="620"/>
    <x v="0"/>
    <x v="26"/>
    <m/>
    <m/>
    <x v="2"/>
    <x v="633"/>
    <s v="Réparation"/>
    <x v="2"/>
    <x v="439"/>
    <x v="18"/>
    <n v="15"/>
    <n v="12"/>
    <n v="2020"/>
    <x v="0"/>
  </r>
  <r>
    <x v="436"/>
    <n v="700"/>
    <x v="1"/>
    <x v="3"/>
    <m/>
    <m/>
    <x v="257"/>
    <x v="531"/>
    <s v="Réparation"/>
    <x v="837"/>
    <x v="439"/>
    <x v="18"/>
    <n v="30"/>
    <n v="12"/>
    <n v="2020"/>
    <x v="0"/>
  </r>
  <r>
    <x v="436"/>
    <n v="700"/>
    <x v="1"/>
    <x v="3"/>
    <m/>
    <m/>
    <x v="171"/>
    <x v="299"/>
    <s v="Réparation"/>
    <x v="838"/>
    <x v="439"/>
    <x v="18"/>
    <n v="30"/>
    <n v="12"/>
    <n v="2020"/>
    <x v="0"/>
  </r>
  <r>
    <x v="437"/>
    <n v="700"/>
    <x v="1"/>
    <x v="3"/>
    <m/>
    <m/>
    <x v="48"/>
    <x v="262"/>
    <s v="Réparation"/>
    <x v="839"/>
    <x v="440"/>
    <x v="18"/>
    <n v="30"/>
    <n v="12"/>
    <n v="2020"/>
    <x v="0"/>
  </r>
  <r>
    <x v="438"/>
    <n v="800"/>
    <x v="1"/>
    <x v="2"/>
    <m/>
    <m/>
    <x v="48"/>
    <x v="545"/>
    <s v="Réparation"/>
    <x v="840"/>
    <x v="438"/>
    <x v="18"/>
    <n v="1"/>
    <n v="12"/>
    <n v="2020"/>
    <x v="0"/>
  </r>
  <r>
    <x v="439"/>
    <n v="560"/>
    <x v="0"/>
    <x v="0"/>
    <m/>
    <m/>
    <x v="57"/>
    <x v="642"/>
    <s v="Réparation"/>
    <x v="841"/>
    <x v="441"/>
    <x v="18"/>
    <n v="15"/>
    <n v="12"/>
    <n v="2020"/>
    <x v="0"/>
  </r>
  <r>
    <x v="439"/>
    <n v="580"/>
    <x v="0"/>
    <x v="11"/>
    <m/>
    <m/>
    <x v="87"/>
    <x v="145"/>
    <s v="Réparation"/>
    <x v="842"/>
    <x v="441"/>
    <x v="18"/>
    <n v="3"/>
    <n v="12"/>
    <n v="2020"/>
    <x v="0"/>
  </r>
  <r>
    <x v="439"/>
    <n v="800"/>
    <x v="1"/>
    <x v="2"/>
    <m/>
    <m/>
    <x v="27"/>
    <x v="643"/>
    <s v="Réparation"/>
    <x v="843"/>
    <x v="441"/>
    <x v="18"/>
    <n v="30"/>
    <n v="12"/>
    <n v="2020"/>
    <x v="0"/>
  </r>
  <r>
    <x v="439"/>
    <n v="533"/>
    <x v="2"/>
    <x v="5"/>
    <m/>
    <m/>
    <x v="3"/>
    <x v="178"/>
    <s v="Réparation"/>
    <x v="844"/>
    <x v="441"/>
    <x v="18"/>
    <n v="15"/>
    <n v="12"/>
    <n v="2020"/>
    <x v="0"/>
  </r>
  <r>
    <x v="440"/>
    <n v="606"/>
    <x v="0"/>
    <x v="17"/>
    <m/>
    <m/>
    <x v="97"/>
    <x v="376"/>
    <s v="Réparation"/>
    <x v="845"/>
    <x v="442"/>
    <x v="18"/>
    <n v="1"/>
    <n v="12"/>
    <n v="2020"/>
    <x v="0"/>
  </r>
  <r>
    <x v="440"/>
    <n v="452"/>
    <x v="8"/>
    <x v="37"/>
    <m/>
    <m/>
    <x v="258"/>
    <x v="458"/>
    <s v="Réparation"/>
    <x v="846"/>
    <x v="442"/>
    <x v="18"/>
    <n v="45"/>
    <n v="12"/>
    <n v="2020"/>
    <x v="0"/>
  </r>
  <r>
    <x v="440"/>
    <n v="800"/>
    <x v="1"/>
    <x v="2"/>
    <m/>
    <m/>
    <x v="27"/>
    <x v="231"/>
    <s v="Réparation"/>
    <x v="847"/>
    <x v="442"/>
    <x v="18"/>
    <n v="30"/>
    <n v="12"/>
    <n v="2020"/>
    <x v="0"/>
  </r>
  <r>
    <x v="441"/>
    <n v="583"/>
    <x v="4"/>
    <x v="21"/>
    <m/>
    <m/>
    <x v="6"/>
    <x v="616"/>
    <s v="Réparation"/>
    <x v="466"/>
    <x v="443"/>
    <x v="18"/>
    <n v="1"/>
    <n v="12"/>
    <n v="2020"/>
    <x v="0"/>
  </r>
  <r>
    <x v="441"/>
    <n v="565"/>
    <x v="0"/>
    <x v="4"/>
    <m/>
    <m/>
    <x v="259"/>
    <x v="633"/>
    <s v="Réparation"/>
    <x v="466"/>
    <x v="443"/>
    <x v="18"/>
    <n v="3"/>
    <n v="12"/>
    <n v="2020"/>
    <x v="0"/>
  </r>
  <r>
    <x v="441"/>
    <n v="800"/>
    <x v="1"/>
    <x v="2"/>
    <m/>
    <m/>
    <x v="23"/>
    <x v="259"/>
    <s v="Réparation"/>
    <x v="302"/>
    <x v="443"/>
    <x v="18"/>
    <n v="45"/>
    <n v="12"/>
    <n v="2020"/>
    <x v="0"/>
  </r>
  <r>
    <x v="442"/>
    <n v="581"/>
    <x v="0"/>
    <x v="10"/>
    <m/>
    <m/>
    <x v="2"/>
    <x v="633"/>
    <s v="Réparation"/>
    <x v="2"/>
    <x v="444"/>
    <x v="18"/>
    <n v="20"/>
    <n v="12"/>
    <n v="2020"/>
    <x v="0"/>
  </r>
  <r>
    <x v="442"/>
    <n v="800"/>
    <x v="1"/>
    <x v="2"/>
    <m/>
    <m/>
    <x v="2"/>
    <x v="633"/>
    <s v="Réglage"/>
    <x v="2"/>
    <x v="444"/>
    <x v="18"/>
    <n v="15"/>
    <n v="12"/>
    <n v="2020"/>
    <x v="0"/>
  </r>
  <r>
    <x v="442"/>
    <n v="800"/>
    <x v="1"/>
    <x v="2"/>
    <m/>
    <m/>
    <x v="203"/>
    <x v="644"/>
    <s v="Réparation"/>
    <x v="848"/>
    <x v="444"/>
    <x v="18"/>
    <n v="2"/>
    <n v="12"/>
    <n v="2020"/>
    <x v="0"/>
  </r>
  <r>
    <x v="443"/>
    <n v="700"/>
    <x v="1"/>
    <x v="3"/>
    <m/>
    <m/>
    <x v="2"/>
    <x v="645"/>
    <s v="Réparation"/>
    <x v="849"/>
    <x v="445"/>
    <x v="18"/>
    <n v="1"/>
    <n v="12"/>
    <n v="2020"/>
    <x v="0"/>
  </r>
  <r>
    <x v="444"/>
    <n v="800"/>
    <x v="1"/>
    <x v="2"/>
    <m/>
    <m/>
    <x v="260"/>
    <x v="646"/>
    <s v="Réparation"/>
    <x v="850"/>
    <x v="446"/>
    <x v="18"/>
    <n v="480"/>
    <n v="12"/>
    <n v="2020"/>
    <x v="0"/>
  </r>
  <r>
    <x v="444"/>
    <n v="620"/>
    <x v="0"/>
    <x v="26"/>
    <m/>
    <m/>
    <x v="2"/>
    <x v="86"/>
    <s v="Réparation"/>
    <x v="353"/>
    <x v="447"/>
    <x v="18"/>
    <n v="30"/>
    <n v="12"/>
    <n v="2020"/>
    <x v="0"/>
  </r>
  <r>
    <x v="444"/>
    <n v="620"/>
    <x v="0"/>
    <x v="26"/>
    <m/>
    <m/>
    <x v="67"/>
    <x v="647"/>
    <s v="Réparation"/>
    <x v="851"/>
    <x v="447"/>
    <x v="18"/>
    <n v="30"/>
    <n v="12"/>
    <n v="2020"/>
    <x v="0"/>
  </r>
  <r>
    <x v="445"/>
    <n v="620"/>
    <x v="0"/>
    <x v="26"/>
    <m/>
    <m/>
    <x v="67"/>
    <x v="648"/>
    <s v="Réparation"/>
    <x v="404"/>
    <x v="448"/>
    <x v="18"/>
    <n v="20"/>
    <n v="12"/>
    <n v="2020"/>
    <x v="0"/>
  </r>
  <r>
    <x v="445"/>
    <n v="581"/>
    <x v="0"/>
    <x v="10"/>
    <m/>
    <m/>
    <x v="261"/>
    <x v="649"/>
    <s v="Réparation"/>
    <x v="852"/>
    <x v="448"/>
    <x v="18"/>
    <n v="1"/>
    <n v="12"/>
    <n v="2020"/>
    <x v="0"/>
  </r>
  <r>
    <x v="445"/>
    <n v="602"/>
    <x v="0"/>
    <x v="34"/>
    <m/>
    <m/>
    <x v="97"/>
    <x v="650"/>
    <s v="Réparation"/>
    <x v="853"/>
    <x v="448"/>
    <x v="18"/>
    <n v="2"/>
    <n v="12"/>
    <n v="2020"/>
    <x v="0"/>
  </r>
  <r>
    <x v="446"/>
    <n v="561"/>
    <x v="4"/>
    <x v="18"/>
    <m/>
    <m/>
    <x v="6"/>
    <x v="651"/>
    <s v="Réparation"/>
    <x v="854"/>
    <x v="449"/>
    <x v="18"/>
    <n v="30"/>
    <n v="12"/>
    <n v="2020"/>
    <x v="0"/>
  </r>
  <r>
    <x v="446"/>
    <n v="582"/>
    <x v="0"/>
    <x v="1"/>
    <m/>
    <m/>
    <x v="230"/>
    <x v="217"/>
    <s v="Réparation"/>
    <x v="855"/>
    <x v="449"/>
    <x v="18"/>
    <n v="2"/>
    <n v="12"/>
    <n v="2020"/>
    <x v="0"/>
  </r>
  <r>
    <x v="447"/>
    <n v="700"/>
    <x v="1"/>
    <x v="3"/>
    <m/>
    <m/>
    <x v="46"/>
    <x v="652"/>
    <s v="Réparation"/>
    <x v="856"/>
    <x v="450"/>
    <x v="18"/>
    <n v="30"/>
    <n v="12"/>
    <n v="2020"/>
    <x v="0"/>
  </r>
  <r>
    <x v="447"/>
    <n v="800"/>
    <x v="1"/>
    <x v="2"/>
    <m/>
    <m/>
    <x v="23"/>
    <x v="653"/>
    <s v="Réparation"/>
    <x v="857"/>
    <x v="450"/>
    <x v="18"/>
    <n v="30"/>
    <n v="12"/>
    <n v="2020"/>
    <x v="0"/>
  </r>
  <r>
    <x v="448"/>
    <n v="533"/>
    <x v="2"/>
    <x v="5"/>
    <m/>
    <m/>
    <x v="19"/>
    <x v="178"/>
    <s v="Réparation"/>
    <x v="858"/>
    <x v="451"/>
    <x v="18"/>
    <n v="15"/>
    <n v="12"/>
    <n v="2020"/>
    <x v="0"/>
  </r>
  <r>
    <x v="448"/>
    <n v="700"/>
    <x v="1"/>
    <x v="3"/>
    <m/>
    <m/>
    <x v="46"/>
    <x v="654"/>
    <s v="Réparation"/>
    <x v="859"/>
    <x v="451"/>
    <x v="18"/>
    <n v="30"/>
    <n v="12"/>
    <n v="2020"/>
    <x v="0"/>
  </r>
  <r>
    <x v="449"/>
    <n v="533"/>
    <x v="2"/>
    <x v="5"/>
    <m/>
    <m/>
    <x v="262"/>
    <x v="655"/>
    <s v="Réparation"/>
    <x v="860"/>
    <x v="452"/>
    <x v="18"/>
    <n v="20"/>
    <n v="12"/>
    <n v="2020"/>
    <x v="0"/>
  </r>
  <r>
    <x v="449"/>
    <n v="533"/>
    <x v="2"/>
    <x v="5"/>
    <m/>
    <m/>
    <x v="27"/>
    <x v="86"/>
    <s v="Réparation"/>
    <x v="353"/>
    <x v="452"/>
    <x v="18"/>
    <n v="30"/>
    <n v="12"/>
    <n v="2020"/>
    <x v="0"/>
  </r>
  <r>
    <x v="449"/>
    <n v="800"/>
    <x v="1"/>
    <x v="2"/>
    <m/>
    <m/>
    <x v="263"/>
    <x v="656"/>
    <s v="Réparation"/>
    <x v="861"/>
    <x v="452"/>
    <x v="18"/>
    <n v="15"/>
    <n v="12"/>
    <n v="2020"/>
    <x v="0"/>
  </r>
  <r>
    <x v="449"/>
    <n v="800"/>
    <x v="1"/>
    <x v="2"/>
    <m/>
    <m/>
    <x v="52"/>
    <x v="637"/>
    <s v="Réparation"/>
    <x v="862"/>
    <x v="452"/>
    <x v="18"/>
    <n v="35"/>
    <n v="12"/>
    <n v="2020"/>
    <x v="0"/>
  </r>
  <r>
    <x v="450"/>
    <n v="700"/>
    <x v="1"/>
    <x v="3"/>
    <m/>
    <m/>
    <x v="7"/>
    <x v="657"/>
    <s v="Réparation"/>
    <x v="863"/>
    <x v="453"/>
    <x v="18"/>
    <n v="20"/>
    <n v="12"/>
    <n v="2020"/>
    <x v="0"/>
  </r>
  <r>
    <x v="450"/>
    <n v="610"/>
    <x v="0"/>
    <x v="28"/>
    <m/>
    <m/>
    <x v="2"/>
    <x v="658"/>
    <s v="Réparation"/>
    <x v="864"/>
    <x v="453"/>
    <x v="18"/>
    <n v="1"/>
    <n v="12"/>
    <n v="2020"/>
    <x v="0"/>
  </r>
  <r>
    <x v="450"/>
    <n v="560"/>
    <x v="0"/>
    <x v="0"/>
    <m/>
    <m/>
    <x v="66"/>
    <x v="659"/>
    <s v="Réparation"/>
    <x v="865"/>
    <x v="453"/>
    <x v="18"/>
    <n v="1"/>
    <n v="12"/>
    <n v="2020"/>
    <x v="0"/>
  </r>
  <r>
    <x v="450"/>
    <n v="800"/>
    <x v="1"/>
    <x v="2"/>
    <m/>
    <m/>
    <x v="23"/>
    <x v="86"/>
    <s v="Réparation"/>
    <x v="353"/>
    <x v="453"/>
    <x v="18"/>
    <n v="20"/>
    <n v="12"/>
    <n v="2020"/>
    <x v="0"/>
  </r>
  <r>
    <x v="451"/>
    <n v="590"/>
    <x v="0"/>
    <x v="20"/>
    <m/>
    <m/>
    <x v="94"/>
    <x v="660"/>
    <s v="Réparation"/>
    <x v="242"/>
    <x v="454"/>
    <x v="18"/>
    <n v="1"/>
    <n v="12"/>
    <n v="2020"/>
    <x v="0"/>
  </r>
  <r>
    <x v="451"/>
    <n v="700"/>
    <x v="1"/>
    <x v="3"/>
    <m/>
    <m/>
    <x v="7"/>
    <x v="189"/>
    <s v="Réparation"/>
    <x v="866"/>
    <x v="454"/>
    <x v="18"/>
    <n v="20"/>
    <n v="12"/>
    <n v="2020"/>
    <x v="0"/>
  </r>
  <r>
    <x v="451"/>
    <n v="800"/>
    <x v="1"/>
    <x v="2"/>
    <m/>
    <m/>
    <x v="23"/>
    <x v="661"/>
    <s v="Réparation"/>
    <x v="867"/>
    <x v="454"/>
    <x v="18"/>
    <n v="15"/>
    <n v="12"/>
    <n v="2020"/>
    <x v="0"/>
  </r>
  <r>
    <x v="451"/>
    <n v="800"/>
    <x v="1"/>
    <x v="2"/>
    <m/>
    <m/>
    <x v="49"/>
    <x v="616"/>
    <s v="Réparation"/>
    <x v="868"/>
    <x v="454"/>
    <x v="18"/>
    <n v="1"/>
    <n v="12"/>
    <n v="2020"/>
    <x v="0"/>
  </r>
  <r>
    <x v="451"/>
    <n v="605"/>
    <x v="0"/>
    <x v="13"/>
    <m/>
    <m/>
    <x v="119"/>
    <x v="114"/>
    <s v="Réparation"/>
    <x v="869"/>
    <x v="454"/>
    <x v="18"/>
    <n v="1"/>
    <n v="12"/>
    <n v="2020"/>
    <x v="0"/>
  </r>
  <r>
    <x v="452"/>
    <n v="800"/>
    <x v="1"/>
    <x v="2"/>
    <m/>
    <m/>
    <x v="171"/>
    <x v="662"/>
    <s v="Réparation"/>
    <x v="870"/>
    <x v="455"/>
    <x v="18"/>
    <n v="20"/>
    <n v="12"/>
    <n v="2020"/>
    <x v="0"/>
  </r>
  <r>
    <x v="452"/>
    <n v="582"/>
    <x v="0"/>
    <x v="1"/>
    <m/>
    <m/>
    <x v="264"/>
    <x v="86"/>
    <s v="Réparation"/>
    <x v="871"/>
    <x v="455"/>
    <x v="18"/>
    <n v="20"/>
    <n v="12"/>
    <n v="2020"/>
    <x v="0"/>
  </r>
  <r>
    <x v="452"/>
    <n v="620"/>
    <x v="0"/>
    <x v="26"/>
    <m/>
    <m/>
    <x v="0"/>
    <x v="232"/>
    <s v="Réparation"/>
    <x v="872"/>
    <x v="455"/>
    <x v="18"/>
    <n v="30"/>
    <n v="12"/>
    <n v="2020"/>
    <x v="0"/>
  </r>
  <r>
    <x v="452"/>
    <n v="700"/>
    <x v="1"/>
    <x v="3"/>
    <m/>
    <m/>
    <x v="46"/>
    <x v="22"/>
    <s v="Réparation"/>
    <x v="873"/>
    <x v="455"/>
    <x v="18"/>
    <n v="20"/>
    <n v="12"/>
    <n v="2020"/>
    <x v="0"/>
  </r>
  <r>
    <x v="452"/>
    <n v="901"/>
    <x v="3"/>
    <x v="6"/>
    <m/>
    <m/>
    <x v="3"/>
    <x v="663"/>
    <s v="Réparation"/>
    <x v="874"/>
    <x v="455"/>
    <x v="18"/>
    <m/>
    <n v="12"/>
    <n v="2020"/>
    <x v="0"/>
  </r>
  <r>
    <x v="453"/>
    <n v="800"/>
    <x v="1"/>
    <x v="2"/>
    <m/>
    <m/>
    <x v="46"/>
    <x v="114"/>
    <s v="Réparation"/>
    <x v="875"/>
    <x v="435"/>
    <x v="18"/>
    <n v="1"/>
    <n v="12"/>
    <n v="2020"/>
    <x v="0"/>
  </r>
  <r>
    <x v="453"/>
    <n v="800"/>
    <x v="1"/>
    <x v="2"/>
    <m/>
    <m/>
    <x v="24"/>
    <x v="664"/>
    <s v="Réparation"/>
    <x v="876"/>
    <x v="435"/>
    <x v="18"/>
    <n v="6"/>
    <n v="12"/>
    <n v="2020"/>
    <x v="0"/>
  </r>
  <r>
    <x v="453"/>
    <n v="565"/>
    <x v="0"/>
    <x v="4"/>
    <m/>
    <m/>
    <x v="57"/>
    <x v="665"/>
    <s v="Réparation"/>
    <x v="877"/>
    <x v="435"/>
    <x v="18"/>
    <n v="1"/>
    <n v="12"/>
    <n v="2020"/>
    <x v="0"/>
  </r>
  <r>
    <x v="454"/>
    <n v="582"/>
    <x v="0"/>
    <x v="1"/>
    <m/>
    <m/>
    <x v="220"/>
    <x v="666"/>
    <s v="Réparation"/>
    <x v="878"/>
    <x v="456"/>
    <x v="18"/>
    <n v="4"/>
    <n v="12"/>
    <n v="2020"/>
    <x v="0"/>
  </r>
  <r>
    <x v="454"/>
    <n v="565"/>
    <x v="0"/>
    <x v="4"/>
    <m/>
    <m/>
    <x v="57"/>
    <x v="189"/>
    <s v="Réparation"/>
    <x v="879"/>
    <x v="456"/>
    <x v="18"/>
    <n v="20"/>
    <n v="12"/>
    <n v="2020"/>
    <x v="0"/>
  </r>
  <r>
    <x v="455"/>
    <n v="590"/>
    <x v="0"/>
    <x v="20"/>
    <m/>
    <s v="préventif"/>
    <x v="87"/>
    <x v="145"/>
    <s v="Réparation"/>
    <x v="880"/>
    <x v="457"/>
    <x v="18"/>
    <n v="180"/>
    <n v="1"/>
    <n v="2021"/>
    <x v="0"/>
  </r>
  <r>
    <x v="455"/>
    <n v="570"/>
    <x v="0"/>
    <x v="16"/>
    <m/>
    <s v="Correctif"/>
    <x v="265"/>
    <x v="667"/>
    <s v="Réparation"/>
    <x v="105"/>
    <x v="457"/>
    <x v="18"/>
    <n v="30"/>
    <n v="1"/>
    <n v="2021"/>
    <x v="0"/>
  </r>
  <r>
    <x v="455"/>
    <n v="570"/>
    <x v="0"/>
    <x v="16"/>
    <m/>
    <s v="préventif"/>
    <x v="29"/>
    <x v="189"/>
    <s v="Réparation"/>
    <x v="881"/>
    <x v="457"/>
    <x v="18"/>
    <n v="20"/>
    <n v="1"/>
    <n v="2021"/>
    <x v="0"/>
  </r>
  <r>
    <x v="455"/>
    <n v="800"/>
    <x v="1"/>
    <x v="2"/>
    <m/>
    <s v="Correctif"/>
    <x v="24"/>
    <x v="55"/>
    <s v="Réparation"/>
    <x v="148"/>
    <x v="457"/>
    <x v="18"/>
    <n v="45"/>
    <n v="1"/>
    <n v="2021"/>
    <x v="0"/>
  </r>
  <r>
    <x v="456"/>
    <n v="581"/>
    <x v="0"/>
    <x v="10"/>
    <n v="260210"/>
    <m/>
    <x v="266"/>
    <x v="668"/>
    <s v="reparation "/>
    <x v="882"/>
    <x v="458"/>
    <x v="18"/>
    <n v="30"/>
    <n v="1"/>
    <n v="2022"/>
    <x v="0"/>
  </r>
  <r>
    <x v="457"/>
    <n v="604"/>
    <x v="0"/>
    <x v="22"/>
    <m/>
    <s v="Correctif"/>
    <x v="130"/>
    <x v="669"/>
    <s v="Réparation"/>
    <x v="883"/>
    <x v="459"/>
    <x v="120"/>
    <n v="5280"/>
    <n v="1"/>
    <n v="2021"/>
    <x v="0"/>
  </r>
  <r>
    <x v="457"/>
    <n v="605"/>
    <x v="0"/>
    <x v="13"/>
    <m/>
    <s v="Correctif"/>
    <x v="19"/>
    <x v="670"/>
    <s v="Réparation"/>
    <x v="427"/>
    <x v="460"/>
    <x v="18"/>
    <n v="30"/>
    <n v="1"/>
    <n v="2021"/>
    <x v="0"/>
  </r>
  <r>
    <x v="457"/>
    <n v="800"/>
    <x v="1"/>
    <x v="2"/>
    <m/>
    <s v="préventif"/>
    <x v="99"/>
    <x v="671"/>
    <s v="Réparation"/>
    <x v="884"/>
    <x v="460"/>
    <x v="18"/>
    <n v="180"/>
    <n v="1"/>
    <n v="2021"/>
    <x v="0"/>
  </r>
  <r>
    <x v="457"/>
    <n v="700"/>
    <x v="1"/>
    <x v="3"/>
    <m/>
    <s v="Correctif"/>
    <x v="174"/>
    <x v="270"/>
    <s v="Réparation"/>
    <x v="885"/>
    <x v="460"/>
    <x v="18"/>
    <n v="90"/>
    <n v="1"/>
    <n v="2021"/>
    <x v="0"/>
  </r>
  <r>
    <x v="458"/>
    <n v="590"/>
    <x v="0"/>
    <x v="20"/>
    <m/>
    <s v="préventif"/>
    <x v="267"/>
    <x v="35"/>
    <s v="Réparation"/>
    <x v="886"/>
    <x v="461"/>
    <x v="18"/>
    <n v="60"/>
    <n v="1"/>
    <n v="2021"/>
    <x v="0"/>
  </r>
  <r>
    <x v="458"/>
    <n v="700"/>
    <x v="1"/>
    <x v="3"/>
    <m/>
    <s v="Correctif"/>
    <x v="46"/>
    <x v="672"/>
    <s v="Réparation"/>
    <x v="887"/>
    <x v="461"/>
    <x v="18"/>
    <n v="60"/>
    <n v="1"/>
    <n v="2021"/>
    <x v="0"/>
  </r>
  <r>
    <x v="458"/>
    <n v="800"/>
    <x v="1"/>
    <x v="2"/>
    <m/>
    <s v="Correctif"/>
    <x v="203"/>
    <x v="664"/>
    <s v="Réparation"/>
    <x v="888"/>
    <x v="461"/>
    <x v="18"/>
    <n v="60"/>
    <n v="1"/>
    <n v="2021"/>
    <x v="0"/>
  </r>
  <r>
    <x v="458"/>
    <n v="800"/>
    <x v="1"/>
    <x v="2"/>
    <m/>
    <s v="préventif"/>
    <x v="2"/>
    <x v="633"/>
    <s v="Réparation"/>
    <x v="889"/>
    <x v="461"/>
    <x v="18"/>
    <m/>
    <n v="1"/>
    <n v="2021"/>
    <x v="0"/>
  </r>
  <r>
    <x v="459"/>
    <n v="565"/>
    <x v="0"/>
    <x v="4"/>
    <m/>
    <s v="Correctif"/>
    <x v="57"/>
    <x v="673"/>
    <s v="Réparation"/>
    <x v="890"/>
    <x v="462"/>
    <x v="18"/>
    <n v="60"/>
    <n v="1"/>
    <n v="2021"/>
    <x v="0"/>
  </r>
  <r>
    <x v="460"/>
    <n v="570"/>
    <x v="0"/>
    <x v="16"/>
    <m/>
    <s v="Correctif"/>
    <x v="268"/>
    <x v="329"/>
    <s v="Réparation"/>
    <x v="891"/>
    <x v="463"/>
    <x v="18"/>
    <n v="30"/>
    <n v="1"/>
    <n v="2021"/>
    <x v="0"/>
  </r>
  <r>
    <x v="460"/>
    <n v="582"/>
    <x v="0"/>
    <x v="1"/>
    <m/>
    <s v="préventif"/>
    <x v="269"/>
    <x v="86"/>
    <s v="Réparation"/>
    <x v="892"/>
    <x v="463"/>
    <x v="18"/>
    <n v="120"/>
    <n v="1"/>
    <n v="2021"/>
    <x v="0"/>
  </r>
  <r>
    <x v="460"/>
    <n v="700"/>
    <x v="1"/>
    <x v="3"/>
    <m/>
    <s v="préventif"/>
    <x v="27"/>
    <x v="335"/>
    <s v="Réparation"/>
    <x v="893"/>
    <x v="463"/>
    <x v="18"/>
    <n v="180"/>
    <n v="1"/>
    <n v="2021"/>
    <x v="0"/>
  </r>
  <r>
    <x v="460"/>
    <n v="700"/>
    <x v="1"/>
    <x v="3"/>
    <m/>
    <s v="Correctif"/>
    <x v="27"/>
    <x v="674"/>
    <s v="Réparation"/>
    <x v="894"/>
    <x v="463"/>
    <x v="18"/>
    <n v="180"/>
    <n v="1"/>
    <n v="2021"/>
    <x v="0"/>
  </r>
  <r>
    <x v="461"/>
    <n v="581"/>
    <x v="0"/>
    <x v="10"/>
    <m/>
    <s v="Correctif"/>
    <x v="220"/>
    <x v="675"/>
    <s v="Réparation"/>
    <x v="895"/>
    <x v="464"/>
    <x v="18"/>
    <n v="120"/>
    <n v="1"/>
    <n v="2021"/>
    <x v="0"/>
  </r>
  <r>
    <x v="461"/>
    <n v="560"/>
    <x v="0"/>
    <x v="0"/>
    <m/>
    <s v="Correctif"/>
    <x v="78"/>
    <x v="676"/>
    <s v="Réparation"/>
    <x v="896"/>
    <x v="464"/>
    <x v="18"/>
    <n v="60"/>
    <n v="1"/>
    <n v="2021"/>
    <x v="0"/>
  </r>
  <r>
    <x v="461"/>
    <n v="800"/>
    <x v="1"/>
    <x v="2"/>
    <m/>
    <s v="Correctif"/>
    <x v="24"/>
    <x v="677"/>
    <s v="Réparation"/>
    <x v="105"/>
    <x v="464"/>
    <x v="18"/>
    <n v="360"/>
    <n v="1"/>
    <n v="2021"/>
    <x v="0"/>
  </r>
  <r>
    <x v="462"/>
    <n v="565"/>
    <x v="0"/>
    <x v="4"/>
    <m/>
    <s v="Correctif"/>
    <x v="57"/>
    <x v="546"/>
    <s v="Réparation"/>
    <x v="897"/>
    <x v="465"/>
    <x v="18"/>
    <n v="90"/>
    <n v="1"/>
    <n v="2021"/>
    <x v="0"/>
  </r>
  <r>
    <x v="462"/>
    <n v="800"/>
    <x v="1"/>
    <x v="2"/>
    <m/>
    <s v="Correctif"/>
    <x v="184"/>
    <x v="678"/>
    <s v="Réparation"/>
    <x v="898"/>
    <x v="465"/>
    <x v="18"/>
    <n v="20"/>
    <n v="1"/>
    <n v="2021"/>
    <x v="0"/>
  </r>
  <r>
    <x v="463"/>
    <n v="800"/>
    <x v="1"/>
    <x v="2"/>
    <m/>
    <s v="Correctif"/>
    <x v="24"/>
    <x v="55"/>
    <s v="Réparation"/>
    <x v="148"/>
    <x v="466"/>
    <x v="121"/>
    <n v="60"/>
    <n v="2021"/>
    <m/>
    <x v="0"/>
  </r>
  <r>
    <x v="464"/>
    <n v="607"/>
    <x v="0"/>
    <x v="12"/>
    <m/>
    <s v="Correctif"/>
    <x v="97"/>
    <x v="10"/>
    <s v="Réparation"/>
    <x v="899"/>
    <x v="467"/>
    <x v="18"/>
    <n v="60"/>
    <n v="1"/>
    <n v="2021"/>
    <x v="0"/>
  </r>
  <r>
    <x v="464"/>
    <n v="800"/>
    <x v="1"/>
    <x v="2"/>
    <m/>
    <s v="préventif"/>
    <x v="23"/>
    <x v="86"/>
    <s v="Réparation"/>
    <x v="900"/>
    <x v="467"/>
    <x v="18"/>
    <n v="60"/>
    <n v="1"/>
    <n v="2021"/>
    <x v="0"/>
  </r>
  <r>
    <x v="464"/>
    <n v="800"/>
    <x v="1"/>
    <x v="2"/>
    <m/>
    <s v="Correctif"/>
    <x v="23"/>
    <x v="679"/>
    <s v="Réparation"/>
    <x v="668"/>
    <x v="467"/>
    <x v="18"/>
    <n v="45"/>
    <n v="1"/>
    <n v="2021"/>
    <x v="0"/>
  </r>
  <r>
    <x v="465"/>
    <n v="582"/>
    <x v="0"/>
    <x v="1"/>
    <m/>
    <s v="Correctif"/>
    <x v="9"/>
    <x v="680"/>
    <s v="Réparation"/>
    <x v="901"/>
    <x v="468"/>
    <x v="18"/>
    <n v="60"/>
    <n v="1"/>
    <n v="2021"/>
    <x v="0"/>
  </r>
  <r>
    <x v="465"/>
    <n v="582"/>
    <x v="0"/>
    <x v="1"/>
    <m/>
    <s v="préventif"/>
    <x v="221"/>
    <x v="596"/>
    <s v="Réparation"/>
    <x v="902"/>
    <x v="468"/>
    <x v="18"/>
    <n v="60"/>
    <n v="1"/>
    <n v="2021"/>
    <x v="0"/>
  </r>
  <r>
    <x v="465"/>
    <n v="700"/>
    <x v="1"/>
    <x v="3"/>
    <m/>
    <s v="préventif"/>
    <x v="171"/>
    <x v="324"/>
    <s v="Réparation"/>
    <x v="866"/>
    <x v="468"/>
    <x v="18"/>
    <n v="30"/>
    <n v="1"/>
    <n v="2021"/>
    <x v="0"/>
  </r>
  <r>
    <x v="466"/>
    <n v="590"/>
    <x v="0"/>
    <x v="20"/>
    <m/>
    <s v="préventif"/>
    <x v="270"/>
    <x v="681"/>
    <s v="Réparation"/>
    <x v="353"/>
    <x v="469"/>
    <x v="18"/>
    <n v="20"/>
    <n v="1"/>
    <n v="2021"/>
    <x v="0"/>
  </r>
  <r>
    <x v="466"/>
    <n v="800"/>
    <x v="1"/>
    <x v="2"/>
    <m/>
    <s v="Correctif"/>
    <x v="271"/>
    <x v="682"/>
    <s v="Réparation"/>
    <x v="903"/>
    <x v="469"/>
    <x v="18"/>
    <n v="60"/>
    <n v="1"/>
    <n v="2021"/>
    <x v="0"/>
  </r>
  <r>
    <x v="467"/>
    <n v="590"/>
    <x v="0"/>
    <x v="20"/>
    <m/>
    <s v="Correctif"/>
    <x v="16"/>
    <x v="683"/>
    <s v="Réparation"/>
    <x v="904"/>
    <x v="459"/>
    <x v="18"/>
    <n v="30"/>
    <n v="1"/>
    <n v="2021"/>
    <x v="0"/>
  </r>
  <r>
    <x v="467"/>
    <n v="571"/>
    <x v="0"/>
    <x v="7"/>
    <m/>
    <s v="préventif"/>
    <x v="22"/>
    <x v="684"/>
    <s v="Réparation"/>
    <x v="905"/>
    <x v="459"/>
    <x v="18"/>
    <n v="30"/>
    <n v="1"/>
    <n v="2021"/>
    <x v="0"/>
  </r>
  <r>
    <x v="467"/>
    <n v="700"/>
    <x v="1"/>
    <x v="3"/>
    <m/>
    <s v="Correctif"/>
    <x v="272"/>
    <x v="685"/>
    <s v="Réparation"/>
    <x v="906"/>
    <x v="459"/>
    <x v="18"/>
    <n v="45"/>
    <n v="1"/>
    <n v="2021"/>
    <x v="0"/>
  </r>
  <r>
    <x v="467"/>
    <n v="606"/>
    <x v="0"/>
    <x v="17"/>
    <m/>
    <s v="préventif"/>
    <x v="97"/>
    <x v="458"/>
    <s v="Vidange"/>
    <x v="907"/>
    <x v="459"/>
    <x v="18"/>
    <n v="30"/>
    <n v="1"/>
    <n v="2021"/>
    <x v="0"/>
  </r>
  <r>
    <x v="468"/>
    <n v="800"/>
    <x v="1"/>
    <x v="2"/>
    <m/>
    <s v="Correctif"/>
    <x v="24"/>
    <x v="55"/>
    <s v="Réparation"/>
    <x v="148"/>
    <x v="470"/>
    <x v="121"/>
    <n v="60"/>
    <n v="2021"/>
    <m/>
    <x v="0"/>
  </r>
  <r>
    <x v="469"/>
    <n v="582"/>
    <x v="0"/>
    <x v="1"/>
    <m/>
    <s v="préventif"/>
    <x v="221"/>
    <x v="686"/>
    <s v="Réparation"/>
    <x v="908"/>
    <x v="471"/>
    <x v="18"/>
    <n v="20"/>
    <n v="1"/>
    <n v="2021"/>
    <x v="0"/>
  </r>
  <r>
    <x v="469"/>
    <n v="604"/>
    <x v="0"/>
    <x v="22"/>
    <m/>
    <s v="Correctif"/>
    <x v="0"/>
    <x v="177"/>
    <s v="Réparation"/>
    <x v="909"/>
    <x v="471"/>
    <x v="18"/>
    <n v="40"/>
    <n v="1"/>
    <n v="2021"/>
    <x v="0"/>
  </r>
  <r>
    <x v="469"/>
    <n v="560"/>
    <x v="0"/>
    <x v="0"/>
    <m/>
    <s v="préventif"/>
    <x v="57"/>
    <x v="687"/>
    <s v="Réparation"/>
    <x v="910"/>
    <x v="471"/>
    <x v="18"/>
    <n v="150"/>
    <n v="1"/>
    <n v="2021"/>
    <x v="0"/>
  </r>
  <r>
    <x v="469"/>
    <n v="700"/>
    <x v="1"/>
    <x v="3"/>
    <m/>
    <s v="Correctif"/>
    <x v="37"/>
    <x v="688"/>
    <s v="Réparation"/>
    <x v="631"/>
    <x v="471"/>
    <x v="18"/>
    <n v="120"/>
    <n v="1"/>
    <n v="2021"/>
    <x v="0"/>
  </r>
  <r>
    <x v="469"/>
    <n v="800"/>
    <x v="1"/>
    <x v="2"/>
    <m/>
    <s v="préventif"/>
    <x v="171"/>
    <x v="270"/>
    <s v="Réparation"/>
    <x v="185"/>
    <x v="471"/>
    <x v="18"/>
    <n v="90"/>
    <n v="1"/>
    <n v="2021"/>
    <x v="0"/>
  </r>
  <r>
    <x v="469"/>
    <n v="700"/>
    <x v="1"/>
    <x v="3"/>
    <m/>
    <s v="Correctif"/>
    <x v="24"/>
    <x v="689"/>
    <s v="Réparation"/>
    <x v="911"/>
    <x v="471"/>
    <x v="18"/>
    <n v="60"/>
    <n v="1"/>
    <n v="2021"/>
    <x v="0"/>
  </r>
  <r>
    <x v="469"/>
    <n v="700"/>
    <x v="1"/>
    <x v="3"/>
    <m/>
    <s v="préventif"/>
    <x v="257"/>
    <x v="690"/>
    <s v="Réparation"/>
    <x v="912"/>
    <x v="471"/>
    <x v="18"/>
    <n v="15"/>
    <n v="1"/>
    <n v="2021"/>
    <x v="0"/>
  </r>
  <r>
    <x v="470"/>
    <n v="800"/>
    <x v="1"/>
    <x v="2"/>
    <m/>
    <s v="Correctif"/>
    <x v="69"/>
    <x v="691"/>
    <s v="Réparation"/>
    <x v="913"/>
    <x v="472"/>
    <x v="18"/>
    <n v="480"/>
    <n v="1"/>
    <n v="2021"/>
    <x v="0"/>
  </r>
  <r>
    <x v="470"/>
    <n v="560"/>
    <x v="0"/>
    <x v="0"/>
    <m/>
    <s v="Correctif"/>
    <x v="57"/>
    <x v="189"/>
    <s v="Réparation"/>
    <x v="914"/>
    <x v="472"/>
    <x v="18"/>
    <n v="30"/>
    <n v="1"/>
    <n v="2021"/>
    <x v="0"/>
  </r>
  <r>
    <x v="470"/>
    <n v="700"/>
    <x v="1"/>
    <x v="3"/>
    <m/>
    <s v="Correctif"/>
    <x v="61"/>
    <x v="692"/>
    <s v="Réparation"/>
    <x v="915"/>
    <x v="472"/>
    <x v="18"/>
    <n v="60"/>
    <n v="1"/>
    <n v="2021"/>
    <x v="0"/>
  </r>
  <r>
    <x v="470"/>
    <n v="800"/>
    <x v="1"/>
    <x v="2"/>
    <m/>
    <s v="Correctif"/>
    <x v="184"/>
    <x v="259"/>
    <s v="Réparation"/>
    <x v="175"/>
    <x v="472"/>
    <x v="18"/>
    <n v="45"/>
    <n v="1"/>
    <n v="2021"/>
    <x v="0"/>
  </r>
  <r>
    <x v="471"/>
    <n v="590"/>
    <x v="0"/>
    <x v="20"/>
    <m/>
    <s v="préventif"/>
    <x v="273"/>
    <x v="11"/>
    <s v="Réparation"/>
    <x v="786"/>
    <x v="473"/>
    <x v="18"/>
    <n v="90"/>
    <n v="1"/>
    <n v="2021"/>
    <x v="0"/>
  </r>
  <r>
    <x v="471"/>
    <n v="582"/>
    <x v="0"/>
    <x v="1"/>
    <m/>
    <s v="Correctif"/>
    <x v="9"/>
    <x v="282"/>
    <s v="Réparation"/>
    <x v="916"/>
    <x v="473"/>
    <x v="18"/>
    <n v="30"/>
    <n v="1"/>
    <n v="2021"/>
    <x v="0"/>
  </r>
  <r>
    <x v="471"/>
    <n v="605"/>
    <x v="0"/>
    <x v="13"/>
    <m/>
    <s v="Correctif"/>
    <x v="274"/>
    <x v="693"/>
    <s v="Réparation"/>
    <x v="917"/>
    <x v="473"/>
    <x v="18"/>
    <n v="30"/>
    <n v="1"/>
    <n v="2021"/>
    <x v="0"/>
  </r>
  <r>
    <x v="471"/>
    <n v="700"/>
    <x v="1"/>
    <x v="3"/>
    <m/>
    <s v="préventif"/>
    <x v="24"/>
    <x v="694"/>
    <s v="Réparation"/>
    <x v="918"/>
    <x v="473"/>
    <x v="18"/>
    <n v="240"/>
    <n v="1"/>
    <n v="2021"/>
    <x v="0"/>
  </r>
  <r>
    <x v="471"/>
    <n v="700"/>
    <x v="1"/>
    <x v="3"/>
    <m/>
    <s v="Correctif"/>
    <x v="46"/>
    <x v="316"/>
    <s v="Réparation"/>
    <x v="919"/>
    <x v="473"/>
    <x v="18"/>
    <n v="180"/>
    <n v="1"/>
    <n v="2021"/>
    <x v="0"/>
  </r>
  <r>
    <x v="471"/>
    <n v="800"/>
    <x v="1"/>
    <x v="2"/>
    <m/>
    <s v="Correctif"/>
    <x v="49"/>
    <x v="695"/>
    <s v="Réparation"/>
    <x v="920"/>
    <x v="473"/>
    <x v="18"/>
    <n v="60"/>
    <n v="1"/>
    <n v="2021"/>
    <x v="0"/>
  </r>
  <r>
    <x v="472"/>
    <n v="570"/>
    <x v="0"/>
    <x v="16"/>
    <m/>
    <s v="préventif"/>
    <x v="11"/>
    <x v="35"/>
    <s v="Réparation"/>
    <x v="921"/>
    <x v="474"/>
    <x v="18"/>
    <n v="30"/>
    <n v="1"/>
    <n v="2021"/>
    <x v="0"/>
  </r>
  <r>
    <x v="472"/>
    <n v="700"/>
    <x v="1"/>
    <x v="3"/>
    <m/>
    <s v="Correctif"/>
    <x v="27"/>
    <x v="122"/>
    <s v="Réparation"/>
    <x v="657"/>
    <x v="474"/>
    <x v="18"/>
    <n v="90"/>
    <n v="1"/>
    <n v="2021"/>
    <x v="0"/>
  </r>
  <r>
    <x v="472"/>
    <n v="700"/>
    <x v="1"/>
    <x v="3"/>
    <m/>
    <s v="Correctif"/>
    <x v="174"/>
    <x v="270"/>
    <s v="Réparation"/>
    <x v="922"/>
    <x v="474"/>
    <x v="18"/>
    <n v="45"/>
    <n v="1"/>
    <n v="2021"/>
    <x v="0"/>
  </r>
  <r>
    <x v="473"/>
    <n v="605"/>
    <x v="0"/>
    <x v="13"/>
    <m/>
    <s v="préventif"/>
    <x v="219"/>
    <x v="696"/>
    <s v="Réparation"/>
    <x v="923"/>
    <x v="475"/>
    <x v="18"/>
    <n v="15"/>
    <n v="1"/>
    <n v="2021"/>
    <x v="0"/>
  </r>
  <r>
    <x v="473"/>
    <n v="800"/>
    <x v="1"/>
    <x v="2"/>
    <m/>
    <s v="Correctif"/>
    <x v="24"/>
    <x v="55"/>
    <s v="Réparation"/>
    <x v="148"/>
    <x v="475"/>
    <x v="121"/>
    <n v="60"/>
    <n v="2021"/>
    <m/>
    <x v="0"/>
  </r>
  <r>
    <x v="474"/>
    <n v="700"/>
    <x v="1"/>
    <x v="3"/>
    <m/>
    <s v="Correctif"/>
    <x v="46"/>
    <x v="316"/>
    <s v="Réparation"/>
    <x v="924"/>
    <x v="341"/>
    <x v="18"/>
    <n v="480"/>
    <n v="1"/>
    <n v="2021"/>
    <x v="0"/>
  </r>
  <r>
    <x v="474"/>
    <n v="590"/>
    <x v="0"/>
    <x v="20"/>
    <m/>
    <s v="préventif"/>
    <x v="42"/>
    <x v="232"/>
    <s v="Réparation"/>
    <x v="234"/>
    <x v="341"/>
    <x v="18"/>
    <n v="20"/>
    <n v="1"/>
    <n v="2021"/>
    <x v="0"/>
  </r>
  <r>
    <x v="475"/>
    <n v="700"/>
    <x v="1"/>
    <x v="3"/>
    <m/>
    <s v="Correctif"/>
    <x v="27"/>
    <x v="697"/>
    <s v="Réparation"/>
    <x v="925"/>
    <x v="476"/>
    <x v="18"/>
    <n v="480"/>
    <n v="1"/>
    <n v="2021"/>
    <x v="0"/>
  </r>
  <r>
    <x v="475"/>
    <n v="590"/>
    <x v="0"/>
    <x v="20"/>
    <m/>
    <s v="préventif"/>
    <x v="275"/>
    <x v="217"/>
    <s v="Réparation"/>
    <x v="513"/>
    <x v="476"/>
    <x v="18"/>
    <n v="120"/>
    <n v="1"/>
    <n v="2021"/>
    <x v="0"/>
  </r>
  <r>
    <x v="476"/>
    <n v="700"/>
    <x v="1"/>
    <x v="3"/>
    <m/>
    <s v="préventif"/>
    <x v="276"/>
    <x v="633"/>
    <s v="Réparation"/>
    <x v="861"/>
    <x v="477"/>
    <x v="18"/>
    <n v="20"/>
    <n v="1"/>
    <n v="2021"/>
    <x v="0"/>
  </r>
  <r>
    <x v="477"/>
    <n v="700"/>
    <x v="1"/>
    <x v="3"/>
    <m/>
    <s v="Correctif"/>
    <x v="2"/>
    <x v="329"/>
    <s v="Réparation"/>
    <x v="926"/>
    <x v="478"/>
    <x v="18"/>
    <n v="960"/>
    <n v="1"/>
    <n v="2021"/>
    <x v="0"/>
  </r>
  <r>
    <x v="478"/>
    <n v="572"/>
    <x v="7"/>
    <x v="32"/>
    <m/>
    <s v="préventif"/>
    <x v="277"/>
    <x v="86"/>
    <s v="Réparation"/>
    <x v="927"/>
    <x v="479"/>
    <x v="122"/>
    <n v="30"/>
    <n v="1"/>
    <n v="2021"/>
    <x v="0"/>
  </r>
  <r>
    <x v="479"/>
    <n v="700"/>
    <x v="1"/>
    <x v="3"/>
    <m/>
    <s v="Correctif"/>
    <x v="122"/>
    <x v="698"/>
    <s v="Réparation"/>
    <x v="928"/>
    <x v="480"/>
    <x v="18"/>
    <n v="90"/>
    <n v="2"/>
    <n v="2021"/>
    <x v="0"/>
  </r>
  <r>
    <x v="479"/>
    <n v="572"/>
    <x v="7"/>
    <x v="32"/>
    <m/>
    <s v="préventif"/>
    <x v="277"/>
    <x v="699"/>
    <s v="Réparation"/>
    <x v="929"/>
    <x v="480"/>
    <x v="18"/>
    <n v="60"/>
    <n v="2"/>
    <n v="2021"/>
    <x v="0"/>
  </r>
  <r>
    <x v="479"/>
    <n v="582"/>
    <x v="0"/>
    <x v="1"/>
    <m/>
    <s v="Correctif"/>
    <x v="87"/>
    <x v="700"/>
    <s v="Réparation"/>
    <x v="930"/>
    <x v="480"/>
    <x v="18"/>
    <n v="30"/>
    <n v="2"/>
    <n v="2021"/>
    <x v="0"/>
  </r>
  <r>
    <x v="479"/>
    <n v="582"/>
    <x v="0"/>
    <x v="1"/>
    <m/>
    <s v="Correctif"/>
    <x v="278"/>
    <x v="701"/>
    <s v="Réparation"/>
    <x v="931"/>
    <x v="480"/>
    <x v="18"/>
    <n v="30"/>
    <n v="2"/>
    <n v="2021"/>
    <x v="0"/>
  </r>
  <r>
    <x v="479"/>
    <n v="582"/>
    <x v="0"/>
    <x v="1"/>
    <m/>
    <s v="Correctif"/>
    <x v="279"/>
    <x v="702"/>
    <s v="Réparation"/>
    <x v="932"/>
    <x v="480"/>
    <x v="18"/>
    <n v="30"/>
    <n v="2"/>
    <n v="2021"/>
    <x v="0"/>
  </r>
  <r>
    <x v="479"/>
    <n v="582"/>
    <x v="0"/>
    <x v="1"/>
    <m/>
    <s v="Correctif"/>
    <x v="189"/>
    <x v="703"/>
    <s v="Réparation"/>
    <x v="933"/>
    <x v="480"/>
    <x v="18"/>
    <n v="30"/>
    <n v="2"/>
    <n v="2021"/>
    <x v="0"/>
  </r>
  <r>
    <x v="479"/>
    <n v="582"/>
    <x v="0"/>
    <x v="1"/>
    <m/>
    <s v="préventif"/>
    <x v="223"/>
    <x v="704"/>
    <s v="Réparation"/>
    <x v="934"/>
    <x v="480"/>
    <x v="18"/>
    <n v="20"/>
    <n v="2"/>
    <n v="2021"/>
    <x v="0"/>
  </r>
  <r>
    <x v="479"/>
    <n v="700"/>
    <x v="1"/>
    <x v="3"/>
    <m/>
    <s v="préventif"/>
    <x v="280"/>
    <x v="705"/>
    <s v="Réparation"/>
    <x v="935"/>
    <x v="480"/>
    <x v="18"/>
    <n v="120"/>
    <n v="2"/>
    <n v="2021"/>
    <x v="0"/>
  </r>
  <r>
    <x v="479"/>
    <n v="582"/>
    <x v="0"/>
    <x v="1"/>
    <m/>
    <s v="préventif"/>
    <x v="270"/>
    <x v="706"/>
    <s v="Réparation"/>
    <x v="936"/>
    <x v="480"/>
    <x v="18"/>
    <n v="240"/>
    <n v="2"/>
    <n v="2021"/>
    <x v="0"/>
  </r>
  <r>
    <x v="480"/>
    <n v="800"/>
    <x v="1"/>
    <x v="2"/>
    <m/>
    <s v="Correctif"/>
    <x v="46"/>
    <x v="707"/>
    <s v="Réparation"/>
    <x v="937"/>
    <x v="481"/>
    <x v="18"/>
    <n v="60"/>
    <n v="2"/>
    <n v="2021"/>
    <x v="0"/>
  </r>
  <r>
    <x v="480"/>
    <n v="565"/>
    <x v="0"/>
    <x v="4"/>
    <m/>
    <s v="Correctif"/>
    <x v="22"/>
    <x v="708"/>
    <s v="Réparation"/>
    <x v="938"/>
    <x v="481"/>
    <x v="18"/>
    <n v="45"/>
    <n v="2"/>
    <n v="2021"/>
    <x v="0"/>
  </r>
  <r>
    <x v="480"/>
    <n v="571"/>
    <x v="0"/>
    <x v="7"/>
    <m/>
    <s v="préventif"/>
    <x v="22"/>
    <x v="709"/>
    <s v="Réparation"/>
    <x v="939"/>
    <x v="481"/>
    <x v="18"/>
    <n v="15"/>
    <n v="2"/>
    <n v="2021"/>
    <x v="0"/>
  </r>
  <r>
    <x v="481"/>
    <n v="571"/>
    <x v="0"/>
    <x v="7"/>
    <m/>
    <s v="Correctif"/>
    <x v="22"/>
    <x v="708"/>
    <s v="Réparation"/>
    <x v="940"/>
    <x v="482"/>
    <x v="18"/>
    <n v="60"/>
    <n v="2"/>
    <n v="2021"/>
    <x v="0"/>
  </r>
  <r>
    <x v="481"/>
    <n v="606"/>
    <x v="0"/>
    <x v="17"/>
    <m/>
    <s v="préventif"/>
    <x v="29"/>
    <x v="710"/>
    <s v="Réparation"/>
    <x v="941"/>
    <x v="482"/>
    <x v="18"/>
    <n v="20"/>
    <n v="2"/>
    <n v="2021"/>
    <x v="0"/>
  </r>
  <r>
    <x v="481"/>
    <n v="700"/>
    <x v="1"/>
    <x v="3"/>
    <m/>
    <s v="Correctif"/>
    <x v="9"/>
    <x v="48"/>
    <s v="Réparation"/>
    <x v="942"/>
    <x v="482"/>
    <x v="18"/>
    <n v="45"/>
    <n v="2"/>
    <n v="2021"/>
    <x v="0"/>
  </r>
  <r>
    <x v="481"/>
    <n v="582"/>
    <x v="0"/>
    <x v="1"/>
    <m/>
    <s v="préventif"/>
    <x v="281"/>
    <x v="711"/>
    <s v="Réparation"/>
    <x v="943"/>
    <x v="482"/>
    <x v="18"/>
    <n v="15"/>
    <n v="2"/>
    <n v="2021"/>
    <x v="0"/>
  </r>
  <r>
    <x v="482"/>
    <n v="620"/>
    <x v="0"/>
    <x v="26"/>
    <m/>
    <s v="Correctif"/>
    <x v="282"/>
    <x v="712"/>
    <s v="Réparation"/>
    <x v="944"/>
    <x v="483"/>
    <x v="18"/>
    <n v="30"/>
    <n v="2"/>
    <n v="2021"/>
    <x v="0"/>
  </r>
  <r>
    <x v="483"/>
    <n v="700"/>
    <x v="1"/>
    <x v="3"/>
    <m/>
    <s v="Correctif"/>
    <x v="283"/>
    <x v="685"/>
    <s v="Réparation"/>
    <x v="887"/>
    <x v="484"/>
    <x v="18"/>
    <n v="15"/>
    <n v="2"/>
    <n v="2021"/>
    <x v="0"/>
  </r>
  <r>
    <x v="483"/>
    <n v="700"/>
    <x v="1"/>
    <x v="3"/>
    <m/>
    <s v="préventif"/>
    <x v="7"/>
    <x v="189"/>
    <s v="Réparation"/>
    <x v="945"/>
    <x v="484"/>
    <x v="18"/>
    <n v="15"/>
    <n v="2"/>
    <n v="2021"/>
    <x v="0"/>
  </r>
  <r>
    <x v="483"/>
    <n v="583"/>
    <x v="4"/>
    <x v="21"/>
    <m/>
    <s v="Correctif"/>
    <x v="18"/>
    <x v="206"/>
    <s v="Réparation"/>
    <x v="946"/>
    <x v="484"/>
    <x v="18"/>
    <n v="30"/>
    <n v="2"/>
    <n v="2021"/>
    <x v="0"/>
  </r>
  <r>
    <x v="483"/>
    <n v="582"/>
    <x v="0"/>
    <x v="1"/>
    <m/>
    <m/>
    <x v="284"/>
    <x v="0"/>
    <s v="Réparation"/>
    <x v="947"/>
    <x v="484"/>
    <x v="18"/>
    <m/>
    <n v="2"/>
    <n v="2021"/>
    <x v="0"/>
  </r>
  <r>
    <x v="484"/>
    <n v="581"/>
    <x v="0"/>
    <x v="10"/>
    <m/>
    <s v="préventif"/>
    <x v="45"/>
    <x v="713"/>
    <s v="Réparation"/>
    <x v="934"/>
    <x v="485"/>
    <x v="18"/>
    <n v="25"/>
    <n v="2"/>
    <n v="2021"/>
    <x v="0"/>
  </r>
  <r>
    <x v="485"/>
    <n v="604"/>
    <x v="0"/>
    <x v="22"/>
    <m/>
    <s v="Correctif"/>
    <x v="0"/>
    <x v="714"/>
    <s v="Réparation"/>
    <x v="948"/>
    <x v="486"/>
    <x v="18"/>
    <n v="30"/>
    <n v="2"/>
    <n v="2021"/>
    <x v="0"/>
  </r>
  <r>
    <x v="486"/>
    <n v="582"/>
    <x v="0"/>
    <x v="1"/>
    <m/>
    <s v="préventif"/>
    <x v="32"/>
    <x v="715"/>
    <s v="Réparation"/>
    <x v="949"/>
    <x v="487"/>
    <x v="18"/>
    <n v="15"/>
    <n v="2"/>
    <n v="2021"/>
    <x v="0"/>
  </r>
  <r>
    <x v="486"/>
    <n v="580"/>
    <x v="0"/>
    <x v="11"/>
    <m/>
    <s v="préventif"/>
    <x v="87"/>
    <x v="716"/>
    <s v="Réparation"/>
    <x v="950"/>
    <x v="487"/>
    <x v="18"/>
    <n v="240"/>
    <n v="2"/>
    <n v="2021"/>
    <x v="0"/>
  </r>
  <r>
    <x v="487"/>
    <n v="582"/>
    <x v="0"/>
    <x v="1"/>
    <m/>
    <s v="préventif"/>
    <x v="285"/>
    <x v="112"/>
    <s v="Réglage"/>
    <x v="951"/>
    <x v="488"/>
    <x v="18"/>
    <n v="15"/>
    <n v="2"/>
    <n v="2021"/>
    <x v="0"/>
  </r>
  <r>
    <x v="487"/>
    <n v="584"/>
    <x v="4"/>
    <x v="24"/>
    <m/>
    <s v="Correctif"/>
    <x v="286"/>
    <x v="717"/>
    <s v="Réparation"/>
    <x v="952"/>
    <x v="488"/>
    <x v="18"/>
    <n v="45"/>
    <n v="2"/>
    <n v="2021"/>
    <x v="0"/>
  </r>
  <r>
    <x v="487"/>
    <n v="580"/>
    <x v="0"/>
    <x v="11"/>
    <m/>
    <s v="préventif"/>
    <x v="87"/>
    <x v="716"/>
    <s v="Réparation"/>
    <x v="953"/>
    <x v="488"/>
    <x v="18"/>
    <n v="240"/>
    <n v="2"/>
    <n v="2021"/>
    <x v="0"/>
  </r>
  <r>
    <x v="488"/>
    <n v="571"/>
    <x v="0"/>
    <x v="7"/>
    <m/>
    <s v="préventif"/>
    <x v="2"/>
    <x v="718"/>
    <s v="Réparation"/>
    <x v="954"/>
    <x v="489"/>
    <x v="18"/>
    <n v="30"/>
    <n v="2"/>
    <n v="2021"/>
    <x v="0"/>
  </r>
  <r>
    <x v="488"/>
    <n v="620"/>
    <x v="0"/>
    <x v="26"/>
    <m/>
    <s v="préventif"/>
    <x v="11"/>
    <x v="343"/>
    <s v="Réparation"/>
    <x v="955"/>
    <x v="489"/>
    <x v="18"/>
    <n v="240"/>
    <n v="2"/>
    <n v="2021"/>
    <x v="0"/>
  </r>
  <r>
    <x v="489"/>
    <n v="590"/>
    <x v="0"/>
    <x v="20"/>
    <m/>
    <s v="Correctif"/>
    <x v="284"/>
    <x v="719"/>
    <s v="Réparation"/>
    <x v="931"/>
    <x v="490"/>
    <x v="18"/>
    <n v="60"/>
    <n v="2"/>
    <n v="2021"/>
    <x v="0"/>
  </r>
  <r>
    <x v="489"/>
    <n v="605"/>
    <x v="0"/>
    <x v="13"/>
    <m/>
    <s v="Correctif"/>
    <x v="0"/>
    <x v="720"/>
    <s v="Réparation"/>
    <x v="956"/>
    <x v="490"/>
    <x v="18"/>
    <n v="30"/>
    <n v="2"/>
    <n v="2021"/>
    <x v="0"/>
  </r>
  <r>
    <x v="489"/>
    <n v="560"/>
    <x v="0"/>
    <x v="0"/>
    <m/>
    <s v="Correctif"/>
    <x v="282"/>
    <x v="708"/>
    <s v="Réparation"/>
    <x v="957"/>
    <x v="490"/>
    <x v="18"/>
    <n v="30"/>
    <n v="2"/>
    <n v="2021"/>
    <x v="0"/>
  </r>
  <r>
    <x v="490"/>
    <n v="590"/>
    <x v="0"/>
    <x v="20"/>
    <m/>
    <s v="préventif"/>
    <x v="248"/>
    <x v="721"/>
    <s v="Réparation"/>
    <x v="958"/>
    <x v="491"/>
    <x v="18"/>
    <n v="60"/>
    <n v="2"/>
    <n v="2021"/>
    <x v="0"/>
  </r>
  <r>
    <x v="490"/>
    <n v="590"/>
    <x v="0"/>
    <x v="20"/>
    <m/>
    <s v="préventif"/>
    <x v="45"/>
    <x v="722"/>
    <s v="Réparation"/>
    <x v="959"/>
    <x v="491"/>
    <x v="18"/>
    <n v="60"/>
    <n v="2"/>
    <n v="2021"/>
    <x v="0"/>
  </r>
  <r>
    <x v="490"/>
    <n v="607"/>
    <x v="0"/>
    <x v="12"/>
    <m/>
    <s v="Correctif"/>
    <x v="287"/>
    <x v="122"/>
    <s v="Réparation"/>
    <x v="960"/>
    <x v="491"/>
    <x v="18"/>
    <n v="30"/>
    <n v="2"/>
    <n v="2021"/>
    <x v="0"/>
  </r>
  <r>
    <x v="490"/>
    <n v="620"/>
    <x v="0"/>
    <x v="26"/>
    <m/>
    <s v="préventif"/>
    <x v="282"/>
    <x v="709"/>
    <s v="Réparation"/>
    <x v="961"/>
    <x v="491"/>
    <x v="18"/>
    <n v="15"/>
    <n v="2"/>
    <n v="2021"/>
    <x v="0"/>
  </r>
  <r>
    <x v="490"/>
    <n v="582"/>
    <x v="0"/>
    <x v="1"/>
    <m/>
    <s v="préventif"/>
    <x v="126"/>
    <x v="723"/>
    <s v="Réparation"/>
    <x v="959"/>
    <x v="491"/>
    <x v="18"/>
    <n v="30"/>
    <n v="2"/>
    <n v="2021"/>
    <x v="0"/>
  </r>
  <r>
    <x v="490"/>
    <n v="700"/>
    <x v="1"/>
    <x v="3"/>
    <m/>
    <s v="préventif"/>
    <x v="171"/>
    <x v="724"/>
    <s v="Réparation"/>
    <x v="945"/>
    <x v="491"/>
    <x v="18"/>
    <n v="15"/>
    <n v="2"/>
    <n v="2021"/>
    <x v="0"/>
  </r>
  <r>
    <x v="490"/>
    <n v="582"/>
    <x v="0"/>
    <x v="1"/>
    <m/>
    <s v="préventif"/>
    <x v="201"/>
    <x v="725"/>
    <s v="Réparation"/>
    <x v="962"/>
    <x v="491"/>
    <x v="18"/>
    <n v="30"/>
    <n v="2"/>
    <n v="2021"/>
    <x v="0"/>
  </r>
  <r>
    <x v="491"/>
    <n v="582"/>
    <x v="0"/>
    <x v="1"/>
    <m/>
    <s v="préventif"/>
    <x v="32"/>
    <x v="726"/>
    <s v="Réparation"/>
    <x v="931"/>
    <x v="492"/>
    <x v="18"/>
    <n v="45"/>
    <n v="2"/>
    <n v="2021"/>
    <x v="0"/>
  </r>
  <r>
    <x v="491"/>
    <n v="571"/>
    <x v="0"/>
    <x v="7"/>
    <m/>
    <s v="Correctif"/>
    <x v="0"/>
    <x v="727"/>
    <s v="Réparation"/>
    <x v="963"/>
    <x v="492"/>
    <x v="18"/>
    <n v="30"/>
    <n v="2"/>
    <n v="2021"/>
    <x v="0"/>
  </r>
  <r>
    <x v="491"/>
    <n v="562"/>
    <x v="4"/>
    <x v="8"/>
    <m/>
    <s v="Correctif"/>
    <x v="193"/>
    <x v="728"/>
    <s v="Réparation"/>
    <x v="964"/>
    <x v="492"/>
    <x v="18"/>
    <n v="180"/>
    <n v="2"/>
    <n v="2021"/>
    <x v="0"/>
  </r>
  <r>
    <x v="492"/>
    <n v="700"/>
    <x v="1"/>
    <x v="3"/>
    <m/>
    <s v="Correctif"/>
    <x v="288"/>
    <x v="729"/>
    <s v="Réparation"/>
    <x v="965"/>
    <x v="493"/>
    <x v="18"/>
    <n v="60"/>
    <n v="2"/>
    <n v="2021"/>
    <x v="0"/>
  </r>
  <r>
    <x v="492"/>
    <n v="700"/>
    <x v="1"/>
    <x v="3"/>
    <m/>
    <s v="Correctif"/>
    <x v="48"/>
    <x v="730"/>
    <s v="Réparation"/>
    <x v="966"/>
    <x v="493"/>
    <x v="18"/>
    <n v="30"/>
    <n v="2"/>
    <n v="2021"/>
    <x v="0"/>
  </r>
  <r>
    <x v="492"/>
    <n v="700"/>
    <x v="1"/>
    <x v="3"/>
    <m/>
    <s v="préventif"/>
    <x v="24"/>
    <x v="731"/>
    <s v="Réparation"/>
    <x v="967"/>
    <x v="493"/>
    <x v="18"/>
    <n v="30"/>
    <n v="2"/>
    <n v="2021"/>
    <x v="0"/>
  </r>
  <r>
    <x v="492"/>
    <n v="565"/>
    <x v="0"/>
    <x v="4"/>
    <m/>
    <s v="préventif"/>
    <x v="57"/>
    <x v="732"/>
    <s v="Réparation"/>
    <x v="824"/>
    <x v="493"/>
    <x v="18"/>
    <n v="30"/>
    <n v="2"/>
    <n v="2021"/>
    <x v="0"/>
  </r>
  <r>
    <x v="492"/>
    <n v="571"/>
    <x v="0"/>
    <x v="7"/>
    <m/>
    <s v="Correctif"/>
    <x v="0"/>
    <x v="733"/>
    <s v="Réparation"/>
    <x v="968"/>
    <x v="493"/>
    <x v="18"/>
    <n v="30"/>
    <n v="2"/>
    <n v="2021"/>
    <x v="0"/>
  </r>
  <r>
    <x v="492"/>
    <n v="571"/>
    <x v="0"/>
    <x v="7"/>
    <m/>
    <s v="préventif"/>
    <x v="22"/>
    <x v="709"/>
    <s v="Réparation"/>
    <x v="969"/>
    <x v="493"/>
    <x v="18"/>
    <n v="240"/>
    <n v="2"/>
    <n v="2021"/>
    <x v="0"/>
  </r>
  <r>
    <x v="493"/>
    <n v="590"/>
    <x v="0"/>
    <x v="20"/>
    <m/>
    <s v="préventif"/>
    <x v="289"/>
    <x v="734"/>
    <s v="Réparation"/>
    <x v="970"/>
    <x v="494"/>
    <x v="18"/>
    <n v="20"/>
    <n v="2"/>
    <n v="2021"/>
    <x v="0"/>
  </r>
  <r>
    <x v="493"/>
    <n v="571"/>
    <x v="0"/>
    <x v="7"/>
    <m/>
    <s v="Correctif"/>
    <x v="0"/>
    <x v="735"/>
    <s v="Réparation"/>
    <x v="971"/>
    <x v="494"/>
    <x v="18"/>
    <n v="30"/>
    <n v="2"/>
    <n v="2021"/>
    <x v="0"/>
  </r>
  <r>
    <x v="493"/>
    <n v="565"/>
    <x v="0"/>
    <x v="4"/>
    <m/>
    <s v="Correctif"/>
    <x v="76"/>
    <x v="736"/>
    <s v="Réparation"/>
    <x v="972"/>
    <x v="494"/>
    <x v="18"/>
    <n v="30"/>
    <n v="2"/>
    <n v="2021"/>
    <x v="0"/>
  </r>
  <r>
    <x v="493"/>
    <n v="581"/>
    <x v="0"/>
    <x v="10"/>
    <m/>
    <s v="préventif"/>
    <x v="154"/>
    <x v="737"/>
    <s v="Réparation"/>
    <x v="973"/>
    <x v="494"/>
    <x v="18"/>
    <n v="30"/>
    <n v="2"/>
    <n v="2021"/>
    <x v="0"/>
  </r>
  <r>
    <x v="494"/>
    <n v="700"/>
    <x v="1"/>
    <x v="3"/>
    <m/>
    <s v="Correctif"/>
    <x v="10"/>
    <x v="738"/>
    <s v="Réparation"/>
    <x v="974"/>
    <x v="495"/>
    <x v="18"/>
    <n v="60"/>
    <n v="2"/>
    <n v="2021"/>
    <x v="0"/>
  </r>
  <r>
    <x v="494"/>
    <n v="581"/>
    <x v="0"/>
    <x v="10"/>
    <m/>
    <s v="Correctif"/>
    <x v="219"/>
    <x v="739"/>
    <s v="Réparation"/>
    <x v="975"/>
    <x v="495"/>
    <x v="18"/>
    <n v="15"/>
    <n v="2"/>
    <n v="2021"/>
    <x v="0"/>
  </r>
  <r>
    <x v="494"/>
    <n v="581"/>
    <x v="0"/>
    <x v="10"/>
    <m/>
    <s v="Correctif"/>
    <x v="32"/>
    <x v="740"/>
    <s v="Réparation"/>
    <x v="949"/>
    <x v="495"/>
    <x v="18"/>
    <n v="10"/>
    <n v="2"/>
    <n v="2021"/>
    <x v="0"/>
  </r>
  <r>
    <x v="494"/>
    <n v="581"/>
    <x v="0"/>
    <x v="10"/>
    <m/>
    <s v="préventif"/>
    <x v="154"/>
    <x v="737"/>
    <s v="Réparation"/>
    <x v="976"/>
    <x v="495"/>
    <x v="18"/>
    <n v="30"/>
    <n v="2"/>
    <n v="2021"/>
    <x v="0"/>
  </r>
  <r>
    <x v="494"/>
    <n v="440"/>
    <x v="8"/>
    <x v="35"/>
    <m/>
    <s v="préventif"/>
    <x v="247"/>
    <x v="718"/>
    <s v="Réparation"/>
    <x v="977"/>
    <x v="495"/>
    <x v="18"/>
    <n v="15"/>
    <n v="2"/>
    <n v="2021"/>
    <x v="0"/>
  </r>
  <r>
    <x v="494"/>
    <n v="560"/>
    <x v="0"/>
    <x v="0"/>
    <m/>
    <s v="Correctif"/>
    <x v="282"/>
    <x v="741"/>
    <s v="Réparation"/>
    <x v="978"/>
    <x v="495"/>
    <x v="18"/>
    <n v="30"/>
    <n v="2"/>
    <n v="2021"/>
    <x v="0"/>
  </r>
  <r>
    <x v="494"/>
    <n v="582"/>
    <x v="0"/>
    <x v="1"/>
    <m/>
    <s v="préventif"/>
    <x v="223"/>
    <x v="742"/>
    <s v="Réparation"/>
    <x v="979"/>
    <x v="495"/>
    <x v="18"/>
    <n v="120"/>
    <n v="2"/>
    <n v="2021"/>
    <x v="0"/>
  </r>
  <r>
    <x v="495"/>
    <n v="800"/>
    <x v="1"/>
    <x v="2"/>
    <m/>
    <s v="Correctif"/>
    <x v="23"/>
    <x v="743"/>
    <s v="Réparation"/>
    <x v="980"/>
    <x v="496"/>
    <x v="18"/>
    <n v="30"/>
    <n v="2"/>
    <n v="2021"/>
    <x v="0"/>
  </r>
  <r>
    <x v="495"/>
    <n v="565"/>
    <x v="0"/>
    <x v="4"/>
    <m/>
    <s v="Correctif"/>
    <x v="17"/>
    <x v="744"/>
    <s v="Réparation"/>
    <x v="981"/>
    <x v="496"/>
    <x v="18"/>
    <n v="30"/>
    <n v="2"/>
    <n v="2021"/>
    <x v="0"/>
  </r>
  <r>
    <x v="495"/>
    <n v="570"/>
    <x v="0"/>
    <x v="16"/>
    <m/>
    <s v="préventif"/>
    <x v="67"/>
    <x v="718"/>
    <s v="Réparation"/>
    <x v="982"/>
    <x v="496"/>
    <x v="18"/>
    <n v="45"/>
    <n v="2"/>
    <n v="2021"/>
    <x v="0"/>
  </r>
  <r>
    <x v="495"/>
    <n v="700"/>
    <x v="1"/>
    <x v="3"/>
    <m/>
    <s v="préventif"/>
    <x v="24"/>
    <x v="745"/>
    <s v="Réparation"/>
    <x v="983"/>
    <x v="496"/>
    <x v="18"/>
    <n v="120"/>
    <n v="2"/>
    <n v="2021"/>
    <x v="0"/>
  </r>
  <r>
    <x v="496"/>
    <n v="583"/>
    <x v="4"/>
    <x v="21"/>
    <m/>
    <s v="Correctif"/>
    <x v="245"/>
    <x v="181"/>
    <s v="Réparation"/>
    <x v="984"/>
    <x v="497"/>
    <x v="18"/>
    <n v="60"/>
    <n v="2"/>
    <n v="2021"/>
    <x v="0"/>
  </r>
  <r>
    <x v="496"/>
    <n v="700"/>
    <x v="1"/>
    <x v="3"/>
    <m/>
    <s v="Correctif"/>
    <x v="37"/>
    <x v="746"/>
    <s v="Réparation"/>
    <x v="985"/>
    <x v="498"/>
    <x v="18"/>
    <n v="300"/>
    <n v="2"/>
    <n v="2021"/>
    <x v="0"/>
  </r>
  <r>
    <x v="497"/>
    <n v="582"/>
    <x v="0"/>
    <x v="1"/>
    <m/>
    <s v="préventif"/>
    <x v="126"/>
    <x v="747"/>
    <s v="Réparation"/>
    <x v="986"/>
    <x v="498"/>
    <x v="18"/>
    <n v="60"/>
    <n v="2"/>
    <n v="2021"/>
    <x v="0"/>
  </r>
  <r>
    <x v="497"/>
    <n v="700"/>
    <x v="1"/>
    <x v="3"/>
    <m/>
    <s v="Correctif"/>
    <x v="184"/>
    <x v="748"/>
    <s v="Réparation"/>
    <x v="980"/>
    <x v="498"/>
    <x v="18"/>
    <n v="30"/>
    <n v="2"/>
    <n v="2021"/>
    <x v="0"/>
  </r>
  <r>
    <x v="498"/>
    <n v="534"/>
    <x v="2"/>
    <x v="27"/>
    <m/>
    <s v="Correctif"/>
    <x v="24"/>
    <x v="749"/>
    <s v="Réparation"/>
    <x v="987"/>
    <x v="499"/>
    <x v="18"/>
    <n v="30"/>
    <n v="2"/>
    <n v="2021"/>
    <x v="0"/>
  </r>
  <r>
    <x v="498"/>
    <n v="700"/>
    <x v="1"/>
    <x v="3"/>
    <m/>
    <s v="Correctif"/>
    <x v="290"/>
    <x v="750"/>
    <s v="Réparation"/>
    <x v="988"/>
    <x v="499"/>
    <x v="18"/>
    <n v="15"/>
    <n v="2"/>
    <n v="2021"/>
    <x v="0"/>
  </r>
  <r>
    <x v="498"/>
    <n v="582"/>
    <x v="0"/>
    <x v="1"/>
    <m/>
    <s v="préventif"/>
    <x v="201"/>
    <x v="751"/>
    <s v="Réparation"/>
    <x v="989"/>
    <x v="499"/>
    <x v="18"/>
    <n v="30"/>
    <n v="2"/>
    <n v="2021"/>
    <x v="0"/>
  </r>
  <r>
    <x v="498"/>
    <n v="565"/>
    <x v="0"/>
    <x v="4"/>
    <m/>
    <s v="Correctif"/>
    <x v="57"/>
    <x v="546"/>
    <s v="Réparation"/>
    <x v="990"/>
    <x v="499"/>
    <x v="18"/>
    <n v="30"/>
    <n v="2"/>
    <n v="2021"/>
    <x v="0"/>
  </r>
  <r>
    <x v="498"/>
    <n v="582"/>
    <x v="0"/>
    <x v="1"/>
    <m/>
    <s v="préventif"/>
    <x v="126"/>
    <x v="752"/>
    <s v="Réparation"/>
    <x v="991"/>
    <x v="499"/>
    <x v="18"/>
    <n v="20"/>
    <n v="2"/>
    <n v="2021"/>
    <x v="0"/>
  </r>
  <r>
    <x v="499"/>
    <n v="700"/>
    <x v="1"/>
    <x v="3"/>
    <m/>
    <s v="Correctif"/>
    <x v="51"/>
    <x v="484"/>
    <s v="Réparation"/>
    <x v="992"/>
    <x v="500"/>
    <x v="18"/>
    <n v="720"/>
    <n v="2"/>
    <n v="2021"/>
    <x v="0"/>
  </r>
  <r>
    <x v="500"/>
    <n v="581"/>
    <x v="0"/>
    <x v="10"/>
    <m/>
    <s v="préventif"/>
    <x v="137"/>
    <x v="753"/>
    <s v="Réparation"/>
    <x v="689"/>
    <x v="500"/>
    <x v="18"/>
    <n v="60"/>
    <n v="2"/>
    <n v="2021"/>
    <x v="0"/>
  </r>
  <r>
    <x v="500"/>
    <n v="581"/>
    <x v="0"/>
    <x v="10"/>
    <m/>
    <s v="préventif"/>
    <x v="45"/>
    <x v="754"/>
    <s v="Réparation"/>
    <x v="993"/>
    <x v="500"/>
    <x v="18"/>
    <n v="60"/>
    <n v="2"/>
    <n v="2021"/>
    <x v="0"/>
  </r>
  <r>
    <x v="500"/>
    <n v="582"/>
    <x v="0"/>
    <x v="1"/>
    <m/>
    <s v="préventif"/>
    <x v="126"/>
    <x v="755"/>
    <s v="Réparation"/>
    <x v="994"/>
    <x v="500"/>
    <x v="18"/>
    <n v="20"/>
    <n v="2"/>
    <n v="2021"/>
    <x v="0"/>
  </r>
  <r>
    <x v="500"/>
    <n v="582"/>
    <x v="0"/>
    <x v="1"/>
    <m/>
    <s v="Correctif"/>
    <x v="9"/>
    <x v="756"/>
    <s v="Réparation"/>
    <x v="995"/>
    <x v="500"/>
    <x v="18"/>
    <n v="15"/>
    <n v="2"/>
    <n v="2021"/>
    <x v="0"/>
  </r>
  <r>
    <x v="500"/>
    <n v="700"/>
    <x v="1"/>
    <x v="3"/>
    <m/>
    <s v="Correctif"/>
    <x v="271"/>
    <x v="757"/>
    <s v="Réparation"/>
    <x v="996"/>
    <x v="500"/>
    <x v="18"/>
    <n v="15"/>
    <n v="2"/>
    <n v="2021"/>
    <x v="0"/>
  </r>
  <r>
    <x v="500"/>
    <n v="800"/>
    <x v="1"/>
    <x v="2"/>
    <m/>
    <s v="Correctif"/>
    <x v="27"/>
    <x v="197"/>
    <s v="Réparation"/>
    <x v="997"/>
    <x v="501"/>
    <x v="18"/>
    <n v="420"/>
    <n v="2"/>
    <n v="2021"/>
    <x v="0"/>
  </r>
  <r>
    <x v="501"/>
    <n v="581"/>
    <x v="0"/>
    <x v="10"/>
    <m/>
    <s v="préventif"/>
    <x v="246"/>
    <x v="758"/>
    <s v="Réparation"/>
    <x v="998"/>
    <x v="501"/>
    <x v="18"/>
    <n v="60"/>
    <n v="2"/>
    <n v="2021"/>
    <x v="0"/>
  </r>
  <r>
    <x v="501"/>
    <n v="700"/>
    <x v="1"/>
    <x v="3"/>
    <m/>
    <s v="préventif"/>
    <x v="46"/>
    <x v="759"/>
    <s v="Réparation"/>
    <x v="999"/>
    <x v="501"/>
    <x v="18"/>
    <n v="240"/>
    <n v="2"/>
    <n v="2021"/>
    <x v="0"/>
  </r>
  <r>
    <x v="501"/>
    <n v="800"/>
    <x v="1"/>
    <x v="2"/>
    <m/>
    <s v="Correctif"/>
    <x v="46"/>
    <x v="675"/>
    <s v="Réparation"/>
    <x v="937"/>
    <x v="501"/>
    <x v="18"/>
    <n v="30"/>
    <n v="2"/>
    <n v="2021"/>
    <x v="0"/>
  </r>
  <r>
    <x v="501"/>
    <n v="571"/>
    <x v="0"/>
    <x v="7"/>
    <m/>
    <s v="Correctif"/>
    <x v="0"/>
    <x v="760"/>
    <s v="Réparation"/>
    <x v="1000"/>
    <x v="501"/>
    <x v="18"/>
    <n v="30"/>
    <n v="2"/>
    <n v="2021"/>
    <x v="0"/>
  </r>
  <r>
    <x v="502"/>
    <n v="581"/>
    <x v="0"/>
    <x v="10"/>
    <m/>
    <s v="Correctif"/>
    <x v="42"/>
    <x v="761"/>
    <s v="Réparation"/>
    <x v="1001"/>
    <x v="502"/>
    <x v="18"/>
    <n v="30"/>
    <n v="2"/>
    <n v="2021"/>
    <x v="0"/>
  </r>
  <r>
    <x v="502"/>
    <n v="700"/>
    <x v="1"/>
    <x v="3"/>
    <m/>
    <s v="Correctif"/>
    <x v="27"/>
    <x v="762"/>
    <s v="Réparation"/>
    <x v="1002"/>
    <x v="502"/>
    <x v="18"/>
    <n v="15"/>
    <n v="2"/>
    <n v="2021"/>
    <x v="0"/>
  </r>
  <r>
    <x v="502"/>
    <n v="800"/>
    <x v="1"/>
    <x v="2"/>
    <m/>
    <s v="Correctif"/>
    <x v="46"/>
    <x v="763"/>
    <s v="Réparation"/>
    <x v="1003"/>
    <x v="502"/>
    <x v="18"/>
    <n v="15"/>
    <n v="2"/>
    <n v="2021"/>
    <x v="0"/>
  </r>
  <r>
    <x v="503"/>
    <n v="604"/>
    <x v="0"/>
    <x v="22"/>
    <m/>
    <s v="Correctif"/>
    <x v="0"/>
    <x v="764"/>
    <s v="Réparation"/>
    <x v="1004"/>
    <x v="503"/>
    <x v="18"/>
    <n v="30"/>
    <n v="3"/>
    <n v="2021"/>
    <x v="0"/>
  </r>
  <r>
    <x v="503"/>
    <n v="571"/>
    <x v="0"/>
    <x v="7"/>
    <m/>
    <s v="Correctif"/>
    <x v="76"/>
    <x v="765"/>
    <s v="Réparation"/>
    <x v="1005"/>
    <x v="503"/>
    <x v="18"/>
    <n v="20"/>
    <n v="3"/>
    <n v="2021"/>
    <x v="0"/>
  </r>
  <r>
    <x v="503"/>
    <n v="591"/>
    <x v="4"/>
    <x v="36"/>
    <m/>
    <s v="préventif"/>
    <x v="248"/>
    <x v="766"/>
    <s v="Réparation"/>
    <x v="222"/>
    <x v="503"/>
    <x v="18"/>
    <n v="30"/>
    <n v="3"/>
    <n v="2021"/>
    <x v="0"/>
  </r>
  <r>
    <x v="503"/>
    <n v="590"/>
    <x v="0"/>
    <x v="20"/>
    <m/>
    <s v="préventif"/>
    <x v="246"/>
    <x v="767"/>
    <s v="Réparation"/>
    <x v="222"/>
    <x v="503"/>
    <x v="18"/>
    <n v="25"/>
    <n v="3"/>
    <n v="2021"/>
    <x v="0"/>
  </r>
  <r>
    <x v="503"/>
    <n v="533"/>
    <x v="2"/>
    <x v="5"/>
    <m/>
    <s v="Correctif"/>
    <x v="291"/>
    <x v="768"/>
    <s v="Réparation"/>
    <x v="1006"/>
    <x v="503"/>
    <x v="18"/>
    <n v="30"/>
    <n v="3"/>
    <n v="2021"/>
    <x v="0"/>
  </r>
  <r>
    <x v="503"/>
    <n v="700"/>
    <x v="1"/>
    <x v="3"/>
    <m/>
    <s v="Correctif"/>
    <x v="7"/>
    <x v="769"/>
    <s v="Réparation"/>
    <x v="1007"/>
    <x v="503"/>
    <x v="18"/>
    <n v="45"/>
    <n v="3"/>
    <n v="2021"/>
    <x v="0"/>
  </r>
  <r>
    <x v="504"/>
    <n v="581"/>
    <x v="0"/>
    <x v="10"/>
    <m/>
    <s v="préventif"/>
    <x v="292"/>
    <x v="770"/>
    <s v="Réparation"/>
    <x v="1008"/>
    <x v="504"/>
    <x v="18"/>
    <n v="120"/>
    <n v="3"/>
    <n v="2021"/>
    <x v="0"/>
  </r>
  <r>
    <x v="504"/>
    <n v="582"/>
    <x v="0"/>
    <x v="1"/>
    <m/>
    <s v="préventif"/>
    <x v="269"/>
    <x v="771"/>
    <s v="Réparation"/>
    <x v="1009"/>
    <x v="504"/>
    <x v="18"/>
    <n v="45"/>
    <n v="3"/>
    <n v="2021"/>
    <x v="0"/>
  </r>
  <r>
    <x v="504"/>
    <n v="700"/>
    <x v="1"/>
    <x v="3"/>
    <m/>
    <s v="Correctif"/>
    <x v="55"/>
    <x v="745"/>
    <s v="Réparation"/>
    <x v="1010"/>
    <x v="504"/>
    <x v="18"/>
    <n v="0"/>
    <n v="3"/>
    <n v="2021"/>
    <x v="0"/>
  </r>
  <r>
    <x v="504"/>
    <n v="700"/>
    <x v="1"/>
    <x v="3"/>
    <m/>
    <s v="Correctif"/>
    <x v="49"/>
    <x v="675"/>
    <s v="Réparation"/>
    <x v="388"/>
    <x v="504"/>
    <x v="18"/>
    <n v="45"/>
    <n v="3"/>
    <n v="2021"/>
    <x v="0"/>
  </r>
  <r>
    <x v="504"/>
    <n v="700"/>
    <x v="1"/>
    <x v="3"/>
    <m/>
    <s v="Correctif"/>
    <x v="23"/>
    <x v="772"/>
    <s v="Réparation"/>
    <x v="222"/>
    <x v="504"/>
    <x v="18"/>
    <n v="30"/>
    <n v="3"/>
    <n v="2021"/>
    <x v="0"/>
  </r>
  <r>
    <x v="504"/>
    <n v="700"/>
    <x v="1"/>
    <x v="3"/>
    <m/>
    <s v="préventif"/>
    <x v="225"/>
    <x v="773"/>
    <m/>
    <x v="1011"/>
    <x v="504"/>
    <x v="18"/>
    <n v="0"/>
    <n v="3"/>
    <n v="2021"/>
    <x v="0"/>
  </r>
  <r>
    <x v="505"/>
    <n v="800"/>
    <x v="1"/>
    <x v="2"/>
    <m/>
    <s v="Correctif"/>
    <x v="9"/>
    <x v="774"/>
    <s v="Réparation"/>
    <x v="1012"/>
    <x v="505"/>
    <x v="18"/>
    <n v="20"/>
    <n v="3"/>
    <n v="2021"/>
    <x v="0"/>
  </r>
  <r>
    <x v="506"/>
    <n v="800"/>
    <x v="1"/>
    <x v="2"/>
    <m/>
    <s v="préventif"/>
    <x v="129"/>
    <x v="775"/>
    <s v="Réparation"/>
    <x v="960"/>
    <x v="506"/>
    <x v="18"/>
    <n v="30"/>
    <n v="3"/>
    <n v="2021"/>
    <x v="0"/>
  </r>
  <r>
    <x v="506"/>
    <n v="560"/>
    <x v="0"/>
    <x v="0"/>
    <m/>
    <s v="Correctif"/>
    <x v="57"/>
    <x v="776"/>
    <s v="Réparation"/>
    <x v="1013"/>
    <x v="506"/>
    <x v="18"/>
    <n v="25"/>
    <n v="3"/>
    <n v="2021"/>
    <x v="0"/>
  </r>
  <r>
    <x v="506"/>
    <n v="604"/>
    <x v="0"/>
    <x v="22"/>
    <m/>
    <s v="Correctif"/>
    <x v="0"/>
    <x v="777"/>
    <s v="Réparation"/>
    <x v="1014"/>
    <x v="506"/>
    <x v="18"/>
    <n v="45"/>
    <n v="3"/>
    <n v="2021"/>
    <x v="0"/>
  </r>
  <r>
    <x v="506"/>
    <n v="573"/>
    <x v="4"/>
    <x v="23"/>
    <m/>
    <s v="Correctif"/>
    <x v="182"/>
    <x v="778"/>
    <s v="Réparation"/>
    <x v="1015"/>
    <x v="506"/>
    <x v="18"/>
    <n v="60"/>
    <n v="3"/>
    <n v="2021"/>
    <x v="0"/>
  </r>
  <r>
    <x v="506"/>
    <n v="570"/>
    <x v="0"/>
    <x v="16"/>
    <m/>
    <s v="Correctif"/>
    <x v="97"/>
    <x v="672"/>
    <s v="Réparation"/>
    <x v="1003"/>
    <x v="506"/>
    <x v="18"/>
    <n v="60"/>
    <n v="3"/>
    <n v="2021"/>
    <x v="0"/>
  </r>
  <r>
    <x v="506"/>
    <n v="560"/>
    <x v="0"/>
    <x v="0"/>
    <m/>
    <s v="Correctif"/>
    <x v="66"/>
    <x v="779"/>
    <s v="Réparation"/>
    <x v="1016"/>
    <x v="506"/>
    <x v="18"/>
    <n v="45"/>
    <n v="3"/>
    <n v="2021"/>
    <x v="0"/>
  </r>
  <r>
    <x v="507"/>
    <n v="800"/>
    <x v="1"/>
    <x v="2"/>
    <m/>
    <s v="Correctif"/>
    <x v="293"/>
    <x v="780"/>
    <s v="Réparation"/>
    <x v="1017"/>
    <x v="507"/>
    <x v="18"/>
    <n v="45"/>
    <n v="3"/>
    <n v="2021"/>
    <x v="0"/>
  </r>
  <r>
    <x v="507"/>
    <n v="571"/>
    <x v="0"/>
    <x v="7"/>
    <m/>
    <s v="Correctif"/>
    <x v="0"/>
    <x v="781"/>
    <s v="Réparation"/>
    <x v="1018"/>
    <x v="507"/>
    <x v="18"/>
    <n v="30"/>
    <n v="3"/>
    <n v="2021"/>
    <x v="0"/>
  </r>
  <r>
    <x v="507"/>
    <n v="582"/>
    <x v="0"/>
    <x v="1"/>
    <m/>
    <s v="Correctif"/>
    <x v="32"/>
    <x v="262"/>
    <s v="Réparation"/>
    <x v="844"/>
    <x v="507"/>
    <x v="18"/>
    <n v="20"/>
    <n v="3"/>
    <n v="2021"/>
    <x v="0"/>
  </r>
  <r>
    <x v="508"/>
    <n v="581"/>
    <x v="0"/>
    <x v="10"/>
    <m/>
    <s v="préventif"/>
    <x v="294"/>
    <x v="782"/>
    <s v="Réparation"/>
    <x v="1019"/>
    <x v="508"/>
    <x v="18"/>
    <n v="15"/>
    <n v="3"/>
    <n v="2021"/>
    <x v="0"/>
  </r>
  <r>
    <x v="508"/>
    <n v="570"/>
    <x v="0"/>
    <x v="16"/>
    <m/>
    <s v="Correctif"/>
    <x v="97"/>
    <x v="783"/>
    <s v="Réparation"/>
    <x v="1020"/>
    <x v="508"/>
    <x v="18"/>
    <n v="60"/>
    <n v="3"/>
    <n v="2021"/>
    <x v="0"/>
  </r>
  <r>
    <x v="508"/>
    <n v="800"/>
    <x v="1"/>
    <x v="2"/>
    <m/>
    <s v="préventif"/>
    <x v="2"/>
    <x v="633"/>
    <s v="Réparation"/>
    <x v="1021"/>
    <x v="508"/>
    <x v="18"/>
    <n v="20"/>
    <n v="3"/>
    <n v="2021"/>
    <x v="0"/>
  </r>
  <r>
    <x v="508"/>
    <n v="533"/>
    <x v="2"/>
    <x v="5"/>
    <m/>
    <s v="Correctif"/>
    <x v="5"/>
    <x v="784"/>
    <s v="Réparation"/>
    <x v="1022"/>
    <x v="508"/>
    <x v="18"/>
    <n v="30"/>
    <n v="3"/>
    <n v="2021"/>
    <x v="0"/>
  </r>
  <r>
    <x v="508"/>
    <n v="533"/>
    <x v="2"/>
    <x v="5"/>
    <m/>
    <s v="Correctif"/>
    <x v="291"/>
    <x v="539"/>
    <s v="Réparation"/>
    <x v="1002"/>
    <x v="508"/>
    <x v="18"/>
    <n v="20"/>
    <n v="3"/>
    <n v="2021"/>
    <x v="0"/>
  </r>
  <r>
    <x v="508"/>
    <n v="800"/>
    <x v="1"/>
    <x v="2"/>
    <m/>
    <s v="Correctif"/>
    <x v="23"/>
    <x v="785"/>
    <s v="Réparation"/>
    <x v="1023"/>
    <x v="508"/>
    <x v="18"/>
    <n v="20"/>
    <n v="3"/>
    <n v="2021"/>
    <x v="0"/>
  </r>
  <r>
    <x v="509"/>
    <n v="700"/>
    <x v="1"/>
    <x v="3"/>
    <m/>
    <s v="Correctif"/>
    <x v="49"/>
    <x v="539"/>
    <s v="Réparation"/>
    <x v="1002"/>
    <x v="509"/>
    <x v="18"/>
    <n v="30"/>
    <n v="3"/>
    <n v="2021"/>
    <x v="0"/>
  </r>
  <r>
    <x v="509"/>
    <n v="580"/>
    <x v="0"/>
    <x v="11"/>
    <m/>
    <s v="Correctif"/>
    <x v="11"/>
    <x v="786"/>
    <s v="Réparation"/>
    <x v="1024"/>
    <x v="509"/>
    <x v="18"/>
    <n v="180"/>
    <n v="3"/>
    <n v="2021"/>
    <x v="0"/>
  </r>
  <r>
    <x v="509"/>
    <n v="581"/>
    <x v="0"/>
    <x v="10"/>
    <m/>
    <s v="préventif"/>
    <x v="295"/>
    <x v="754"/>
    <s v="Réparation"/>
    <x v="972"/>
    <x v="509"/>
    <x v="18"/>
    <n v="120"/>
    <n v="3"/>
    <n v="2021"/>
    <x v="0"/>
  </r>
  <r>
    <x v="509"/>
    <n v="582"/>
    <x v="0"/>
    <x v="1"/>
    <m/>
    <s v="préventif"/>
    <x v="223"/>
    <x v="787"/>
    <s v="Réparation"/>
    <x v="1025"/>
    <x v="509"/>
    <x v="18"/>
    <n v="20"/>
    <n v="3"/>
    <n v="2021"/>
    <x v="0"/>
  </r>
  <r>
    <x v="510"/>
    <n v="582"/>
    <x v="0"/>
    <x v="1"/>
    <m/>
    <s v="préventif"/>
    <x v="296"/>
    <x v="788"/>
    <s v="Réparation"/>
    <x v="1026"/>
    <x v="509"/>
    <x v="18"/>
    <n v="120"/>
    <n v="3"/>
    <n v="2021"/>
    <x v="0"/>
  </r>
  <r>
    <x v="510"/>
    <n v="571"/>
    <x v="0"/>
    <x v="7"/>
    <m/>
    <s v="Correctif"/>
    <x v="17"/>
    <x v="534"/>
    <s v="Réparation"/>
    <x v="1027"/>
    <x v="510"/>
    <x v="18"/>
    <n v="60"/>
    <n v="3"/>
    <n v="2021"/>
    <x v="0"/>
  </r>
  <r>
    <x v="510"/>
    <n v="700"/>
    <x v="1"/>
    <x v="3"/>
    <m/>
    <s v="Correctif"/>
    <x v="23"/>
    <x v="789"/>
    <s v="Réparation"/>
    <x v="1028"/>
    <x v="510"/>
    <x v="18"/>
    <n v="60"/>
    <n v="3"/>
    <n v="2021"/>
    <x v="0"/>
  </r>
  <r>
    <x v="510"/>
    <n v="700"/>
    <x v="1"/>
    <x v="3"/>
    <m/>
    <s v="Correctif"/>
    <x v="23"/>
    <x v="789"/>
    <s v="Réparation"/>
    <x v="1029"/>
    <x v="510"/>
    <x v="18"/>
    <n v="10"/>
    <n v="3"/>
    <n v="2021"/>
    <x v="0"/>
  </r>
  <r>
    <x v="511"/>
    <n v="565"/>
    <x v="0"/>
    <x v="4"/>
    <m/>
    <s v="Correctif"/>
    <x v="282"/>
    <x v="790"/>
    <s v="Réparation"/>
    <x v="1030"/>
    <x v="511"/>
    <x v="18"/>
    <n v="480"/>
    <n v="3"/>
    <n v="2021"/>
    <x v="0"/>
  </r>
  <r>
    <x v="511"/>
    <n v="565"/>
    <x v="0"/>
    <x v="4"/>
    <m/>
    <s v="Correctif"/>
    <x v="11"/>
    <x v="791"/>
    <s v="Réparation"/>
    <x v="1031"/>
    <x v="511"/>
    <x v="18"/>
    <n v="60"/>
    <n v="3"/>
    <n v="2021"/>
    <x v="0"/>
  </r>
  <r>
    <x v="511"/>
    <n v="800"/>
    <x v="1"/>
    <x v="2"/>
    <m/>
    <s v="Correctif"/>
    <x v="37"/>
    <x v="538"/>
    <s v="Réparation"/>
    <x v="1032"/>
    <x v="511"/>
    <x v="18"/>
    <n v="30"/>
    <n v="3"/>
    <n v="2021"/>
    <x v="0"/>
  </r>
  <r>
    <x v="512"/>
    <n v="800"/>
    <x v="1"/>
    <x v="2"/>
    <m/>
    <s v="préventif"/>
    <x v="37"/>
    <x v="8"/>
    <s v="Réparation"/>
    <x v="1033"/>
    <x v="512"/>
    <x v="18"/>
    <n v="120"/>
    <n v="3"/>
    <n v="2021"/>
    <x v="0"/>
  </r>
  <r>
    <x v="512"/>
    <n v="800"/>
    <x v="1"/>
    <x v="2"/>
    <m/>
    <s v="Correctif"/>
    <x v="50"/>
    <x v="792"/>
    <s v="Réparation"/>
    <x v="1034"/>
    <x v="512"/>
    <x v="18"/>
    <n v="120"/>
    <n v="3"/>
    <n v="2021"/>
    <x v="0"/>
  </r>
  <r>
    <x v="512"/>
    <n v="800"/>
    <x v="1"/>
    <x v="2"/>
    <m/>
    <s v="Correctif"/>
    <x v="46"/>
    <x v="316"/>
    <s v="Réparation"/>
    <x v="1035"/>
    <x v="512"/>
    <x v="18"/>
    <n v="45"/>
    <n v="3"/>
    <n v="2021"/>
    <x v="0"/>
  </r>
  <r>
    <x v="512"/>
    <n v="581"/>
    <x v="0"/>
    <x v="10"/>
    <m/>
    <s v="préventif"/>
    <x v="248"/>
    <x v="793"/>
    <s v="Réparation"/>
    <x v="986"/>
    <x v="512"/>
    <x v="18"/>
    <n v="45"/>
    <n v="3"/>
    <n v="2021"/>
    <x v="0"/>
  </r>
  <r>
    <x v="512"/>
    <n v="582"/>
    <x v="0"/>
    <x v="1"/>
    <m/>
    <s v="préventif"/>
    <x v="223"/>
    <x v="794"/>
    <s v="Réparation"/>
    <x v="222"/>
    <x v="512"/>
    <x v="18"/>
    <n v="20"/>
    <n v="3"/>
    <n v="2021"/>
    <x v="0"/>
  </r>
  <r>
    <x v="512"/>
    <n v="560"/>
    <x v="0"/>
    <x v="0"/>
    <m/>
    <s v="préventif"/>
    <x v="282"/>
    <x v="709"/>
    <s v="Réparation"/>
    <x v="1036"/>
    <x v="512"/>
    <x v="18"/>
    <n v="0"/>
    <n v="3"/>
    <n v="2021"/>
    <x v="0"/>
  </r>
  <r>
    <x v="512"/>
    <n v="604"/>
    <x v="0"/>
    <x v="22"/>
    <m/>
    <s v="Correctif"/>
    <x v="0"/>
    <x v="714"/>
    <s v="Réparation"/>
    <x v="1037"/>
    <x v="512"/>
    <x v="18"/>
    <n v="30"/>
    <n v="3"/>
    <n v="2021"/>
    <x v="0"/>
  </r>
  <r>
    <x v="512"/>
    <n v="571"/>
    <x v="0"/>
    <x v="7"/>
    <m/>
    <s v="Correctif"/>
    <x v="0"/>
    <x v="795"/>
    <s v="Réparation"/>
    <x v="1038"/>
    <x v="512"/>
    <x v="18"/>
    <n v="45"/>
    <n v="3"/>
    <n v="2021"/>
    <x v="0"/>
  </r>
  <r>
    <x v="513"/>
    <n v="582"/>
    <x v="0"/>
    <x v="1"/>
    <m/>
    <s v="préventif"/>
    <x v="201"/>
    <x v="796"/>
    <s v="Réparation"/>
    <x v="989"/>
    <x v="513"/>
    <x v="18"/>
    <n v="20"/>
    <n v="3"/>
    <n v="2021"/>
    <x v="0"/>
  </r>
  <r>
    <x v="513"/>
    <n v="604"/>
    <x v="0"/>
    <x v="22"/>
    <m/>
    <m/>
    <x v="0"/>
    <x v="797"/>
    <s v="Réparation"/>
    <x v="948"/>
    <x v="513"/>
    <x v="18"/>
    <n v="30"/>
    <n v="3"/>
    <n v="2021"/>
    <x v="0"/>
  </r>
  <r>
    <x v="513"/>
    <n v="605"/>
    <x v="0"/>
    <x v="13"/>
    <m/>
    <m/>
    <x v="12"/>
    <x v="744"/>
    <s v="Réparation"/>
    <x v="932"/>
    <x v="513"/>
    <x v="18"/>
    <n v="30"/>
    <n v="3"/>
    <n v="2021"/>
    <x v="0"/>
  </r>
  <r>
    <x v="513"/>
    <n v="800"/>
    <x v="1"/>
    <x v="2"/>
    <m/>
    <s v="Correctif"/>
    <x v="297"/>
    <x v="798"/>
    <s v="Réparation"/>
    <x v="1039"/>
    <x v="513"/>
    <x v="18"/>
    <n v="90"/>
    <n v="3"/>
    <n v="2021"/>
    <x v="0"/>
  </r>
  <r>
    <x v="513"/>
    <n v="800"/>
    <x v="1"/>
    <x v="2"/>
    <m/>
    <s v="Correctif"/>
    <x v="297"/>
    <x v="798"/>
    <s v="Réparation"/>
    <x v="1039"/>
    <x v="513"/>
    <x v="18"/>
    <n v="90"/>
    <n v="3"/>
    <n v="2021"/>
    <x v="0"/>
  </r>
  <r>
    <x v="514"/>
    <n v="620"/>
    <x v="0"/>
    <x v="26"/>
    <n v="24451"/>
    <m/>
    <x v="282"/>
    <x v="709"/>
    <s v="Réparation"/>
    <x v="1040"/>
    <x v="514"/>
    <x v="18"/>
    <n v="120"/>
    <n v="3"/>
    <n v="2021"/>
    <x v="0"/>
  </r>
  <r>
    <x v="515"/>
    <n v="581"/>
    <x v="0"/>
    <x v="10"/>
    <n v="24451"/>
    <m/>
    <x v="15"/>
    <x v="799"/>
    <s v="Réparation"/>
    <x v="1041"/>
    <x v="514"/>
    <x v="18"/>
    <n v="240"/>
    <n v="3"/>
    <n v="2021"/>
    <x v="0"/>
  </r>
  <r>
    <x v="516"/>
    <n v="571"/>
    <x v="0"/>
    <x v="7"/>
    <n v="24451"/>
    <m/>
    <x v="140"/>
    <x v="0"/>
    <s v="Réparation"/>
    <x v="1040"/>
    <x v="514"/>
    <x v="18"/>
    <n v="120"/>
    <n v="3"/>
    <n v="2021"/>
    <x v="0"/>
  </r>
  <r>
    <x v="516"/>
    <n v="700"/>
    <x v="1"/>
    <x v="3"/>
    <m/>
    <m/>
    <x v="9"/>
    <x v="800"/>
    <s v="Réparation"/>
    <x v="1042"/>
    <x v="515"/>
    <x v="18"/>
    <m/>
    <n v="3"/>
    <n v="2021"/>
    <x v="0"/>
  </r>
  <r>
    <x v="516"/>
    <n v="605"/>
    <x v="0"/>
    <x v="13"/>
    <n v="24451"/>
    <m/>
    <x v="17"/>
    <x v="534"/>
    <s v="Réparation"/>
    <x v="1043"/>
    <x v="515"/>
    <x v="18"/>
    <n v="120"/>
    <n v="3"/>
    <n v="2021"/>
    <x v="0"/>
  </r>
  <r>
    <x v="517"/>
    <n v="571"/>
    <x v="0"/>
    <x v="7"/>
    <n v="24451"/>
    <m/>
    <x v="0"/>
    <x v="801"/>
    <s v="Réparation"/>
    <x v="1044"/>
    <x v="516"/>
    <x v="18"/>
    <n v="180"/>
    <n v="3"/>
    <n v="2021"/>
    <x v="0"/>
  </r>
  <r>
    <x v="517"/>
    <n v="581"/>
    <x v="0"/>
    <x v="10"/>
    <n v="24451"/>
    <m/>
    <x v="295"/>
    <x v="754"/>
    <s v="Réparation"/>
    <x v="1045"/>
    <x v="516"/>
    <x v="18"/>
    <n v="180"/>
    <n v="3"/>
    <n v="2021"/>
    <x v="0"/>
  </r>
  <r>
    <x v="517"/>
    <n v="565"/>
    <x v="0"/>
    <x v="4"/>
    <n v="24451"/>
    <m/>
    <x v="140"/>
    <x v="0"/>
    <s v="Réparation"/>
    <x v="1046"/>
    <x v="516"/>
    <x v="18"/>
    <n v="120"/>
    <n v="3"/>
    <n v="2021"/>
    <x v="0"/>
  </r>
  <r>
    <x v="518"/>
    <n v="565"/>
    <x v="0"/>
    <x v="4"/>
    <n v="24459"/>
    <m/>
    <x v="67"/>
    <x v="802"/>
    <s v="Réparation"/>
    <x v="1047"/>
    <x v="517"/>
    <x v="18"/>
    <n v="240"/>
    <n v="3"/>
    <n v="2021"/>
    <x v="0"/>
  </r>
  <r>
    <x v="518"/>
    <n v="570"/>
    <x v="0"/>
    <x v="16"/>
    <n v="24451"/>
    <m/>
    <x v="298"/>
    <x v="803"/>
    <s v="Réparation"/>
    <x v="1017"/>
    <x v="517"/>
    <x v="18"/>
    <n v="35"/>
    <n v="3"/>
    <n v="2021"/>
    <x v="0"/>
  </r>
  <r>
    <x v="518"/>
    <n v="582"/>
    <x v="0"/>
    <x v="1"/>
    <n v="24451"/>
    <m/>
    <x v="237"/>
    <x v="747"/>
    <s v="Réparation"/>
    <x v="1048"/>
    <x v="517"/>
    <x v="18"/>
    <n v="165"/>
    <n v="3"/>
    <n v="2021"/>
    <x v="0"/>
  </r>
  <r>
    <x v="518"/>
    <n v="560"/>
    <x v="0"/>
    <x v="0"/>
    <n v="24451"/>
    <m/>
    <x v="282"/>
    <x v="344"/>
    <s v="Réparation"/>
    <x v="1049"/>
    <x v="517"/>
    <x v="18"/>
    <n v="120"/>
    <n v="3"/>
    <n v="2021"/>
    <x v="0"/>
  </r>
  <r>
    <x v="518"/>
    <n v="700"/>
    <x v="1"/>
    <x v="3"/>
    <m/>
    <m/>
    <x v="12"/>
    <x v="804"/>
    <s v="Réparation"/>
    <x v="1050"/>
    <x v="517"/>
    <x v="18"/>
    <n v="250"/>
    <n v="3"/>
    <n v="2021"/>
    <x v="0"/>
  </r>
  <r>
    <x v="519"/>
    <n v="565"/>
    <x v="0"/>
    <x v="4"/>
    <n v="24461"/>
    <m/>
    <x v="282"/>
    <x v="805"/>
    <s v="Réparation"/>
    <x v="1051"/>
    <x v="518"/>
    <x v="18"/>
    <n v="180"/>
    <n v="3"/>
    <n v="2021"/>
    <x v="0"/>
  </r>
  <r>
    <x v="519"/>
    <n v="571"/>
    <x v="0"/>
    <x v="7"/>
    <n v="24460"/>
    <m/>
    <x v="282"/>
    <x v="344"/>
    <s v="Réparation"/>
    <x v="1040"/>
    <x v="518"/>
    <x v="18"/>
    <n v="240"/>
    <n v="3"/>
    <n v="2021"/>
    <x v="0"/>
  </r>
  <r>
    <x v="519"/>
    <n v="700"/>
    <x v="1"/>
    <x v="3"/>
    <m/>
    <m/>
    <x v="9"/>
    <x v="800"/>
    <s v="Réparation"/>
    <x v="1052"/>
    <x v="518"/>
    <x v="18"/>
    <n v="120"/>
    <n v="3"/>
    <n v="2021"/>
    <x v="0"/>
  </r>
  <r>
    <x v="519"/>
    <n v="571"/>
    <x v="0"/>
    <x v="7"/>
    <m/>
    <m/>
    <x v="57"/>
    <x v="806"/>
    <s v="Réparation"/>
    <x v="978"/>
    <x v="518"/>
    <x v="18"/>
    <n v="60"/>
    <n v="3"/>
    <n v="2021"/>
    <x v="0"/>
  </r>
  <r>
    <x v="520"/>
    <n v="800"/>
    <x v="1"/>
    <x v="2"/>
    <m/>
    <m/>
    <x v="24"/>
    <x v="807"/>
    <s v="Réparation"/>
    <x v="1053"/>
    <x v="519"/>
    <x v="18"/>
    <n v="150"/>
    <n v="3"/>
    <n v="2021"/>
    <x v="0"/>
  </r>
  <r>
    <x v="520"/>
    <n v="570"/>
    <x v="0"/>
    <x v="16"/>
    <m/>
    <m/>
    <x v="29"/>
    <x v="808"/>
    <s v="Réparation"/>
    <x v="995"/>
    <x v="519"/>
    <x v="18"/>
    <n v="30"/>
    <n v="3"/>
    <n v="2021"/>
    <x v="0"/>
  </r>
  <r>
    <x v="520"/>
    <n v="570"/>
    <x v="0"/>
    <x v="16"/>
    <m/>
    <m/>
    <x v="2"/>
    <x v="809"/>
    <s v="Réparation"/>
    <x v="1054"/>
    <x v="519"/>
    <x v="18"/>
    <n v="20"/>
    <n v="3"/>
    <n v="2021"/>
    <x v="0"/>
  </r>
  <r>
    <x v="520"/>
    <n v="560"/>
    <x v="0"/>
    <x v="0"/>
    <n v="24462"/>
    <m/>
    <x v="299"/>
    <x v="810"/>
    <s v="Réparation"/>
    <x v="1044"/>
    <x v="519"/>
    <x v="18"/>
    <n v="180"/>
    <n v="3"/>
    <n v="2021"/>
    <x v="0"/>
  </r>
  <r>
    <x v="520"/>
    <n v="570"/>
    <x v="0"/>
    <x v="16"/>
    <n v="24463"/>
    <m/>
    <x v="300"/>
    <x v="811"/>
    <s v="Réparation"/>
    <x v="1055"/>
    <x v="519"/>
    <x v="18"/>
    <n v="180"/>
    <n v="3"/>
    <n v="2021"/>
    <x v="0"/>
  </r>
  <r>
    <x v="521"/>
    <n v="800"/>
    <x v="1"/>
    <x v="2"/>
    <m/>
    <m/>
    <x v="50"/>
    <x v="812"/>
    <s v="Réparation"/>
    <x v="1056"/>
    <x v="520"/>
    <x v="18"/>
    <n v="90"/>
    <n v="3"/>
    <n v="2021"/>
    <x v="0"/>
  </r>
  <r>
    <x v="521"/>
    <n v="581"/>
    <x v="0"/>
    <x v="10"/>
    <m/>
    <m/>
    <x v="294"/>
    <x v="813"/>
    <s v="Réparation"/>
    <x v="1057"/>
    <x v="520"/>
    <x v="18"/>
    <n v="120"/>
    <n v="3"/>
    <n v="2021"/>
    <x v="0"/>
  </r>
  <r>
    <x v="522"/>
    <n v="800"/>
    <x v="1"/>
    <x v="2"/>
    <m/>
    <m/>
    <x v="24"/>
    <x v="814"/>
    <s v="Réparation"/>
    <x v="1058"/>
    <x v="521"/>
    <x v="18"/>
    <n v="360"/>
    <n v="3"/>
    <n v="2021"/>
    <x v="0"/>
  </r>
  <r>
    <x v="523"/>
    <n v="573"/>
    <x v="4"/>
    <x v="23"/>
    <m/>
    <m/>
    <x v="301"/>
    <x v="815"/>
    <s v="Réparation"/>
    <x v="946"/>
    <x v="522"/>
    <x v="18"/>
    <n v="240"/>
    <n v="3"/>
    <n v="2021"/>
    <x v="0"/>
  </r>
  <r>
    <x v="523"/>
    <n v="570"/>
    <x v="0"/>
    <x v="16"/>
    <m/>
    <m/>
    <x v="97"/>
    <x v="650"/>
    <s v="Réparation"/>
    <x v="1059"/>
    <x v="522"/>
    <x v="18"/>
    <n v="30"/>
    <n v="3"/>
    <n v="2021"/>
    <x v="0"/>
  </r>
  <r>
    <x v="523"/>
    <n v="584"/>
    <x v="4"/>
    <x v="24"/>
    <m/>
    <m/>
    <x v="18"/>
    <x v="816"/>
    <s v="Réparation"/>
    <x v="1060"/>
    <x v="522"/>
    <x v="18"/>
    <n v="60"/>
    <n v="3"/>
    <n v="2021"/>
    <x v="0"/>
  </r>
  <r>
    <x v="524"/>
    <n v="700"/>
    <x v="1"/>
    <x v="3"/>
    <m/>
    <m/>
    <x v="122"/>
    <x v="817"/>
    <s v="Réparation"/>
    <x v="1061"/>
    <x v="523"/>
    <x v="18"/>
    <n v="40"/>
    <n v="3"/>
    <n v="2021"/>
    <x v="0"/>
  </r>
  <r>
    <x v="524"/>
    <n v="581"/>
    <x v="0"/>
    <x v="10"/>
    <m/>
    <m/>
    <x v="292"/>
    <x v="770"/>
    <s v="Réparation"/>
    <x v="1062"/>
    <x v="523"/>
    <x v="18"/>
    <n v="165"/>
    <n v="3"/>
    <n v="2021"/>
    <x v="0"/>
  </r>
  <r>
    <x v="525"/>
    <n v="700"/>
    <x v="1"/>
    <x v="3"/>
    <m/>
    <m/>
    <x v="46"/>
    <x v="818"/>
    <s v="Réparation"/>
    <x v="1063"/>
    <x v="524"/>
    <x v="18"/>
    <n v="90"/>
    <n v="3"/>
    <n v="2021"/>
    <x v="0"/>
  </r>
  <r>
    <x v="526"/>
    <n v="700"/>
    <x v="1"/>
    <x v="3"/>
    <m/>
    <m/>
    <x v="49"/>
    <x v="819"/>
    <s v="Réparation"/>
    <x v="1064"/>
    <x v="525"/>
    <x v="18"/>
    <n v="30"/>
    <n v="3"/>
    <n v="2021"/>
    <x v="0"/>
  </r>
  <r>
    <x v="526"/>
    <n v="582"/>
    <x v="0"/>
    <x v="1"/>
    <m/>
    <m/>
    <x v="281"/>
    <x v="820"/>
    <s v="Réparation"/>
    <x v="1065"/>
    <x v="525"/>
    <x v="18"/>
    <n v="180"/>
    <n v="3"/>
    <n v="2021"/>
    <x v="0"/>
  </r>
  <r>
    <x v="526"/>
    <n v="581"/>
    <x v="0"/>
    <x v="10"/>
    <m/>
    <m/>
    <x v="302"/>
    <x v="821"/>
    <s v="Réparation"/>
    <x v="1066"/>
    <x v="525"/>
    <x v="18"/>
    <n v="120"/>
    <n v="3"/>
    <n v="2021"/>
    <x v="0"/>
  </r>
  <r>
    <x v="527"/>
    <n v="700"/>
    <x v="1"/>
    <x v="3"/>
    <m/>
    <m/>
    <x v="24"/>
    <x v="822"/>
    <s v="Réparation"/>
    <x v="1067"/>
    <x v="526"/>
    <x v="18"/>
    <n v="60"/>
    <n v="3"/>
    <n v="2021"/>
    <x v="0"/>
  </r>
  <r>
    <x v="527"/>
    <n v="700"/>
    <x v="1"/>
    <x v="3"/>
    <m/>
    <m/>
    <x v="12"/>
    <x v="823"/>
    <s v="Réparation"/>
    <x v="1068"/>
    <x v="526"/>
    <x v="18"/>
    <n v="30"/>
    <n v="3"/>
    <n v="2021"/>
    <x v="0"/>
  </r>
  <r>
    <x v="527"/>
    <n v="582"/>
    <x v="0"/>
    <x v="1"/>
    <m/>
    <m/>
    <x v="277"/>
    <x v="824"/>
    <s v="Réparation"/>
    <x v="1069"/>
    <x v="526"/>
    <x v="18"/>
    <n v="45"/>
    <n v="3"/>
    <n v="2021"/>
    <x v="0"/>
  </r>
  <r>
    <x v="527"/>
    <n v="580"/>
    <x v="0"/>
    <x v="11"/>
    <m/>
    <m/>
    <x v="9"/>
    <x v="800"/>
    <s v="Réparation"/>
    <x v="1070"/>
    <x v="526"/>
    <x v="18"/>
    <n v="30"/>
    <n v="3"/>
    <n v="2021"/>
    <x v="0"/>
  </r>
  <r>
    <x v="528"/>
    <n v="700"/>
    <x v="1"/>
    <x v="3"/>
    <m/>
    <m/>
    <x v="49"/>
    <x v="825"/>
    <s v="Réparation"/>
    <x v="1071"/>
    <x v="527"/>
    <x v="18"/>
    <n v="360"/>
    <n v="3"/>
    <n v="2021"/>
    <x v="0"/>
  </r>
  <r>
    <x v="528"/>
    <n v="581"/>
    <x v="0"/>
    <x v="10"/>
    <m/>
    <m/>
    <x v="220"/>
    <x v="826"/>
    <s v="Réparation"/>
    <x v="1072"/>
    <x v="527"/>
    <x v="18"/>
    <n v="300"/>
    <n v="3"/>
    <n v="2021"/>
    <x v="0"/>
  </r>
  <r>
    <x v="529"/>
    <n v="570"/>
    <x v="0"/>
    <x v="16"/>
    <m/>
    <m/>
    <x v="175"/>
    <x v="827"/>
    <s v="Réparation"/>
    <x v="1073"/>
    <x v="528"/>
    <x v="18"/>
    <n v="60"/>
    <n v="3"/>
    <n v="2021"/>
    <x v="0"/>
  </r>
  <r>
    <x v="530"/>
    <n v="800"/>
    <x v="1"/>
    <x v="2"/>
    <m/>
    <m/>
    <x v="24"/>
    <x v="828"/>
    <s v="Réparation"/>
    <x v="1074"/>
    <x v="529"/>
    <x v="18"/>
    <n v="150"/>
    <n v="3"/>
    <n v="2021"/>
    <x v="0"/>
  </r>
  <r>
    <x v="530"/>
    <n v="800"/>
    <x v="1"/>
    <x v="2"/>
    <m/>
    <m/>
    <x v="24"/>
    <x v="829"/>
    <s v="Réparation"/>
    <x v="1075"/>
    <x v="529"/>
    <x v="18"/>
    <n v="60"/>
    <n v="3"/>
    <n v="2021"/>
    <x v="0"/>
  </r>
  <r>
    <x v="530"/>
    <n v="800"/>
    <x v="1"/>
    <x v="2"/>
    <m/>
    <m/>
    <x v="37"/>
    <x v="830"/>
    <s v="Réparation"/>
    <x v="1076"/>
    <x v="529"/>
    <x v="18"/>
    <n v="90"/>
    <n v="3"/>
    <n v="2021"/>
    <x v="0"/>
  </r>
  <r>
    <x v="530"/>
    <n v="582"/>
    <x v="0"/>
    <x v="1"/>
    <m/>
    <m/>
    <x v="15"/>
    <x v="831"/>
    <s v="Réparation"/>
    <x v="1077"/>
    <x v="529"/>
    <x v="18"/>
    <n v="480"/>
    <n v="3"/>
    <n v="2021"/>
    <x v="0"/>
  </r>
  <r>
    <x v="530"/>
    <n v="607"/>
    <x v="0"/>
    <x v="12"/>
    <m/>
    <m/>
    <x v="0"/>
    <x v="797"/>
    <s v="Réparation"/>
    <x v="1078"/>
    <x v="529"/>
    <x v="18"/>
    <n v="60"/>
    <n v="3"/>
    <n v="2021"/>
    <x v="0"/>
  </r>
  <r>
    <x v="530"/>
    <n v="800"/>
    <x v="1"/>
    <x v="2"/>
    <m/>
    <m/>
    <x v="9"/>
    <x v="832"/>
    <s v="Réparation"/>
    <x v="1079"/>
    <x v="530"/>
    <x v="18"/>
    <n v="30"/>
    <n v="3"/>
    <n v="2021"/>
    <x v="0"/>
  </r>
  <r>
    <x v="531"/>
    <n v="800"/>
    <x v="1"/>
    <x v="2"/>
    <m/>
    <m/>
    <x v="8"/>
    <x v="833"/>
    <s v="Réparation"/>
    <x v="1080"/>
    <x v="529"/>
    <x v="18"/>
    <n v="30"/>
    <n v="3"/>
    <n v="2021"/>
    <x v="0"/>
  </r>
  <r>
    <x v="531"/>
    <n v="565"/>
    <x v="0"/>
    <x v="4"/>
    <m/>
    <m/>
    <x v="282"/>
    <x v="834"/>
    <s v="Réparation"/>
    <x v="1081"/>
    <x v="530"/>
    <x v="18"/>
    <n v="180"/>
    <n v="3"/>
    <n v="2021"/>
    <x v="0"/>
  </r>
  <r>
    <x v="531"/>
    <n v="533"/>
    <x v="2"/>
    <x v="5"/>
    <m/>
    <m/>
    <x v="24"/>
    <x v="0"/>
    <s v="Réparation"/>
    <x v="1082"/>
    <x v="530"/>
    <x v="18"/>
    <n v="45"/>
    <n v="3"/>
    <n v="2021"/>
    <x v="0"/>
  </r>
  <r>
    <x v="531"/>
    <n v="581"/>
    <x v="0"/>
    <x v="10"/>
    <m/>
    <m/>
    <x v="9"/>
    <x v="835"/>
    <s v="Réparation"/>
    <x v="1083"/>
    <x v="530"/>
    <x v="18"/>
    <n v="90"/>
    <n v="3"/>
    <n v="2021"/>
    <x v="0"/>
  </r>
  <r>
    <x v="531"/>
    <n v="581"/>
    <x v="0"/>
    <x v="10"/>
    <m/>
    <m/>
    <x v="302"/>
    <x v="836"/>
    <s v="Réparation"/>
    <x v="1084"/>
    <x v="530"/>
    <x v="18"/>
    <n v="180"/>
    <n v="3"/>
    <n v="2021"/>
    <x v="0"/>
  </r>
  <r>
    <x v="531"/>
    <n v="581"/>
    <x v="0"/>
    <x v="10"/>
    <m/>
    <m/>
    <x v="303"/>
    <x v="837"/>
    <s v="Réparation"/>
    <x v="1085"/>
    <x v="530"/>
    <x v="18"/>
    <n v="30"/>
    <n v="3"/>
    <n v="2021"/>
    <x v="0"/>
  </r>
  <r>
    <x v="531"/>
    <n v="565"/>
    <x v="0"/>
    <x v="4"/>
    <m/>
    <m/>
    <x v="17"/>
    <x v="838"/>
    <s v="Réparation"/>
    <x v="1086"/>
    <x v="530"/>
    <x v="18"/>
    <n v="120"/>
    <n v="3"/>
    <n v="2021"/>
    <x v="0"/>
  </r>
  <r>
    <x v="531"/>
    <n v="565"/>
    <x v="0"/>
    <x v="4"/>
    <m/>
    <m/>
    <x v="11"/>
    <x v="391"/>
    <s v="Réparation"/>
    <x v="1087"/>
    <x v="530"/>
    <x v="18"/>
    <n v="45"/>
    <n v="3"/>
    <n v="2021"/>
    <x v="0"/>
  </r>
  <r>
    <x v="532"/>
    <n v="582"/>
    <x v="0"/>
    <x v="1"/>
    <m/>
    <m/>
    <x v="237"/>
    <x v="839"/>
    <s v="Réparation"/>
    <x v="1088"/>
    <x v="531"/>
    <x v="18"/>
    <n v="45"/>
    <n v="4"/>
    <n v="2021"/>
    <x v="0"/>
  </r>
  <r>
    <x v="532"/>
    <n v="583"/>
    <x v="4"/>
    <x v="21"/>
    <m/>
    <m/>
    <x v="182"/>
    <x v="840"/>
    <s v="Réparation"/>
    <x v="1089"/>
    <x v="531"/>
    <x v="18"/>
    <n v="30"/>
    <n v="4"/>
    <n v="2021"/>
    <x v="0"/>
  </r>
  <r>
    <x v="532"/>
    <n v="605"/>
    <x v="0"/>
    <x v="13"/>
    <m/>
    <m/>
    <x v="17"/>
    <x v="841"/>
    <s v="Réparation"/>
    <x v="1090"/>
    <x v="531"/>
    <x v="18"/>
    <n v="60"/>
    <n v="4"/>
    <n v="2021"/>
    <x v="0"/>
  </r>
  <r>
    <x v="532"/>
    <n v="568"/>
    <x v="4"/>
    <x v="14"/>
    <m/>
    <m/>
    <x v="301"/>
    <x v="114"/>
    <s v="Réparation"/>
    <x v="1091"/>
    <x v="531"/>
    <x v="18"/>
    <n v="180"/>
    <n v="4"/>
    <n v="2021"/>
    <x v="0"/>
  </r>
  <r>
    <x v="532"/>
    <n v="561"/>
    <x v="4"/>
    <x v="18"/>
    <m/>
    <m/>
    <x v="10"/>
    <x v="842"/>
    <s v="Réparation"/>
    <x v="1092"/>
    <x v="531"/>
    <x v="18"/>
    <n v="105"/>
    <n v="4"/>
    <n v="2021"/>
    <x v="0"/>
  </r>
  <r>
    <x v="532"/>
    <n v="440"/>
    <x v="8"/>
    <x v="35"/>
    <m/>
    <m/>
    <x v="304"/>
    <x v="843"/>
    <s v="Réparation"/>
    <x v="1093"/>
    <x v="531"/>
    <x v="18"/>
    <n v="30"/>
    <n v="4"/>
    <n v="2021"/>
    <x v="0"/>
  </r>
  <r>
    <x v="532"/>
    <n v="561"/>
    <x v="4"/>
    <x v="18"/>
    <n v="24367"/>
    <m/>
    <x v="10"/>
    <x v="842"/>
    <s v="Réparation"/>
    <x v="1092"/>
    <x v="531"/>
    <x v="18"/>
    <n v="165"/>
    <n v="4"/>
    <n v="2021"/>
    <x v="0"/>
  </r>
  <r>
    <x v="532"/>
    <n v="605"/>
    <x v="0"/>
    <x v="13"/>
    <n v="24355"/>
    <m/>
    <x v="17"/>
    <x v="841"/>
    <s v="Réparation"/>
    <x v="1090"/>
    <x v="531"/>
    <x v="18"/>
    <n v="60"/>
    <n v="4"/>
    <n v="2021"/>
    <x v="0"/>
  </r>
  <r>
    <x v="532"/>
    <n v="581"/>
    <x v="0"/>
    <x v="10"/>
    <n v="24427"/>
    <m/>
    <x v="303"/>
    <x v="844"/>
    <s v="Réparation"/>
    <x v="1094"/>
    <x v="531"/>
    <x v="18"/>
    <n v="120"/>
    <n v="4"/>
    <n v="2021"/>
    <x v="0"/>
  </r>
  <r>
    <x v="532"/>
    <n v="570"/>
    <x v="0"/>
    <x v="16"/>
    <n v="24711"/>
    <m/>
    <x v="97"/>
    <x v="845"/>
    <s v="Réparation"/>
    <x v="1017"/>
    <x v="531"/>
    <x v="18"/>
    <n v="120"/>
    <n v="4"/>
    <n v="2021"/>
    <x v="0"/>
  </r>
  <r>
    <x v="533"/>
    <n v="700"/>
    <x v="1"/>
    <x v="3"/>
    <n v="24301"/>
    <m/>
    <x v="12"/>
    <x v="846"/>
    <s v="Réparation"/>
    <x v="1095"/>
    <x v="532"/>
    <x v="18"/>
    <n v="65"/>
    <n v="4"/>
    <n v="2021"/>
    <x v="0"/>
  </r>
  <r>
    <x v="533"/>
    <n v="565"/>
    <x v="0"/>
    <x v="4"/>
    <n v="24369"/>
    <m/>
    <x v="12"/>
    <x v="847"/>
    <s v="Réparation"/>
    <x v="1096"/>
    <x v="532"/>
    <x v="18"/>
    <n v="60"/>
    <n v="4"/>
    <n v="2021"/>
    <x v="0"/>
  </r>
  <r>
    <x v="533"/>
    <n v="582"/>
    <x v="0"/>
    <x v="1"/>
    <n v="24428"/>
    <m/>
    <x v="9"/>
    <x v="324"/>
    <s v="Changement"/>
    <x v="1097"/>
    <x v="532"/>
    <x v="18"/>
    <n v="30"/>
    <n v="4"/>
    <n v="2021"/>
    <x v="0"/>
  </r>
  <r>
    <x v="533"/>
    <n v="607"/>
    <x v="0"/>
    <x v="12"/>
    <n v="24370"/>
    <m/>
    <x v="17"/>
    <x v="848"/>
    <s v="Réparation"/>
    <x v="1098"/>
    <x v="532"/>
    <x v="18"/>
    <n v="30"/>
    <n v="4"/>
    <n v="2021"/>
    <x v="0"/>
  </r>
  <r>
    <x v="533"/>
    <n v="565"/>
    <x v="0"/>
    <x v="4"/>
    <n v="24371"/>
    <m/>
    <x v="305"/>
    <x v="849"/>
    <s v="Réparation"/>
    <x v="1099"/>
    <x v="532"/>
    <x v="18"/>
    <n v="240"/>
    <n v="4"/>
    <n v="2021"/>
    <x v="0"/>
  </r>
  <r>
    <x v="533"/>
    <n v="800"/>
    <x v="1"/>
    <x v="2"/>
    <n v="24302"/>
    <m/>
    <x v="27"/>
    <x v="850"/>
    <s v="Réparation"/>
    <x v="1100"/>
    <x v="532"/>
    <x v="18"/>
    <n v="180"/>
    <n v="4"/>
    <n v="2021"/>
    <x v="0"/>
  </r>
  <r>
    <x v="533"/>
    <n v="565"/>
    <x v="0"/>
    <x v="4"/>
    <n v="24372"/>
    <m/>
    <x v="67"/>
    <x v="851"/>
    <s v="Réparation"/>
    <x v="1101"/>
    <x v="532"/>
    <x v="18"/>
    <n v="15"/>
    <n v="4"/>
    <n v="2021"/>
    <x v="0"/>
  </r>
  <r>
    <x v="533"/>
    <n v="570"/>
    <x v="0"/>
    <x v="16"/>
    <n v="24712"/>
    <m/>
    <x v="305"/>
    <x v="852"/>
    <s v="Réparation"/>
    <x v="1102"/>
    <x v="532"/>
    <x v="18"/>
    <n v="120"/>
    <n v="4"/>
    <n v="2021"/>
    <x v="0"/>
  </r>
  <r>
    <x v="534"/>
    <n v="700"/>
    <x v="1"/>
    <x v="3"/>
    <n v="24303"/>
    <m/>
    <x v="306"/>
    <x v="366"/>
    <s v="Réparation"/>
    <x v="1103"/>
    <x v="533"/>
    <x v="18"/>
    <n v="90"/>
    <n v="4"/>
    <n v="2021"/>
    <x v="0"/>
  </r>
  <r>
    <x v="535"/>
    <n v="573"/>
    <x v="4"/>
    <x v="23"/>
    <n v="24713"/>
    <m/>
    <x v="307"/>
    <x v="853"/>
    <s v="Dépannage"/>
    <x v="1104"/>
    <x v="533"/>
    <x v="18"/>
    <n v="90"/>
    <n v="4"/>
    <n v="2021"/>
    <x v="0"/>
  </r>
  <r>
    <x v="536"/>
    <n v="700"/>
    <x v="1"/>
    <x v="3"/>
    <n v="24304"/>
    <m/>
    <x v="49"/>
    <x v="854"/>
    <s v="Réparation"/>
    <x v="1105"/>
    <x v="534"/>
    <x v="18"/>
    <n v="90"/>
    <n v="4"/>
    <n v="2021"/>
    <x v="0"/>
  </r>
  <r>
    <x v="536"/>
    <n v="620"/>
    <x v="0"/>
    <x v="26"/>
    <n v="24714"/>
    <m/>
    <x v="12"/>
    <x v="855"/>
    <s v="Changement"/>
    <x v="1106"/>
    <x v="534"/>
    <x v="18"/>
    <n v="60"/>
    <n v="4"/>
    <n v="2021"/>
    <x v="0"/>
  </r>
  <r>
    <x v="536"/>
    <n v="569"/>
    <x v="9"/>
    <x v="38"/>
    <n v="24375"/>
    <m/>
    <x v="308"/>
    <x v="856"/>
    <s v="Réparation"/>
    <x v="1107"/>
    <x v="534"/>
    <x v="18"/>
    <n v="45"/>
    <n v="4"/>
    <n v="2021"/>
    <x v="0"/>
  </r>
  <r>
    <x v="536"/>
    <n v="581"/>
    <x v="0"/>
    <x v="10"/>
    <n v="24429"/>
    <m/>
    <x v="97"/>
    <x v="857"/>
    <s v="Changement"/>
    <x v="1108"/>
    <x v="534"/>
    <x v="18"/>
    <n v="45"/>
    <n v="4"/>
    <n v="2021"/>
    <x v="0"/>
  </r>
  <r>
    <x v="536"/>
    <n v="560"/>
    <x v="0"/>
    <x v="0"/>
    <n v="24374"/>
    <m/>
    <x v="309"/>
    <x v="858"/>
    <s v="Changement"/>
    <x v="1109"/>
    <x v="534"/>
    <x v="18"/>
    <n v="120"/>
    <n v="4"/>
    <n v="2021"/>
    <x v="0"/>
  </r>
  <r>
    <x v="536"/>
    <n v="800"/>
    <x v="1"/>
    <x v="2"/>
    <n v="24306"/>
    <m/>
    <x v="24"/>
    <x v="859"/>
    <s v="Changement"/>
    <x v="1110"/>
    <x v="534"/>
    <x v="18"/>
    <n v="180"/>
    <n v="4"/>
    <n v="2021"/>
    <x v="0"/>
  </r>
  <r>
    <x v="537"/>
    <n v="700"/>
    <x v="1"/>
    <x v="3"/>
    <n v="24308"/>
    <m/>
    <x v="9"/>
    <x v="860"/>
    <s v="Réparation"/>
    <x v="1111"/>
    <x v="535"/>
    <x v="18"/>
    <n v="90"/>
    <n v="4"/>
    <n v="2021"/>
    <x v="0"/>
  </r>
  <r>
    <x v="537"/>
    <n v="562"/>
    <x v="4"/>
    <x v="8"/>
    <n v="24376"/>
    <m/>
    <x v="10"/>
    <x v="861"/>
    <s v="Réparation"/>
    <x v="810"/>
    <x v="535"/>
    <x v="18"/>
    <n v="90"/>
    <n v="4"/>
    <n v="2021"/>
    <x v="0"/>
  </r>
  <r>
    <x v="537"/>
    <n v="565"/>
    <x v="0"/>
    <x v="4"/>
    <n v="24377"/>
    <m/>
    <x v="140"/>
    <x v="862"/>
    <s v="Changement"/>
    <x v="1112"/>
    <x v="535"/>
    <x v="18"/>
    <n v="60"/>
    <n v="4"/>
    <n v="2021"/>
    <x v="0"/>
  </r>
  <r>
    <x v="537"/>
    <n v="560"/>
    <x v="0"/>
    <x v="0"/>
    <n v="24378"/>
    <m/>
    <x v="305"/>
    <x v="863"/>
    <s v="Changement"/>
    <x v="978"/>
    <x v="535"/>
    <x v="18"/>
    <n v="60"/>
    <n v="4"/>
    <n v="2021"/>
    <x v="0"/>
  </r>
  <r>
    <x v="537"/>
    <n v="700"/>
    <x v="1"/>
    <x v="3"/>
    <n v="24307"/>
    <m/>
    <x v="8"/>
    <x v="864"/>
    <s v="Réparation"/>
    <x v="1113"/>
    <x v="535"/>
    <x v="18"/>
    <n v="45"/>
    <n v="4"/>
    <n v="2021"/>
    <x v="0"/>
  </r>
  <r>
    <x v="537"/>
    <n v="605"/>
    <x v="0"/>
    <x v="13"/>
    <n v="24379"/>
    <m/>
    <x v="310"/>
    <x v="865"/>
    <s v="Réparation"/>
    <x v="283"/>
    <x v="535"/>
    <x v="18"/>
    <n v="45"/>
    <n v="4"/>
    <n v="2021"/>
    <x v="0"/>
  </r>
  <r>
    <x v="537"/>
    <n v="800"/>
    <x v="1"/>
    <x v="2"/>
    <n v="24306"/>
    <m/>
    <x v="27"/>
    <x v="197"/>
    <s v="Réparation"/>
    <x v="1114"/>
    <x v="535"/>
    <x v="18"/>
    <n v="135"/>
    <n v="4"/>
    <n v="2021"/>
    <x v="0"/>
  </r>
  <r>
    <x v="537"/>
    <n v="800"/>
    <x v="1"/>
    <x v="2"/>
    <n v="24311"/>
    <m/>
    <x v="24"/>
    <x v="866"/>
    <s v="Réparation"/>
    <x v="1115"/>
    <x v="535"/>
    <x v="18"/>
    <n v="135"/>
    <n v="4"/>
    <n v="2021"/>
    <x v="0"/>
  </r>
  <r>
    <x v="538"/>
    <n v="700"/>
    <x v="1"/>
    <x v="3"/>
    <n v="24310"/>
    <m/>
    <x v="129"/>
    <x v="867"/>
    <s v="Réparation"/>
    <x v="1116"/>
    <x v="536"/>
    <x v="18"/>
    <n v="35"/>
    <n v="4"/>
    <n v="2021"/>
    <x v="0"/>
  </r>
  <r>
    <x v="538"/>
    <n v="565"/>
    <x v="0"/>
    <x v="4"/>
    <n v="24380"/>
    <m/>
    <x v="311"/>
    <x v="868"/>
    <s v="Changement"/>
    <x v="1112"/>
    <x v="536"/>
    <x v="18"/>
    <n v="30"/>
    <n v="4"/>
    <n v="2021"/>
    <x v="0"/>
  </r>
  <r>
    <x v="538"/>
    <n v="534"/>
    <x v="2"/>
    <x v="27"/>
    <n v="24309"/>
    <m/>
    <x v="19"/>
    <x v="869"/>
    <s v="Changement"/>
    <x v="369"/>
    <x v="536"/>
    <x v="18"/>
    <n v="30"/>
    <n v="4"/>
    <n v="2021"/>
    <x v="0"/>
  </r>
  <r>
    <x v="539"/>
    <n v="605"/>
    <x v="0"/>
    <x v="13"/>
    <n v="24381"/>
    <m/>
    <x v="298"/>
    <x v="870"/>
    <s v="Changement"/>
    <x v="657"/>
    <x v="537"/>
    <x v="18"/>
    <n v="60"/>
    <n v="4"/>
    <n v="2021"/>
    <x v="0"/>
  </r>
  <r>
    <x v="539"/>
    <n v="800"/>
    <x v="1"/>
    <x v="2"/>
    <n v="24312"/>
    <m/>
    <x v="12"/>
    <x v="871"/>
    <s v="Changement"/>
    <x v="1117"/>
    <x v="537"/>
    <x v="18"/>
    <n v="60"/>
    <n v="4"/>
    <n v="2021"/>
    <x v="0"/>
  </r>
  <r>
    <x v="539"/>
    <n v="601"/>
    <x v="0"/>
    <x v="25"/>
    <n v="24721"/>
    <m/>
    <x v="312"/>
    <x v="714"/>
    <s v="Changement"/>
    <x v="1118"/>
    <x v="537"/>
    <x v="18"/>
    <n v="60"/>
    <n v="4"/>
    <n v="2021"/>
    <x v="0"/>
  </r>
  <r>
    <x v="539"/>
    <m/>
    <x v="9"/>
    <x v="38"/>
    <n v="24715"/>
    <m/>
    <x v="313"/>
    <x v="872"/>
    <s v="Changement"/>
    <x v="1119"/>
    <x v="537"/>
    <x v="18"/>
    <n v="45"/>
    <n v="4"/>
    <n v="2021"/>
    <x v="0"/>
  </r>
  <r>
    <x v="539"/>
    <n v="534"/>
    <x v="2"/>
    <x v="27"/>
    <n v="24309"/>
    <m/>
    <x v="19"/>
    <x v="873"/>
    <s v="Réparation"/>
    <x v="1120"/>
    <x v="537"/>
    <x v="18"/>
    <n v="30"/>
    <n v="4"/>
    <n v="2021"/>
    <x v="0"/>
  </r>
  <r>
    <x v="539"/>
    <n v="582"/>
    <x v="0"/>
    <x v="1"/>
    <n v="24430"/>
    <m/>
    <x v="233"/>
    <x v="874"/>
    <s v="Rectification"/>
    <x v="1031"/>
    <x v="537"/>
    <x v="18"/>
    <n v="30"/>
    <n v="4"/>
    <n v="2021"/>
    <x v="0"/>
  </r>
  <r>
    <x v="540"/>
    <n v="560"/>
    <x v="0"/>
    <x v="0"/>
    <n v="24384"/>
    <m/>
    <x v="180"/>
    <x v="875"/>
    <s v="Changement"/>
    <x v="1121"/>
    <x v="538"/>
    <x v="18"/>
    <n v="90"/>
    <n v="4"/>
    <n v="2021"/>
    <x v="0"/>
  </r>
  <r>
    <x v="540"/>
    <n v="700"/>
    <x v="1"/>
    <x v="3"/>
    <n v="24314"/>
    <m/>
    <x v="12"/>
    <x v="876"/>
    <s v="Réparation"/>
    <x v="1122"/>
    <x v="538"/>
    <x v="18"/>
    <n v="60"/>
    <n v="4"/>
    <n v="2021"/>
    <x v="0"/>
  </r>
  <r>
    <x v="540"/>
    <n v="605"/>
    <x v="0"/>
    <x v="13"/>
    <n v="24383"/>
    <m/>
    <x v="17"/>
    <x v="877"/>
    <s v="Changement"/>
    <x v="1123"/>
    <x v="538"/>
    <x v="18"/>
    <n v="45"/>
    <n v="4"/>
    <n v="2021"/>
    <x v="0"/>
  </r>
  <r>
    <x v="540"/>
    <n v="700"/>
    <x v="1"/>
    <x v="3"/>
    <n v="24315"/>
    <m/>
    <x v="12"/>
    <x v="878"/>
    <s v="Réparation"/>
    <x v="1124"/>
    <x v="538"/>
    <x v="18"/>
    <n v="30"/>
    <n v="4"/>
    <n v="2021"/>
    <x v="0"/>
  </r>
  <r>
    <x v="540"/>
    <n v="581"/>
    <x v="0"/>
    <x v="10"/>
    <n v="24431"/>
    <m/>
    <x v="9"/>
    <x v="879"/>
    <s v="Dépannage"/>
    <x v="1083"/>
    <x v="538"/>
    <x v="18"/>
    <n v="15"/>
    <n v="4"/>
    <n v="2021"/>
    <x v="0"/>
  </r>
  <r>
    <x v="540"/>
    <n v="560"/>
    <x v="0"/>
    <x v="0"/>
    <n v="24382"/>
    <m/>
    <x v="300"/>
    <x v="880"/>
    <s v="Changement"/>
    <x v="1125"/>
    <x v="538"/>
    <x v="18"/>
    <n v="120"/>
    <n v="4"/>
    <n v="2021"/>
    <x v="0"/>
  </r>
  <r>
    <x v="541"/>
    <n v="700"/>
    <x v="1"/>
    <x v="3"/>
    <n v="24317"/>
    <m/>
    <x v="12"/>
    <x v="0"/>
    <s v="Réparation"/>
    <x v="1126"/>
    <x v="539"/>
    <x v="18"/>
    <n v="90"/>
    <n v="4"/>
    <n v="2021"/>
    <x v="0"/>
  </r>
  <r>
    <x v="541"/>
    <n v="700"/>
    <x v="1"/>
    <x v="3"/>
    <n v="24316"/>
    <m/>
    <x v="46"/>
    <x v="881"/>
    <s v="Réparation"/>
    <x v="989"/>
    <x v="539"/>
    <x v="18"/>
    <n v="45"/>
    <n v="4"/>
    <n v="2021"/>
    <x v="0"/>
  </r>
  <r>
    <x v="541"/>
    <n v="800"/>
    <x v="1"/>
    <x v="2"/>
    <n v="24318"/>
    <m/>
    <x v="12"/>
    <x v="882"/>
    <s v="Réparation"/>
    <x v="1127"/>
    <x v="539"/>
    <x v="18"/>
    <n v="30"/>
    <n v="4"/>
    <n v="2021"/>
    <x v="0"/>
  </r>
  <r>
    <x v="541"/>
    <n v="582"/>
    <x v="0"/>
    <x v="1"/>
    <n v="24433"/>
    <m/>
    <x v="233"/>
    <x v="883"/>
    <s v="Réparation"/>
    <x v="1031"/>
    <x v="539"/>
    <x v="18"/>
    <n v="30"/>
    <n v="4"/>
    <n v="2021"/>
    <x v="0"/>
  </r>
  <r>
    <x v="541"/>
    <n v="574"/>
    <x v="4"/>
    <x v="29"/>
    <n v="24716"/>
    <m/>
    <x v="314"/>
    <x v="884"/>
    <s v="Démontage "/>
    <x v="1128"/>
    <x v="539"/>
    <x v="18"/>
    <n v="180"/>
    <n v="4"/>
    <n v="2021"/>
    <x v="0"/>
  </r>
  <r>
    <x v="541"/>
    <n v="581"/>
    <x v="0"/>
    <x v="10"/>
    <n v="24432"/>
    <m/>
    <x v="246"/>
    <x v="885"/>
    <s v="Changement"/>
    <x v="998"/>
    <x v="539"/>
    <x v="18"/>
    <n v="120"/>
    <n v="4"/>
    <n v="2021"/>
    <x v="0"/>
  </r>
  <r>
    <x v="542"/>
    <n v="565"/>
    <x v="0"/>
    <x v="4"/>
    <n v="24385"/>
    <m/>
    <x v="315"/>
    <x v="886"/>
    <s v="Changement"/>
    <x v="1129"/>
    <x v="540"/>
    <x v="18"/>
    <n v="90"/>
    <n v="4"/>
    <n v="2021"/>
    <x v="0"/>
  </r>
  <r>
    <x v="542"/>
    <n v="570"/>
    <x v="0"/>
    <x v="16"/>
    <n v="24717"/>
    <m/>
    <x v="316"/>
    <x v="887"/>
    <s v="Changement"/>
    <x v="1112"/>
    <x v="540"/>
    <x v="18"/>
    <n v="60"/>
    <n v="4"/>
    <n v="2021"/>
    <x v="0"/>
  </r>
  <r>
    <x v="542"/>
    <n v="800"/>
    <x v="1"/>
    <x v="2"/>
    <n v="24324"/>
    <m/>
    <x v="37"/>
    <x v="14"/>
    <s v="Réparation"/>
    <x v="1076"/>
    <x v="540"/>
    <x v="18"/>
    <n v="60"/>
    <n v="4"/>
    <n v="2021"/>
    <x v="0"/>
  </r>
  <r>
    <x v="542"/>
    <n v="700"/>
    <x v="1"/>
    <x v="3"/>
    <n v="24319"/>
    <m/>
    <x v="306"/>
    <x v="888"/>
    <s v="Changement"/>
    <x v="1130"/>
    <x v="540"/>
    <x v="18"/>
    <n v="45"/>
    <n v="4"/>
    <n v="2021"/>
    <x v="0"/>
  </r>
  <r>
    <x v="543"/>
    <n v="560"/>
    <x v="0"/>
    <x v="0"/>
    <n v="24387"/>
    <m/>
    <x v="311"/>
    <x v="889"/>
    <s v="Réparation"/>
    <x v="283"/>
    <x v="541"/>
    <x v="18"/>
    <n v="45"/>
    <n v="4"/>
    <n v="2021"/>
    <x v="0"/>
  </r>
  <r>
    <x v="543"/>
    <n v="800"/>
    <x v="1"/>
    <x v="2"/>
    <n v="24321"/>
    <m/>
    <x v="290"/>
    <x v="890"/>
    <s v="Rectification"/>
    <x v="1131"/>
    <x v="541"/>
    <x v="18"/>
    <n v="45"/>
    <n v="4"/>
    <n v="2021"/>
    <x v="0"/>
  </r>
  <r>
    <x v="543"/>
    <n v="607"/>
    <x v="0"/>
    <x v="12"/>
    <n v="24386"/>
    <m/>
    <x v="0"/>
    <x v="891"/>
    <s v="Démontage "/>
    <x v="1128"/>
    <x v="541"/>
    <x v="18"/>
    <n v="35"/>
    <n v="4"/>
    <n v="2021"/>
    <x v="0"/>
  </r>
  <r>
    <x v="543"/>
    <n v="533"/>
    <x v="2"/>
    <x v="5"/>
    <n v="24322"/>
    <m/>
    <x v="27"/>
    <x v="892"/>
    <s v="Changement"/>
    <x v="222"/>
    <x v="541"/>
    <x v="18"/>
    <n v="30"/>
    <n v="4"/>
    <n v="2021"/>
    <x v="0"/>
  </r>
  <r>
    <x v="543"/>
    <n v="581"/>
    <x v="0"/>
    <x v="10"/>
    <n v="24435"/>
    <m/>
    <x v="295"/>
    <x v="893"/>
    <s v="Démontage "/>
    <x v="1132"/>
    <x v="541"/>
    <x v="18"/>
    <n v="180"/>
    <n v="4"/>
    <n v="2021"/>
    <x v="0"/>
  </r>
  <r>
    <x v="543"/>
    <n v="582"/>
    <x v="0"/>
    <x v="1"/>
    <n v="24434"/>
    <m/>
    <x v="279"/>
    <x v="894"/>
    <s v="Réparation"/>
    <x v="1074"/>
    <x v="541"/>
    <x v="18"/>
    <n v="120"/>
    <n v="4"/>
    <n v="2021"/>
    <x v="0"/>
  </r>
  <r>
    <x v="543"/>
    <n v="700"/>
    <x v="1"/>
    <x v="3"/>
    <n v="24320"/>
    <m/>
    <x v="317"/>
    <x v="895"/>
    <s v="Réparation"/>
    <x v="99"/>
    <x v="541"/>
    <x v="18"/>
    <n v="10"/>
    <n v="4"/>
    <n v="2021"/>
    <x v="0"/>
  </r>
  <r>
    <x v="544"/>
    <n v="590"/>
    <x v="0"/>
    <x v="20"/>
    <n v="24437"/>
    <m/>
    <x v="246"/>
    <x v="509"/>
    <s v="Changement"/>
    <x v="222"/>
    <x v="542"/>
    <x v="18"/>
    <n v="30"/>
    <n v="4"/>
    <n v="2021"/>
    <x v="0"/>
  </r>
  <r>
    <x v="544"/>
    <n v="581"/>
    <x v="0"/>
    <x v="10"/>
    <n v="24438"/>
    <m/>
    <x v="9"/>
    <x v="896"/>
    <s v="Changement"/>
    <x v="1133"/>
    <x v="542"/>
    <x v="18"/>
    <n v="30"/>
    <n v="4"/>
    <n v="2021"/>
    <x v="0"/>
  </r>
  <r>
    <x v="544"/>
    <n v="533"/>
    <x v="2"/>
    <x v="5"/>
    <n v="24323"/>
    <m/>
    <x v="19"/>
    <x v="897"/>
    <s v="Dépannage"/>
    <x v="1002"/>
    <x v="542"/>
    <x v="18"/>
    <n v="25"/>
    <n v="4"/>
    <n v="2021"/>
    <x v="0"/>
  </r>
  <r>
    <x v="544"/>
    <n v="573"/>
    <x v="4"/>
    <x v="23"/>
    <n v="24718"/>
    <m/>
    <x v="314"/>
    <x v="898"/>
    <s v="Montage "/>
    <x v="1134"/>
    <x v="543"/>
    <x v="18"/>
    <n v="480"/>
    <n v="4"/>
    <n v="2021"/>
    <x v="0"/>
  </r>
  <r>
    <x v="544"/>
    <n v="582"/>
    <x v="0"/>
    <x v="1"/>
    <n v="24436"/>
    <m/>
    <x v="237"/>
    <x v="893"/>
    <s v="Démontage "/>
    <x v="1135"/>
    <x v="542"/>
    <x v="18"/>
    <n v="120"/>
    <n v="4"/>
    <n v="2021"/>
    <x v="0"/>
  </r>
  <r>
    <x v="545"/>
    <n v="565"/>
    <x v="0"/>
    <x v="4"/>
    <n v="24390"/>
    <m/>
    <x v="318"/>
    <x v="899"/>
    <s v="Changement"/>
    <x v="1136"/>
    <x v="543"/>
    <x v="18"/>
    <n v="60"/>
    <n v="4"/>
    <n v="2021"/>
    <x v="0"/>
  </r>
  <r>
    <x v="545"/>
    <n v="560"/>
    <x v="0"/>
    <x v="0"/>
    <n v="24389"/>
    <m/>
    <x v="311"/>
    <x v="900"/>
    <s v="Rectification"/>
    <x v="283"/>
    <x v="543"/>
    <x v="18"/>
    <n v="450"/>
    <n v="4"/>
    <n v="2021"/>
    <x v="0"/>
  </r>
  <r>
    <x v="546"/>
    <n v="565"/>
    <x v="0"/>
    <x v="4"/>
    <n v="24388"/>
    <m/>
    <x v="319"/>
    <x v="901"/>
    <s v="Changement"/>
    <x v="1137"/>
    <x v="544"/>
    <x v="18"/>
    <n v="60"/>
    <n v="4"/>
    <n v="2021"/>
    <x v="0"/>
  </r>
  <r>
    <x v="546"/>
    <n v="574"/>
    <x v="4"/>
    <x v="29"/>
    <n v="24719"/>
    <m/>
    <x v="12"/>
    <x v="835"/>
    <s v="Changement"/>
    <x v="847"/>
    <x v="544"/>
    <x v="18"/>
    <n v="120"/>
    <n v="4"/>
    <n v="2021"/>
    <x v="0"/>
  </r>
  <r>
    <x v="547"/>
    <n v="700"/>
    <x v="1"/>
    <x v="3"/>
    <n v="24326"/>
    <m/>
    <x v="49"/>
    <x v="902"/>
    <s v="Changement"/>
    <x v="1138"/>
    <x v="545"/>
    <x v="18"/>
    <n v="60"/>
    <n v="4"/>
    <n v="2021"/>
    <x v="0"/>
  </r>
  <r>
    <x v="547"/>
    <n v="568"/>
    <x v="4"/>
    <x v="14"/>
    <n v="24391"/>
    <m/>
    <x v="307"/>
    <x v="903"/>
    <s v="Rectification"/>
    <x v="1139"/>
    <x v="544"/>
    <x v="18"/>
    <n v="45"/>
    <n v="4"/>
    <n v="2021"/>
    <x v="0"/>
  </r>
  <r>
    <x v="547"/>
    <n v="570"/>
    <x v="0"/>
    <x v="16"/>
    <n v="24720"/>
    <m/>
    <x v="314"/>
    <x v="904"/>
    <s v="Changement"/>
    <x v="1123"/>
    <x v="545"/>
    <x v="18"/>
    <n v="45"/>
    <n v="4"/>
    <n v="2021"/>
    <x v="0"/>
  </r>
  <r>
    <x v="547"/>
    <n v="800"/>
    <x v="1"/>
    <x v="2"/>
    <n v="24325"/>
    <m/>
    <x v="106"/>
    <x v="905"/>
    <s v="Changement"/>
    <x v="1140"/>
    <x v="545"/>
    <x v="18"/>
    <n v="155"/>
    <n v="4"/>
    <n v="2021"/>
    <x v="0"/>
  </r>
  <r>
    <x v="548"/>
    <n v="700"/>
    <x v="1"/>
    <x v="3"/>
    <n v="24328"/>
    <m/>
    <x v="247"/>
    <x v="906"/>
    <s v="Changement"/>
    <x v="1141"/>
    <x v="546"/>
    <x v="18"/>
    <n v="45"/>
    <n v="4"/>
    <n v="2021"/>
    <x v="0"/>
  </r>
  <r>
    <x v="548"/>
    <n v="700"/>
    <x v="1"/>
    <x v="3"/>
    <n v="24327"/>
    <m/>
    <x v="8"/>
    <x v="907"/>
    <s v="Changement"/>
    <x v="1142"/>
    <x v="546"/>
    <x v="18"/>
    <n v="30"/>
    <n v="4"/>
    <n v="2021"/>
    <x v="0"/>
  </r>
  <r>
    <x v="549"/>
    <n v="568"/>
    <x v="4"/>
    <x v="14"/>
    <n v="24391"/>
    <m/>
    <x v="307"/>
    <x v="903"/>
    <s v="Réparation"/>
    <x v="1143"/>
    <x v="547"/>
    <x v="18"/>
    <n v="45"/>
    <n v="4"/>
    <n v="2021"/>
    <x v="0"/>
  </r>
  <r>
    <x v="549"/>
    <n v="582"/>
    <x v="0"/>
    <x v="1"/>
    <n v="24441"/>
    <m/>
    <x v="237"/>
    <x v="908"/>
    <s v="Changement"/>
    <x v="1144"/>
    <x v="547"/>
    <x v="18"/>
    <n v="45"/>
    <n v="4"/>
    <n v="2021"/>
    <x v="0"/>
  </r>
  <r>
    <x v="550"/>
    <n v="565"/>
    <x v="0"/>
    <x v="4"/>
    <n v="24392"/>
    <m/>
    <x v="316"/>
    <x v="909"/>
    <s v="Changement"/>
    <x v="1112"/>
    <x v="548"/>
    <x v="18"/>
    <n v="30"/>
    <n v="4"/>
    <n v="2021"/>
    <x v="0"/>
  </r>
  <r>
    <x v="550"/>
    <n v="800"/>
    <x v="1"/>
    <x v="2"/>
    <n v="24329"/>
    <m/>
    <x v="320"/>
    <x v="910"/>
    <s v="Changement"/>
    <x v="1145"/>
    <x v="548"/>
    <x v="18"/>
    <n v="180"/>
    <n v="4"/>
    <n v="2021"/>
    <x v="0"/>
  </r>
  <r>
    <x v="551"/>
    <n v="582"/>
    <x v="0"/>
    <x v="1"/>
    <n v="24440"/>
    <m/>
    <x v="244"/>
    <x v="324"/>
    <s v="Changement"/>
    <x v="1146"/>
    <x v="549"/>
    <x v="18"/>
    <n v="35"/>
    <n v="4"/>
    <n v="2021"/>
    <x v="0"/>
  </r>
  <r>
    <x v="551"/>
    <n v="581"/>
    <x v="0"/>
    <x v="10"/>
    <n v="24439"/>
    <m/>
    <x v="9"/>
    <x v="189"/>
    <s v="Changement"/>
    <x v="1147"/>
    <x v="549"/>
    <x v="18"/>
    <n v="30"/>
    <n v="4"/>
    <n v="2021"/>
    <x v="0"/>
  </r>
  <r>
    <x v="551"/>
    <n v="800"/>
    <x v="1"/>
    <x v="2"/>
    <n v="24330"/>
    <m/>
    <x v="37"/>
    <x v="14"/>
    <s v="Dépannage"/>
    <x v="1076"/>
    <x v="549"/>
    <x v="18"/>
    <n v="30"/>
    <n v="4"/>
    <n v="2021"/>
    <x v="0"/>
  </r>
  <r>
    <x v="552"/>
    <n v="582"/>
    <x v="0"/>
    <x v="1"/>
    <n v="24442"/>
    <m/>
    <x v="279"/>
    <x v="911"/>
    <s v="Changement"/>
    <x v="1148"/>
    <x v="550"/>
    <x v="18"/>
    <n v="60"/>
    <n v="4"/>
    <n v="2021"/>
    <x v="0"/>
  </r>
  <r>
    <x v="552"/>
    <n v="700"/>
    <x v="1"/>
    <x v="3"/>
    <n v="24331"/>
    <m/>
    <x v="49"/>
    <x v="912"/>
    <s v="Changement"/>
    <x v="1149"/>
    <x v="550"/>
    <x v="18"/>
    <n v="120"/>
    <n v="4"/>
    <n v="2021"/>
    <x v="0"/>
  </r>
  <r>
    <x v="553"/>
    <n v="583"/>
    <x v="4"/>
    <x v="21"/>
    <n v="24443"/>
    <m/>
    <x v="135"/>
    <x v="912"/>
    <s v="Changement"/>
    <x v="1149"/>
    <x v="551"/>
    <x v="18"/>
    <n v="60"/>
    <n v="4"/>
    <n v="2021"/>
    <x v="0"/>
  </r>
  <r>
    <x v="554"/>
    <n v="560"/>
    <x v="0"/>
    <x v="0"/>
    <n v="24394"/>
    <m/>
    <x v="57"/>
    <x v="913"/>
    <s v="Réparation "/>
    <x v="1150"/>
    <x v="552"/>
    <x v="18"/>
    <n v="60"/>
    <n v="4"/>
    <n v="2021"/>
    <x v="0"/>
  </r>
  <r>
    <x v="554"/>
    <n v="700"/>
    <x v="1"/>
    <x v="3"/>
    <n v="24332"/>
    <m/>
    <x v="321"/>
    <x v="0"/>
    <s v="Réglage"/>
    <x v="1151"/>
    <x v="552"/>
    <x v="18"/>
    <n v="60"/>
    <n v="4"/>
    <n v="2021"/>
    <x v="0"/>
  </r>
  <r>
    <x v="554"/>
    <n v="700"/>
    <x v="1"/>
    <x v="3"/>
    <n v="24333"/>
    <m/>
    <x v="322"/>
    <x v="0"/>
    <s v="Changement"/>
    <x v="1152"/>
    <x v="552"/>
    <x v="18"/>
    <n v="30"/>
    <n v="4"/>
    <n v="2021"/>
    <x v="0"/>
  </r>
  <r>
    <x v="555"/>
    <n v="583"/>
    <x v="4"/>
    <x v="21"/>
    <n v="24444"/>
    <m/>
    <x v="323"/>
    <x v="914"/>
    <s v="Changement"/>
    <x v="1153"/>
    <x v="553"/>
    <x v="18"/>
    <n v="45"/>
    <n v="4"/>
    <n v="2021"/>
    <x v="0"/>
  </r>
  <r>
    <x v="555"/>
    <n v="581"/>
    <x v="0"/>
    <x v="10"/>
    <n v="24446"/>
    <m/>
    <x v="269"/>
    <x v="232"/>
    <s v="Changement"/>
    <x v="222"/>
    <x v="553"/>
    <x v="18"/>
    <n v="150"/>
    <n v="4"/>
    <n v="2021"/>
    <x v="0"/>
  </r>
  <r>
    <x v="556"/>
    <n v="581"/>
    <x v="0"/>
    <x v="10"/>
    <n v="24445"/>
    <m/>
    <x v="295"/>
    <x v="915"/>
    <s v="Changement"/>
    <x v="1154"/>
    <x v="554"/>
    <x v="18"/>
    <n v="120"/>
    <n v="4"/>
    <n v="2021"/>
    <x v="0"/>
  </r>
  <r>
    <x v="557"/>
    <n v="606"/>
    <x v="0"/>
    <x v="17"/>
    <n v="24395"/>
    <m/>
    <x v="324"/>
    <x v="916"/>
    <s v="Changement"/>
    <x v="1155"/>
    <x v="555"/>
    <x v="18"/>
    <n v="150"/>
    <n v="4"/>
    <n v="2021"/>
    <x v="0"/>
  </r>
  <r>
    <x v="558"/>
    <n v="565"/>
    <x v="0"/>
    <x v="4"/>
    <n v="24396"/>
    <m/>
    <x v="325"/>
    <x v="917"/>
    <s v="Changement"/>
    <x v="1156"/>
    <x v="556"/>
    <x v="18"/>
    <n v="150"/>
    <n v="4"/>
    <n v="2021"/>
    <x v="0"/>
  </r>
  <r>
    <x v="559"/>
    <n v="565"/>
    <x v="0"/>
    <x v="4"/>
    <m/>
    <m/>
    <x v="216"/>
    <x v="472"/>
    <s v="Vidange"/>
    <x v="642"/>
    <x v="557"/>
    <x v="18"/>
    <n v="45"/>
    <n v="5"/>
    <n v="2021"/>
    <x v="0"/>
  </r>
  <r>
    <x v="559"/>
    <n v="565"/>
    <x v="0"/>
    <x v="4"/>
    <m/>
    <m/>
    <x v="326"/>
    <x v="472"/>
    <s v="Vidange"/>
    <x v="642"/>
    <x v="557"/>
    <x v="18"/>
    <n v="45"/>
    <n v="5"/>
    <n v="2021"/>
    <x v="0"/>
  </r>
  <r>
    <x v="560"/>
    <n v="565"/>
    <x v="0"/>
    <x v="4"/>
    <n v="25153"/>
    <m/>
    <x v="12"/>
    <x v="918"/>
    <s v="Assistance "/>
    <x v="1157"/>
    <x v="558"/>
    <x v="18"/>
    <n v="360"/>
    <n v="5"/>
    <n v="2021"/>
    <x v="0"/>
  </r>
  <r>
    <x v="561"/>
    <n v="582"/>
    <x v="0"/>
    <x v="1"/>
    <n v="25201"/>
    <m/>
    <x v="314"/>
    <x v="919"/>
    <s v="Changement"/>
    <x v="766"/>
    <x v="559"/>
    <x v="18"/>
    <n v="60"/>
    <n v="5"/>
    <n v="2021"/>
    <x v="0"/>
  </r>
  <r>
    <x v="561"/>
    <n v="581"/>
    <x v="0"/>
    <x v="10"/>
    <n v="25202"/>
    <m/>
    <x v="327"/>
    <x v="920"/>
    <s v="Purge"/>
    <x v="1069"/>
    <x v="559"/>
    <x v="18"/>
    <n v="45"/>
    <n v="5"/>
    <n v="2021"/>
    <x v="0"/>
  </r>
  <r>
    <x v="561"/>
    <n v="582"/>
    <x v="0"/>
    <x v="1"/>
    <n v="25202"/>
    <m/>
    <x v="328"/>
    <x v="920"/>
    <s v="Purge"/>
    <x v="1069"/>
    <x v="559"/>
    <x v="18"/>
    <n v="45"/>
    <n v="5"/>
    <n v="2021"/>
    <x v="0"/>
  </r>
  <r>
    <x v="561"/>
    <n v="604"/>
    <x v="0"/>
    <x v="22"/>
    <n v="25151"/>
    <m/>
    <x v="0"/>
    <x v="921"/>
    <s v="Changement"/>
    <x v="1158"/>
    <x v="559"/>
    <x v="18"/>
    <n v="45"/>
    <n v="5"/>
    <n v="2021"/>
    <x v="0"/>
  </r>
  <r>
    <x v="561"/>
    <n v="565"/>
    <x v="0"/>
    <x v="4"/>
    <n v="25154"/>
    <m/>
    <x v="231"/>
    <x v="922"/>
    <s v="Changement"/>
    <x v="1159"/>
    <x v="559"/>
    <x v="18"/>
    <n v="45"/>
    <n v="5"/>
    <n v="2021"/>
    <x v="0"/>
  </r>
  <r>
    <x v="561"/>
    <n v="700"/>
    <x v="1"/>
    <x v="3"/>
    <n v="25052"/>
    <m/>
    <x v="8"/>
    <x v="923"/>
    <s v="Changement"/>
    <x v="1160"/>
    <x v="559"/>
    <x v="18"/>
    <n v="150"/>
    <n v="5"/>
    <n v="2021"/>
    <x v="0"/>
  </r>
  <r>
    <x v="561"/>
    <n v="700"/>
    <x v="1"/>
    <x v="3"/>
    <n v="25051"/>
    <m/>
    <x v="329"/>
    <x v="924"/>
    <s v="Changement"/>
    <x v="1161"/>
    <x v="559"/>
    <x v="18"/>
    <n v="150"/>
    <n v="5"/>
    <n v="2021"/>
    <x v="0"/>
  </r>
  <r>
    <x v="562"/>
    <n v="570"/>
    <x v="0"/>
    <x v="16"/>
    <n v="25101"/>
    <m/>
    <x v="135"/>
    <x v="925"/>
    <s v="Changement"/>
    <x v="792"/>
    <x v="560"/>
    <x v="18"/>
    <n v="90"/>
    <n v="5"/>
    <n v="2021"/>
    <x v="0"/>
  </r>
  <r>
    <x v="562"/>
    <n v="800"/>
    <x v="1"/>
    <x v="2"/>
    <n v="25054"/>
    <m/>
    <x v="25"/>
    <x v="926"/>
    <s v="Changement"/>
    <x v="1141"/>
    <x v="560"/>
    <x v="18"/>
    <n v="60"/>
    <n v="5"/>
    <n v="2021"/>
    <x v="0"/>
  </r>
  <r>
    <x v="562"/>
    <n v="800"/>
    <x v="1"/>
    <x v="2"/>
    <n v="25056"/>
    <m/>
    <x v="24"/>
    <x v="418"/>
    <s v="Changement"/>
    <x v="1162"/>
    <x v="560"/>
    <x v="18"/>
    <n v="60"/>
    <n v="5"/>
    <n v="2021"/>
    <x v="0"/>
  </r>
  <r>
    <x v="562"/>
    <n v="571"/>
    <x v="0"/>
    <x v="7"/>
    <n v="25102"/>
    <m/>
    <x v="330"/>
    <x v="927"/>
    <s v="Démontage "/>
    <x v="1163"/>
    <x v="560"/>
    <x v="18"/>
    <n v="60"/>
    <n v="5"/>
    <n v="2021"/>
    <x v="0"/>
  </r>
  <r>
    <x v="562"/>
    <n v="534"/>
    <x v="2"/>
    <x v="27"/>
    <n v="25057"/>
    <m/>
    <x v="19"/>
    <x v="928"/>
    <s v="Changement"/>
    <x v="1164"/>
    <x v="560"/>
    <x v="18"/>
    <n v="35"/>
    <n v="5"/>
    <n v="2021"/>
    <x v="0"/>
  </r>
  <r>
    <x v="562"/>
    <n v="800"/>
    <x v="1"/>
    <x v="2"/>
    <n v="25055"/>
    <m/>
    <x v="184"/>
    <x v="929"/>
    <s v="Réglage"/>
    <x v="1165"/>
    <x v="560"/>
    <x v="18"/>
    <n v="30"/>
    <n v="5"/>
    <n v="2021"/>
    <x v="0"/>
  </r>
  <r>
    <x v="562"/>
    <n v="800"/>
    <x v="1"/>
    <x v="2"/>
    <n v="25058"/>
    <m/>
    <x v="331"/>
    <x v="930"/>
    <s v="Changement"/>
    <x v="1166"/>
    <x v="560"/>
    <x v="18"/>
    <n v="30"/>
    <n v="5"/>
    <n v="2021"/>
    <x v="0"/>
  </r>
  <r>
    <x v="562"/>
    <n v="800"/>
    <x v="1"/>
    <x v="2"/>
    <n v="25053"/>
    <m/>
    <x v="37"/>
    <x v="931"/>
    <s v="Changement"/>
    <x v="1167"/>
    <x v="560"/>
    <x v="18"/>
    <n v="180"/>
    <n v="5"/>
    <n v="2021"/>
    <x v="0"/>
  </r>
  <r>
    <x v="562"/>
    <n v="582"/>
    <x v="0"/>
    <x v="1"/>
    <n v="25204"/>
    <m/>
    <x v="223"/>
    <x v="932"/>
    <s v="Changement"/>
    <x v="1135"/>
    <x v="560"/>
    <x v="18"/>
    <n v="120"/>
    <n v="5"/>
    <n v="2021"/>
    <x v="0"/>
  </r>
  <r>
    <x v="562"/>
    <n v="582"/>
    <x v="0"/>
    <x v="1"/>
    <n v="25205"/>
    <m/>
    <x v="126"/>
    <x v="844"/>
    <s v="Changement"/>
    <x v="1135"/>
    <x v="560"/>
    <x v="18"/>
    <n v="120"/>
    <n v="5"/>
    <n v="2021"/>
    <x v="0"/>
  </r>
  <r>
    <x v="563"/>
    <n v="570"/>
    <x v="0"/>
    <x v="16"/>
    <n v="25103"/>
    <m/>
    <x v="332"/>
    <x v="933"/>
    <s v="Changement"/>
    <x v="665"/>
    <x v="561"/>
    <x v="18"/>
    <n v="60"/>
    <n v="5"/>
    <n v="2021"/>
    <x v="0"/>
  </r>
  <r>
    <x v="563"/>
    <m/>
    <x v="9"/>
    <x v="38"/>
    <n v="25203"/>
    <m/>
    <x v="12"/>
    <x v="0"/>
    <s v="Vidange"/>
    <x v="1168"/>
    <x v="560"/>
    <x v="18"/>
    <n v="60"/>
    <n v="5"/>
    <n v="2021"/>
    <x v="0"/>
  </r>
  <r>
    <x v="564"/>
    <n v="700"/>
    <x v="1"/>
    <x v="3"/>
    <n v="25060"/>
    <m/>
    <x v="24"/>
    <x v="418"/>
    <s v="Réctification"/>
    <x v="283"/>
    <x v="562"/>
    <x v="18"/>
    <n v="60"/>
    <n v="5"/>
    <n v="2021"/>
    <x v="0"/>
  </r>
  <r>
    <x v="564"/>
    <n v="565"/>
    <x v="0"/>
    <x v="4"/>
    <n v="25156"/>
    <m/>
    <x v="32"/>
    <x v="934"/>
    <s v="Changement"/>
    <x v="731"/>
    <x v="562"/>
    <x v="18"/>
    <n v="45"/>
    <n v="5"/>
    <n v="2021"/>
    <x v="0"/>
  </r>
  <r>
    <x v="564"/>
    <n v="580"/>
    <x v="0"/>
    <x v="11"/>
    <n v="25206"/>
    <m/>
    <x v="220"/>
    <x v="935"/>
    <s v="Changement"/>
    <x v="1169"/>
    <x v="562"/>
    <x v="18"/>
    <n v="35"/>
    <n v="5"/>
    <n v="2021"/>
    <x v="0"/>
  </r>
  <r>
    <x v="564"/>
    <n v="581"/>
    <x v="0"/>
    <x v="10"/>
    <n v="25207"/>
    <m/>
    <x v="333"/>
    <x v="324"/>
    <s v="Changement"/>
    <x v="1170"/>
    <x v="562"/>
    <x v="18"/>
    <n v="30"/>
    <n v="5"/>
    <n v="2021"/>
    <x v="0"/>
  </r>
  <r>
    <x v="564"/>
    <n v="700"/>
    <x v="1"/>
    <x v="3"/>
    <n v="25059"/>
    <m/>
    <x v="334"/>
    <x v="936"/>
    <s v="Changement"/>
    <x v="1171"/>
    <x v="562"/>
    <x v="18"/>
    <n v="180"/>
    <n v="5"/>
    <n v="2021"/>
    <x v="0"/>
  </r>
  <r>
    <x v="564"/>
    <n v="607"/>
    <x v="0"/>
    <x v="12"/>
    <m/>
    <m/>
    <x v="0"/>
    <x v="25"/>
    <s v="Réparation "/>
    <x v="1172"/>
    <x v="563"/>
    <x v="18"/>
    <n v="9600"/>
    <n v="5"/>
    <n v="2021"/>
    <x v="0"/>
  </r>
  <r>
    <x v="565"/>
    <n v="800"/>
    <x v="1"/>
    <x v="2"/>
    <n v="25061"/>
    <m/>
    <x v="335"/>
    <x v="937"/>
    <s v="Changement"/>
    <x v="1173"/>
    <x v="564"/>
    <x v="18"/>
    <n v="420"/>
    <n v="5"/>
    <n v="2021"/>
    <x v="0"/>
  </r>
  <r>
    <x v="565"/>
    <n v="700"/>
    <x v="1"/>
    <x v="3"/>
    <n v="25062"/>
    <m/>
    <x v="184"/>
    <x v="938"/>
    <s v="Changement"/>
    <x v="1086"/>
    <x v="564"/>
    <x v="18"/>
    <n v="30"/>
    <n v="5"/>
    <n v="2021"/>
    <x v="0"/>
  </r>
  <r>
    <x v="565"/>
    <n v="700"/>
    <x v="1"/>
    <x v="3"/>
    <n v="25062"/>
    <m/>
    <x v="184"/>
    <x v="939"/>
    <s v="Installation"/>
    <x v="1174"/>
    <x v="564"/>
    <x v="18"/>
    <n v="30"/>
    <n v="5"/>
    <n v="2021"/>
    <x v="0"/>
  </r>
  <r>
    <x v="566"/>
    <n v="582"/>
    <x v="0"/>
    <x v="1"/>
    <n v="25209"/>
    <m/>
    <x v="267"/>
    <x v="940"/>
    <s v="Rénnovation "/>
    <x v="1175"/>
    <x v="565"/>
    <x v="18"/>
    <m/>
    <n v="5"/>
    <n v="2021"/>
    <x v="0"/>
  </r>
  <r>
    <x v="566"/>
    <n v="580"/>
    <x v="0"/>
    <x v="11"/>
    <n v="25208"/>
    <m/>
    <x v="17"/>
    <x v="114"/>
    <s v="Changement"/>
    <x v="816"/>
    <x v="566"/>
    <x v="18"/>
    <n v="45"/>
    <n v="5"/>
    <n v="2021"/>
    <x v="0"/>
  </r>
  <r>
    <x v="567"/>
    <n v="565"/>
    <x v="0"/>
    <x v="4"/>
    <n v="25157"/>
    <m/>
    <x v="336"/>
    <x v="941"/>
    <s v="Installation"/>
    <x v="1176"/>
    <x v="567"/>
    <x v="18"/>
    <n v="360"/>
    <n v="5"/>
    <n v="2021"/>
    <x v="0"/>
  </r>
  <r>
    <x v="567"/>
    <n v="800"/>
    <x v="1"/>
    <x v="2"/>
    <n v="25064"/>
    <m/>
    <x v="337"/>
    <x v="942"/>
    <s v="Changement"/>
    <x v="1177"/>
    <x v="567"/>
    <x v="18"/>
    <n v="240"/>
    <n v="5"/>
    <n v="2021"/>
    <x v="0"/>
  </r>
  <r>
    <x v="568"/>
    <n v="570"/>
    <x v="0"/>
    <x v="16"/>
    <n v="25104"/>
    <m/>
    <x v="130"/>
    <x v="943"/>
    <s v="Changement"/>
    <x v="1178"/>
    <x v="568"/>
    <x v="18"/>
    <n v="120"/>
    <n v="5"/>
    <n v="2021"/>
    <x v="0"/>
  </r>
  <r>
    <x v="568"/>
    <n v="800"/>
    <x v="1"/>
    <x v="2"/>
    <n v="25065"/>
    <m/>
    <x v="338"/>
    <x v="672"/>
    <s v="Changement"/>
    <x v="887"/>
    <x v="568"/>
    <x v="18"/>
    <n v="120"/>
    <n v="5"/>
    <n v="2021"/>
    <x v="0"/>
  </r>
  <r>
    <x v="569"/>
    <n v="581"/>
    <x v="0"/>
    <x v="10"/>
    <n v="25210"/>
    <m/>
    <x v="339"/>
    <x v="944"/>
    <s v="Changement"/>
    <x v="1179"/>
    <x v="569"/>
    <x v="18"/>
    <n v="60"/>
    <n v="5"/>
    <n v="2021"/>
    <x v="0"/>
  </r>
  <r>
    <x v="569"/>
    <n v="560"/>
    <x v="0"/>
    <x v="0"/>
    <n v="25161"/>
    <m/>
    <x v="340"/>
    <x v="945"/>
    <s v="Reparation"/>
    <x v="283"/>
    <x v="569"/>
    <x v="18"/>
    <n v="45"/>
    <n v="5"/>
    <n v="2021"/>
    <x v="0"/>
  </r>
  <r>
    <x v="569"/>
    <n v="582"/>
    <x v="0"/>
    <x v="1"/>
    <n v="25211"/>
    <m/>
    <x v="269"/>
    <x v="946"/>
    <s v="Changement"/>
    <x v="1180"/>
    <x v="569"/>
    <x v="18"/>
    <n v="40"/>
    <n v="5"/>
    <n v="2021"/>
    <x v="0"/>
  </r>
  <r>
    <x v="569"/>
    <n v="560"/>
    <x v="0"/>
    <x v="0"/>
    <n v="25159"/>
    <m/>
    <x v="341"/>
    <x v="947"/>
    <s v="Changement"/>
    <x v="1112"/>
    <x v="569"/>
    <x v="18"/>
    <n v="35"/>
    <n v="5"/>
    <n v="2021"/>
    <x v="0"/>
  </r>
  <r>
    <x v="570"/>
    <n v="571"/>
    <x v="0"/>
    <x v="7"/>
    <n v="25105"/>
    <m/>
    <x v="332"/>
    <x v="948"/>
    <s v="Changement"/>
    <x v="1108"/>
    <x v="570"/>
    <x v="18"/>
    <n v="60"/>
    <n v="5"/>
    <n v="2021"/>
    <x v="0"/>
  </r>
  <r>
    <x v="570"/>
    <n v="560"/>
    <x v="0"/>
    <x v="0"/>
    <n v="25160"/>
    <m/>
    <x v="342"/>
    <x v="949"/>
    <s v="Changement"/>
    <x v="1181"/>
    <x v="570"/>
    <x v="18"/>
    <n v="60"/>
    <n v="5"/>
    <n v="2021"/>
    <x v="0"/>
  </r>
  <r>
    <x v="570"/>
    <n v="582"/>
    <x v="0"/>
    <x v="1"/>
    <n v="25212"/>
    <m/>
    <x v="126"/>
    <x v="950"/>
    <s v="Changement"/>
    <x v="1135"/>
    <x v="570"/>
    <x v="18"/>
    <n v="120"/>
    <n v="5"/>
    <n v="2021"/>
    <x v="0"/>
  </r>
  <r>
    <x v="571"/>
    <n v="800"/>
    <x v="1"/>
    <x v="2"/>
    <n v="25160"/>
    <m/>
    <x v="9"/>
    <x v="951"/>
    <s v="Changement"/>
    <x v="1182"/>
    <x v="571"/>
    <x v="18"/>
    <n v="45"/>
    <n v="5"/>
    <n v="2021"/>
    <x v="0"/>
  </r>
  <r>
    <x v="571"/>
    <n v="800"/>
    <x v="1"/>
    <x v="2"/>
    <n v="25070"/>
    <m/>
    <x v="23"/>
    <x v="259"/>
    <s v="Répa"/>
    <x v="1183"/>
    <x v="571"/>
    <x v="18"/>
    <n v="45"/>
    <n v="5"/>
    <n v="2021"/>
    <x v="0"/>
  </r>
  <r>
    <x v="572"/>
    <n v="581"/>
    <x v="0"/>
    <x v="10"/>
    <n v="25216"/>
    <m/>
    <x v="17"/>
    <x v="952"/>
    <s v="Rép"/>
    <x v="1184"/>
    <x v="572"/>
    <x v="18"/>
    <n v="45"/>
    <n v="5"/>
    <n v="2021"/>
    <x v="0"/>
  </r>
  <r>
    <x v="573"/>
    <n v="606"/>
    <x v="0"/>
    <x v="17"/>
    <n v="25158"/>
    <m/>
    <x v="343"/>
    <x v="953"/>
    <s v="Changement"/>
    <x v="1185"/>
    <x v="573"/>
    <x v="18"/>
    <n v="480"/>
    <n v="5"/>
    <n v="2021"/>
    <x v="0"/>
  </r>
  <r>
    <x v="574"/>
    <n v="590"/>
    <x v="0"/>
    <x v="20"/>
    <m/>
    <m/>
    <x v="54"/>
    <x v="954"/>
    <s v="Réparation"/>
    <x v="1186"/>
    <x v="563"/>
    <x v="18"/>
    <n v="4800"/>
    <n v="5"/>
    <n v="2021"/>
    <x v="0"/>
  </r>
  <r>
    <x v="575"/>
    <n v="580"/>
    <x v="0"/>
    <x v="11"/>
    <n v="25217"/>
    <m/>
    <x v="87"/>
    <x v="955"/>
    <s v="Réparation "/>
    <x v="747"/>
    <x v="573"/>
    <x v="18"/>
    <n v="180"/>
    <n v="5"/>
    <n v="2021"/>
    <x v="0"/>
  </r>
  <r>
    <x v="575"/>
    <n v="800"/>
    <x v="1"/>
    <x v="2"/>
    <n v="25073"/>
    <m/>
    <x v="46"/>
    <x v="956"/>
    <s v="Réparation "/>
    <x v="1187"/>
    <x v="573"/>
    <x v="18"/>
    <n v="45"/>
    <n v="5"/>
    <n v="2021"/>
    <x v="0"/>
  </r>
  <r>
    <x v="575"/>
    <n v="533"/>
    <x v="2"/>
    <x v="5"/>
    <n v="25075"/>
    <m/>
    <x v="24"/>
    <x v="957"/>
    <s v="Répa"/>
    <x v="1188"/>
    <x v="573"/>
    <x v="18"/>
    <n v="8160"/>
    <n v="5"/>
    <n v="2021"/>
    <x v="0"/>
  </r>
  <r>
    <x v="576"/>
    <n v="571"/>
    <x v="0"/>
    <x v="7"/>
    <n v="25106"/>
    <m/>
    <x v="298"/>
    <x v="958"/>
    <s v="Changement"/>
    <x v="1108"/>
    <x v="574"/>
    <x v="18"/>
    <n v="60"/>
    <n v="5"/>
    <n v="2021"/>
    <x v="0"/>
  </r>
  <r>
    <x v="577"/>
    <n v="565"/>
    <x v="0"/>
    <x v="4"/>
    <n v="25169"/>
    <m/>
    <x v="344"/>
    <x v="959"/>
    <s v="Changement"/>
    <x v="1189"/>
    <x v="575"/>
    <x v="18"/>
    <n v="60"/>
    <n v="5"/>
    <n v="2021"/>
    <x v="0"/>
  </r>
  <r>
    <x v="577"/>
    <n v="620"/>
    <x v="0"/>
    <x v="26"/>
    <n v="25107"/>
    <m/>
    <x v="2"/>
    <x v="633"/>
    <s v="Correction"/>
    <x v="1190"/>
    <x v="575"/>
    <x v="18"/>
    <n v="15"/>
    <n v="5"/>
    <n v="2021"/>
    <x v="0"/>
  </r>
  <r>
    <x v="578"/>
    <n v="800"/>
    <x v="1"/>
    <x v="2"/>
    <n v="25076"/>
    <m/>
    <x v="7"/>
    <x v="960"/>
    <s v="Installation"/>
    <x v="1191"/>
    <x v="576"/>
    <x v="18"/>
    <n v="30"/>
    <n v="5"/>
    <n v="2021"/>
    <x v="0"/>
  </r>
  <r>
    <x v="578"/>
    <n v="570"/>
    <x v="0"/>
    <x v="16"/>
    <n v="25168"/>
    <m/>
    <x v="17"/>
    <x v="961"/>
    <s v="Changement"/>
    <x v="599"/>
    <x v="576"/>
    <x v="18"/>
    <n v="45"/>
    <n v="5"/>
    <n v="2021"/>
    <x v="0"/>
  </r>
  <r>
    <x v="579"/>
    <n v="800"/>
    <x v="1"/>
    <x v="2"/>
    <n v="25074"/>
    <m/>
    <x v="37"/>
    <x v="746"/>
    <s v="Réparation"/>
    <x v="1192"/>
    <x v="577"/>
    <x v="18"/>
    <n v="180"/>
    <n v="5"/>
    <n v="2021"/>
    <x v="0"/>
  </r>
  <r>
    <x v="579"/>
    <n v="565"/>
    <x v="0"/>
    <x v="4"/>
    <n v="25170"/>
    <m/>
    <x v="160"/>
    <x v="962"/>
    <s v="Réglage"/>
    <x v="1193"/>
    <x v="577"/>
    <x v="18"/>
    <n v="30"/>
    <n v="5"/>
    <n v="2021"/>
    <x v="0"/>
  </r>
  <r>
    <x v="580"/>
    <n v="570"/>
    <x v="0"/>
    <x v="16"/>
    <n v="25172"/>
    <m/>
    <x v="2"/>
    <x v="633"/>
    <s v="Rectification"/>
    <x v="1194"/>
    <x v="578"/>
    <x v="18"/>
    <n v="15"/>
    <n v="5"/>
    <n v="2021"/>
    <x v="0"/>
  </r>
  <r>
    <x v="581"/>
    <n v="570"/>
    <x v="0"/>
    <x v="16"/>
    <n v="25173"/>
    <m/>
    <x v="345"/>
    <x v="963"/>
    <s v="Changement"/>
    <x v="1195"/>
    <x v="563"/>
    <x v="18"/>
    <n v="60"/>
    <n v="5"/>
    <n v="2021"/>
    <x v="0"/>
  </r>
  <r>
    <x v="581"/>
    <n v="604"/>
    <x v="0"/>
    <x v="22"/>
    <n v="25174"/>
    <m/>
    <x v="0"/>
    <x v="964"/>
    <s v="Changement"/>
    <x v="220"/>
    <x v="563"/>
    <x v="18"/>
    <n v="45"/>
    <n v="5"/>
    <n v="2021"/>
    <x v="0"/>
  </r>
  <r>
    <x v="581"/>
    <n v="560"/>
    <x v="0"/>
    <x v="0"/>
    <n v="25175"/>
    <m/>
    <x v="340"/>
    <x v="945"/>
    <s v="Reparation"/>
    <x v="1074"/>
    <x v="563"/>
    <x v="18"/>
    <n v="60"/>
    <n v="5"/>
    <n v="2021"/>
    <x v="0"/>
  </r>
  <r>
    <x v="581"/>
    <n v="571"/>
    <x v="0"/>
    <x v="7"/>
    <n v="25108"/>
    <m/>
    <x v="140"/>
    <x v="965"/>
    <s v="Changement"/>
    <x v="1196"/>
    <x v="563"/>
    <x v="18"/>
    <n v="60"/>
    <n v="5"/>
    <n v="2021"/>
    <x v="0"/>
  </r>
  <r>
    <x v="582"/>
    <n v="581"/>
    <x v="0"/>
    <x v="10"/>
    <n v="24501"/>
    <m/>
    <x v="346"/>
    <x v="966"/>
    <s v="Changement"/>
    <x v="1197"/>
    <x v="579"/>
    <x v="18"/>
    <m/>
    <n v="6"/>
    <n v="2021"/>
    <x v="0"/>
  </r>
  <r>
    <x v="582"/>
    <n v="582"/>
    <x v="0"/>
    <x v="1"/>
    <n v="24502"/>
    <m/>
    <x v="219"/>
    <x v="967"/>
    <s v="Changement"/>
    <x v="1198"/>
    <x v="579"/>
    <x v="18"/>
    <n v="30"/>
    <n v="6"/>
    <n v="2021"/>
    <x v="0"/>
  </r>
  <r>
    <x v="582"/>
    <n v="581"/>
    <x v="0"/>
    <x v="10"/>
    <n v="24503"/>
    <m/>
    <x v="346"/>
    <x v="968"/>
    <s v="Changement"/>
    <x v="1199"/>
    <x v="579"/>
    <x v="18"/>
    <n v="180"/>
    <n v="6"/>
    <n v="2021"/>
    <x v="0"/>
  </r>
  <r>
    <x v="582"/>
    <n v="700"/>
    <x v="1"/>
    <x v="3"/>
    <n v="25501"/>
    <m/>
    <x v="347"/>
    <x v="969"/>
    <s v="Changement"/>
    <x v="1200"/>
    <x v="579"/>
    <x v="18"/>
    <n v="45"/>
    <n v="6"/>
    <n v="2021"/>
    <x v="0"/>
  </r>
  <r>
    <x v="582"/>
    <n v="700"/>
    <x v="1"/>
    <x v="3"/>
    <n v="25502"/>
    <m/>
    <x v="348"/>
    <x v="970"/>
    <s v="Changement"/>
    <x v="1201"/>
    <x v="579"/>
    <x v="18"/>
    <n v="60"/>
    <n v="6"/>
    <n v="2021"/>
    <x v="0"/>
  </r>
  <r>
    <x v="582"/>
    <n v="565"/>
    <x v="0"/>
    <x v="4"/>
    <n v="25551"/>
    <m/>
    <x v="349"/>
    <x v="971"/>
    <s v="Changement"/>
    <x v="1202"/>
    <x v="579"/>
    <x v="18"/>
    <n v="25"/>
    <n v="6"/>
    <n v="2021"/>
    <x v="0"/>
  </r>
  <r>
    <x v="582"/>
    <n v="607"/>
    <x v="0"/>
    <x v="12"/>
    <m/>
    <m/>
    <x v="0"/>
    <x v="25"/>
    <m/>
    <x v="1203"/>
    <x v="580"/>
    <x v="18"/>
    <n v="24960"/>
    <n v="6"/>
    <n v="2021"/>
    <x v="0"/>
  </r>
  <r>
    <x v="583"/>
    <n v="800"/>
    <x v="1"/>
    <x v="2"/>
    <n v="25503"/>
    <m/>
    <x v="37"/>
    <x v="972"/>
    <s v="Réglage"/>
    <x v="1204"/>
    <x v="581"/>
    <x v="18"/>
    <n v="120"/>
    <n v="6"/>
    <n v="2021"/>
    <x v="0"/>
  </r>
  <r>
    <x v="583"/>
    <n v="604"/>
    <x v="0"/>
    <x v="22"/>
    <n v="24551"/>
    <m/>
    <x v="0"/>
    <x v="964"/>
    <s v="Changement"/>
    <x v="220"/>
    <x v="581"/>
    <x v="18"/>
    <n v="60"/>
    <n v="6"/>
    <n v="2021"/>
    <x v="0"/>
  </r>
  <r>
    <x v="583"/>
    <n v="560"/>
    <x v="0"/>
    <x v="0"/>
    <n v="25552"/>
    <m/>
    <x v="350"/>
    <x v="973"/>
    <s v="Changement"/>
    <x v="1205"/>
    <x v="581"/>
    <x v="18"/>
    <n v="15"/>
    <n v="6"/>
    <n v="2021"/>
    <x v="0"/>
  </r>
  <r>
    <x v="584"/>
    <n v="800"/>
    <x v="1"/>
    <x v="2"/>
    <n v="25504"/>
    <m/>
    <x v="9"/>
    <x v="974"/>
    <s v="Changement"/>
    <x v="1206"/>
    <x v="582"/>
    <x v="18"/>
    <n v="60"/>
    <n v="6"/>
    <n v="2021"/>
    <x v="0"/>
  </r>
  <r>
    <x v="584"/>
    <n v="700"/>
    <x v="1"/>
    <x v="3"/>
    <n v="25505"/>
    <m/>
    <x v="24"/>
    <x v="975"/>
    <s v="Rectification"/>
    <x v="1207"/>
    <x v="582"/>
    <x v="18"/>
    <n v="15"/>
    <n v="6"/>
    <n v="2021"/>
    <x v="0"/>
  </r>
  <r>
    <x v="584"/>
    <n v="700"/>
    <x v="1"/>
    <x v="3"/>
    <n v="25506"/>
    <m/>
    <x v="351"/>
    <x v="976"/>
    <s v="Changement"/>
    <x v="1208"/>
    <x v="582"/>
    <x v="18"/>
    <n v="35"/>
    <n v="6"/>
    <n v="2021"/>
    <x v="0"/>
  </r>
  <r>
    <x v="585"/>
    <n v="581"/>
    <x v="0"/>
    <x v="10"/>
    <n v="24504"/>
    <m/>
    <x v="352"/>
    <x v="977"/>
    <s v="Changement"/>
    <x v="1209"/>
    <x v="583"/>
    <x v="18"/>
    <n v="150"/>
    <n v="6"/>
    <n v="2021"/>
    <x v="0"/>
  </r>
  <r>
    <x v="585"/>
    <n v="571"/>
    <x v="0"/>
    <x v="7"/>
    <n v="24554"/>
    <m/>
    <x v="353"/>
    <x v="978"/>
    <s v="Changement"/>
    <x v="1210"/>
    <x v="583"/>
    <x v="18"/>
    <n v="45"/>
    <n v="6"/>
    <n v="2021"/>
    <x v="0"/>
  </r>
  <r>
    <x v="585"/>
    <n v="606"/>
    <x v="0"/>
    <x v="17"/>
    <n v="25553"/>
    <m/>
    <x v="354"/>
    <x v="979"/>
    <s v="Changement"/>
    <x v="1211"/>
    <x v="583"/>
    <x v="18"/>
    <n v="45"/>
    <n v="6"/>
    <n v="2021"/>
    <x v="0"/>
  </r>
  <r>
    <x v="586"/>
    <n v="800"/>
    <x v="1"/>
    <x v="2"/>
    <n v="25507"/>
    <m/>
    <x v="23"/>
    <x v="980"/>
    <s v="Changement"/>
    <x v="1212"/>
    <x v="584"/>
    <x v="18"/>
    <n v="90"/>
    <n v="6"/>
    <n v="2021"/>
    <x v="0"/>
  </r>
  <r>
    <x v="586"/>
    <n v="700"/>
    <x v="1"/>
    <x v="3"/>
    <n v="25508"/>
    <m/>
    <x v="355"/>
    <x v="981"/>
    <s v="Changement"/>
    <x v="1213"/>
    <x v="584"/>
    <x v="18"/>
    <n v="45"/>
    <n v="6"/>
    <n v="2021"/>
    <x v="0"/>
  </r>
  <r>
    <x v="586"/>
    <n v="620"/>
    <x v="0"/>
    <x v="26"/>
    <n v="24553"/>
    <m/>
    <x v="356"/>
    <x v="982"/>
    <s v="Changement"/>
    <x v="1214"/>
    <x v="584"/>
    <x v="18"/>
    <n v="30"/>
    <n v="6"/>
    <n v="2021"/>
    <x v="0"/>
  </r>
  <r>
    <x v="587"/>
    <n v="582"/>
    <x v="0"/>
    <x v="1"/>
    <n v="24505"/>
    <m/>
    <x v="12"/>
    <x v="983"/>
    <s v="Rennovation "/>
    <x v="1215"/>
    <x v="585"/>
    <x v="18"/>
    <m/>
    <n v="6"/>
    <n v="2021"/>
    <x v="0"/>
  </r>
  <r>
    <x v="587"/>
    <n v="565"/>
    <x v="0"/>
    <x v="4"/>
    <n v="25555"/>
    <m/>
    <x v="356"/>
    <x v="984"/>
    <s v="Changement"/>
    <x v="1216"/>
    <x v="585"/>
    <x v="18"/>
    <n v="60"/>
    <n v="6"/>
    <n v="2021"/>
    <x v="0"/>
  </r>
  <r>
    <x v="588"/>
    <n v="534"/>
    <x v="2"/>
    <x v="27"/>
    <n v="25509"/>
    <m/>
    <x v="19"/>
    <x v="985"/>
    <s v="Changement"/>
    <x v="369"/>
    <x v="586"/>
    <x v="18"/>
    <n v="30"/>
    <n v="6"/>
    <n v="2021"/>
    <x v="0"/>
  </r>
  <r>
    <x v="588"/>
    <n v="570"/>
    <x v="0"/>
    <x v="16"/>
    <n v="24555"/>
    <m/>
    <x v="0"/>
    <x v="986"/>
    <s v="Changement"/>
    <x v="1217"/>
    <x v="586"/>
    <x v="18"/>
    <n v="90"/>
    <n v="6"/>
    <n v="2021"/>
    <x v="0"/>
  </r>
  <r>
    <x v="588"/>
    <n v="570"/>
    <x v="0"/>
    <x v="16"/>
    <n v="24556"/>
    <m/>
    <x v="0"/>
    <x v="987"/>
    <s v="Changement"/>
    <x v="1218"/>
    <x v="586"/>
    <x v="18"/>
    <n v="30"/>
    <n v="6"/>
    <n v="2021"/>
    <x v="0"/>
  </r>
  <r>
    <x v="589"/>
    <n v="581"/>
    <x v="0"/>
    <x v="10"/>
    <n v="24506"/>
    <m/>
    <x v="357"/>
    <x v="324"/>
    <s v="Reparation"/>
    <x v="1219"/>
    <x v="587"/>
    <x v="18"/>
    <n v="45"/>
    <n v="6"/>
    <n v="2021"/>
    <x v="0"/>
  </r>
  <r>
    <x v="589"/>
    <n v="582"/>
    <x v="0"/>
    <x v="1"/>
    <n v="24507"/>
    <m/>
    <x v="126"/>
    <x v="988"/>
    <s v="Changement"/>
    <x v="1220"/>
    <x v="587"/>
    <x v="18"/>
    <n v="30"/>
    <n v="6"/>
    <n v="2021"/>
    <x v="0"/>
  </r>
  <r>
    <x v="589"/>
    <n v="800"/>
    <x v="1"/>
    <x v="2"/>
    <n v="25510"/>
    <m/>
    <x v="27"/>
    <x v="976"/>
    <s v="Changement"/>
    <x v="1221"/>
    <x v="587"/>
    <x v="18"/>
    <n v="45"/>
    <n v="6"/>
    <n v="2021"/>
    <x v="0"/>
  </r>
  <r>
    <x v="589"/>
    <n v="800"/>
    <x v="1"/>
    <x v="2"/>
    <n v="25511"/>
    <m/>
    <x v="358"/>
    <x v="989"/>
    <s v="Changement"/>
    <x v="1222"/>
    <x v="587"/>
    <x v="18"/>
    <n v="90"/>
    <n v="6"/>
    <n v="2021"/>
    <x v="0"/>
  </r>
  <r>
    <x v="590"/>
    <n v="560"/>
    <x v="0"/>
    <x v="0"/>
    <n v="25556"/>
    <m/>
    <x v="326"/>
    <x v="990"/>
    <s v="Changement"/>
    <x v="1223"/>
    <x v="588"/>
    <x v="18"/>
    <n v="180"/>
    <n v="6"/>
    <n v="2021"/>
    <x v="0"/>
  </r>
  <r>
    <x v="591"/>
    <n v="580"/>
    <x v="0"/>
    <x v="11"/>
    <n v="24508"/>
    <m/>
    <x v="359"/>
    <x v="991"/>
    <s v="Changement"/>
    <x v="1224"/>
    <x v="589"/>
    <x v="18"/>
    <n v="60"/>
    <n v="6"/>
    <n v="2021"/>
    <x v="0"/>
  </r>
  <r>
    <x v="591"/>
    <n v="581"/>
    <x v="0"/>
    <x v="10"/>
    <n v="24509"/>
    <m/>
    <x v="9"/>
    <x v="992"/>
    <s v="Changement"/>
    <x v="1217"/>
    <x v="589"/>
    <x v="18"/>
    <n v="45"/>
    <n v="6"/>
    <n v="2021"/>
    <x v="0"/>
  </r>
  <r>
    <x v="591"/>
    <n v="700"/>
    <x v="1"/>
    <x v="3"/>
    <n v="25512"/>
    <m/>
    <x v="9"/>
    <x v="993"/>
    <s v="Changement"/>
    <x v="1218"/>
    <x v="589"/>
    <x v="18"/>
    <n v="60"/>
    <n v="6"/>
    <n v="2021"/>
    <x v="0"/>
  </r>
  <r>
    <x v="591"/>
    <n v="700"/>
    <x v="1"/>
    <x v="3"/>
    <n v="25513"/>
    <m/>
    <x v="360"/>
    <x v="994"/>
    <s v="Changement"/>
    <x v="1225"/>
    <x v="589"/>
    <x v="18"/>
    <n v="90"/>
    <n v="6"/>
    <n v="2021"/>
    <x v="0"/>
  </r>
  <r>
    <x v="591"/>
    <n v="565"/>
    <x v="0"/>
    <x v="4"/>
    <n v="25557"/>
    <m/>
    <x v="361"/>
    <x v="995"/>
    <s v="Changement"/>
    <x v="1226"/>
    <x v="589"/>
    <x v="18"/>
    <n v="30"/>
    <n v="6"/>
    <n v="2021"/>
    <x v="0"/>
  </r>
  <r>
    <x v="591"/>
    <n v="590"/>
    <x v="0"/>
    <x v="20"/>
    <m/>
    <m/>
    <x v="54"/>
    <x v="996"/>
    <s v="Réparation"/>
    <x v="1227"/>
    <x v="589"/>
    <x v="18"/>
    <n v="4800"/>
    <n v="6"/>
    <n v="2021"/>
    <x v="0"/>
  </r>
  <r>
    <x v="592"/>
    <n v="534"/>
    <x v="2"/>
    <x v="27"/>
    <n v="25514"/>
    <m/>
    <x v="362"/>
    <x v="997"/>
    <s v="Changement"/>
    <x v="1228"/>
    <x v="590"/>
    <x v="18"/>
    <m/>
    <n v="6"/>
    <n v="2021"/>
    <x v="0"/>
  </r>
  <r>
    <x v="593"/>
    <n v="800"/>
    <x v="1"/>
    <x v="2"/>
    <n v="25515"/>
    <m/>
    <x v="24"/>
    <x v="998"/>
    <s v="Réparation "/>
    <x v="1229"/>
    <x v="591"/>
    <x v="18"/>
    <n v="240"/>
    <n v="6"/>
    <n v="2021"/>
    <x v="0"/>
  </r>
  <r>
    <x v="593"/>
    <n v="582"/>
    <x v="0"/>
    <x v="1"/>
    <n v="15082"/>
    <m/>
    <x v="220"/>
    <x v="675"/>
    <s v="Réparation"/>
    <x v="1230"/>
    <x v="591"/>
    <x v="18"/>
    <n v="90"/>
    <n v="6"/>
    <n v="2021"/>
    <x v="0"/>
  </r>
  <r>
    <x v="594"/>
    <n v="582"/>
    <x v="0"/>
    <x v="1"/>
    <m/>
    <m/>
    <x v="363"/>
    <x v="999"/>
    <s v="Réparation"/>
    <x v="1231"/>
    <x v="592"/>
    <x v="18"/>
    <n v="2400"/>
    <n v="6"/>
    <n v="2021"/>
    <x v="0"/>
  </r>
  <r>
    <x v="594"/>
    <n v="565"/>
    <x v="0"/>
    <x v="4"/>
    <m/>
    <m/>
    <x v="282"/>
    <x v="1000"/>
    <s v="Réparation"/>
    <x v="1232"/>
    <x v="592"/>
    <x v="18"/>
    <n v="960"/>
    <n v="6"/>
    <n v="2021"/>
    <x v="0"/>
  </r>
  <r>
    <x v="595"/>
    <n v="700"/>
    <x v="1"/>
    <x v="3"/>
    <n v="25517"/>
    <m/>
    <x v="37"/>
    <x v="209"/>
    <s v="Réparation"/>
    <x v="1192"/>
    <x v="593"/>
    <x v="18"/>
    <n v="120"/>
    <n v="6"/>
    <n v="2021"/>
    <x v="0"/>
  </r>
  <r>
    <x v="595"/>
    <n v="700"/>
    <x v="1"/>
    <x v="3"/>
    <n v="25518"/>
    <m/>
    <x v="37"/>
    <x v="1001"/>
    <s v="Réparation"/>
    <x v="242"/>
    <x v="593"/>
    <x v="18"/>
    <n v="180"/>
    <n v="6"/>
    <n v="2021"/>
    <x v="0"/>
  </r>
  <r>
    <x v="595"/>
    <n v="580"/>
    <x v="0"/>
    <x v="11"/>
    <n v="24514"/>
    <m/>
    <x v="15"/>
    <x v="181"/>
    <s v="Réparation"/>
    <x v="1233"/>
    <x v="594"/>
    <x v="18"/>
    <n v="1920"/>
    <n v="6"/>
    <n v="2021"/>
    <x v="0"/>
  </r>
  <r>
    <x v="596"/>
    <n v="700"/>
    <x v="1"/>
    <x v="3"/>
    <n v="25519"/>
    <m/>
    <x v="49"/>
    <x v="1002"/>
    <s v="Réparation"/>
    <x v="1234"/>
    <x v="595"/>
    <x v="18"/>
    <n v="360"/>
    <n v="6"/>
    <n v="2021"/>
    <x v="0"/>
  </r>
  <r>
    <x v="597"/>
    <n v="800"/>
    <x v="1"/>
    <x v="2"/>
    <n v="25520"/>
    <m/>
    <x v="37"/>
    <x v="1003"/>
    <s v="Réparation"/>
    <x v="1235"/>
    <x v="596"/>
    <x v="123"/>
    <n v="240"/>
    <n v="6"/>
    <n v="2021"/>
    <x v="0"/>
  </r>
  <r>
    <x v="597"/>
    <n v="800"/>
    <x v="1"/>
    <x v="2"/>
    <n v="25521"/>
    <m/>
    <x v="364"/>
    <x v="1004"/>
    <s v="Réparation"/>
    <x v="1236"/>
    <x v="596"/>
    <x v="18"/>
    <n v="45"/>
    <n v="6"/>
    <n v="2021"/>
    <x v="0"/>
  </r>
  <r>
    <x v="598"/>
    <n v="800"/>
    <x v="1"/>
    <x v="2"/>
    <n v="25522"/>
    <m/>
    <x v="37"/>
    <x v="500"/>
    <s v="Réparation"/>
    <x v="1237"/>
    <x v="597"/>
    <x v="18"/>
    <n v="1620"/>
    <n v="6"/>
    <n v="2021"/>
    <x v="0"/>
  </r>
  <r>
    <x v="599"/>
    <n v="800"/>
    <x v="1"/>
    <x v="2"/>
    <n v="25527"/>
    <m/>
    <x v="37"/>
    <x v="1005"/>
    <s v="Réparation"/>
    <x v="1238"/>
    <x v="597"/>
    <x v="18"/>
    <n v="180"/>
    <n v="6"/>
    <n v="2021"/>
    <x v="0"/>
  </r>
  <r>
    <x v="599"/>
    <n v="590"/>
    <x v="0"/>
    <x v="20"/>
    <n v="14955"/>
    <m/>
    <x v="365"/>
    <x v="1006"/>
    <s v="Réparation"/>
    <x v="1239"/>
    <x v="597"/>
    <x v="18"/>
    <m/>
    <n v="6"/>
    <n v="2021"/>
    <x v="0"/>
  </r>
  <r>
    <x v="600"/>
    <n v="700"/>
    <x v="1"/>
    <x v="3"/>
    <n v="25530"/>
    <m/>
    <x v="366"/>
    <x v="1007"/>
    <s v="Réparation"/>
    <x v="1240"/>
    <x v="598"/>
    <x v="18"/>
    <n v="30"/>
    <n v="6"/>
    <n v="2021"/>
    <x v="0"/>
  </r>
  <r>
    <x v="601"/>
    <n v="700"/>
    <x v="1"/>
    <x v="3"/>
    <n v="25534"/>
    <m/>
    <x v="293"/>
    <x v="1008"/>
    <s v="Réparation"/>
    <x v="887"/>
    <x v="599"/>
    <x v="18"/>
    <n v="45"/>
    <n v="6"/>
    <n v="2021"/>
    <x v="0"/>
  </r>
  <r>
    <x v="602"/>
    <n v="700"/>
    <x v="1"/>
    <x v="3"/>
    <m/>
    <m/>
    <x v="24"/>
    <x v="472"/>
    <s v="Vidange"/>
    <x v="737"/>
    <x v="600"/>
    <x v="18"/>
    <n v="45"/>
    <n v="7"/>
    <n v="2021"/>
    <x v="0"/>
  </r>
  <r>
    <x v="603"/>
    <n v="800"/>
    <x v="1"/>
    <x v="2"/>
    <n v="15905"/>
    <m/>
    <x v="49"/>
    <x v="1009"/>
    <s v="Rép"/>
    <x v="1241"/>
    <x v="601"/>
    <x v="124"/>
    <n v="90"/>
    <n v="7"/>
    <n v="2021"/>
    <x v="0"/>
  </r>
  <r>
    <x v="604"/>
    <n v="700"/>
    <x v="1"/>
    <x v="3"/>
    <n v="15765"/>
    <m/>
    <x v="92"/>
    <x v="498"/>
    <s v="Entretien"/>
    <x v="1242"/>
    <x v="602"/>
    <x v="18"/>
    <n v="4320"/>
    <n v="7"/>
    <n v="2021"/>
    <x v="0"/>
  </r>
  <r>
    <x v="605"/>
    <n v="606"/>
    <x v="0"/>
    <x v="17"/>
    <n v="15509"/>
    <m/>
    <x v="97"/>
    <x v="99"/>
    <s v="Réparation "/>
    <x v="1178"/>
    <x v="603"/>
    <x v="18"/>
    <n v="480"/>
    <n v="8"/>
    <n v="2021"/>
    <x v="0"/>
  </r>
  <r>
    <x v="605"/>
    <n v="800"/>
    <x v="1"/>
    <x v="2"/>
    <m/>
    <m/>
    <x v="37"/>
    <x v="472"/>
    <s v="Vidange"/>
    <x v="575"/>
    <x v="604"/>
    <x v="18"/>
    <n v="45"/>
    <n v="8"/>
    <n v="2021"/>
    <x v="0"/>
  </r>
  <r>
    <x v="606"/>
    <n v="565"/>
    <x v="0"/>
    <x v="4"/>
    <n v="15511"/>
    <m/>
    <x v="160"/>
    <x v="1010"/>
    <s v="Réparation"/>
    <x v="1243"/>
    <x v="603"/>
    <x v="18"/>
    <n v="960"/>
    <n v="8"/>
    <n v="2021"/>
    <x v="0"/>
  </r>
  <r>
    <x v="607"/>
    <n v="565"/>
    <x v="0"/>
    <x v="4"/>
    <n v="15513"/>
    <m/>
    <x v="282"/>
    <x v="1011"/>
    <s v="Réparation"/>
    <x v="1244"/>
    <x v="605"/>
    <x v="18"/>
    <n v="960"/>
    <n v="8"/>
    <n v="2021"/>
    <x v="0"/>
  </r>
  <r>
    <x v="608"/>
    <n v="568"/>
    <x v="4"/>
    <x v="14"/>
    <n v="15514"/>
    <m/>
    <x v="367"/>
    <x v="166"/>
    <s v="Répaciotn "/>
    <x v="1245"/>
    <x v="606"/>
    <x v="18"/>
    <n v="1920"/>
    <n v="8"/>
    <n v="2021"/>
    <x v="0"/>
  </r>
  <r>
    <x v="609"/>
    <n v="571"/>
    <x v="0"/>
    <x v="7"/>
    <n v="25314"/>
    <m/>
    <x v="17"/>
    <x v="1012"/>
    <s v="Réparation"/>
    <x v="1246"/>
    <x v="607"/>
    <x v="18"/>
    <n v="8640"/>
    <n v="8"/>
    <n v="2021"/>
    <x v="0"/>
  </r>
  <r>
    <x v="610"/>
    <n v="700"/>
    <x v="1"/>
    <x v="3"/>
    <n v="15913"/>
    <m/>
    <x v="72"/>
    <x v="151"/>
    <s v="Réparation "/>
    <x v="1247"/>
    <x v="608"/>
    <x v="18"/>
    <n v="120"/>
    <n v="8"/>
    <n v="2021"/>
    <x v="0"/>
  </r>
  <r>
    <x v="610"/>
    <n v="534"/>
    <x v="2"/>
    <x v="27"/>
    <n v="14402"/>
    <m/>
    <x v="6"/>
    <x v="1013"/>
    <s v="Réparation"/>
    <x v="792"/>
    <x v="608"/>
    <x v="18"/>
    <n v="240"/>
    <n v="8"/>
    <n v="2021"/>
    <x v="0"/>
  </r>
  <r>
    <x v="611"/>
    <n v="700"/>
    <x v="1"/>
    <x v="3"/>
    <n v="25701"/>
    <m/>
    <x v="27"/>
    <x v="1014"/>
    <s v="Réparation"/>
    <x v="1248"/>
    <x v="609"/>
    <x v="18"/>
    <n v="60"/>
    <n v="8"/>
    <n v="2021"/>
    <x v="0"/>
  </r>
  <r>
    <x v="611"/>
    <n v="722"/>
    <x v="8"/>
    <x v="39"/>
    <n v="25702"/>
    <m/>
    <x v="368"/>
    <x v="1015"/>
    <s v="Réparation"/>
    <x v="1249"/>
    <x v="609"/>
    <x v="18"/>
    <m/>
    <n v="8"/>
    <n v="2021"/>
    <x v="0"/>
  </r>
  <r>
    <x v="611"/>
    <n v="561"/>
    <x v="4"/>
    <x v="18"/>
    <n v="25703"/>
    <m/>
    <x v="188"/>
    <x v="1016"/>
    <s v="Réparation"/>
    <x v="1250"/>
    <x v="609"/>
    <x v="18"/>
    <n v="90"/>
    <n v="8"/>
    <n v="2021"/>
    <x v="0"/>
  </r>
  <r>
    <x v="612"/>
    <n v="800"/>
    <x v="1"/>
    <x v="2"/>
    <n v="25705"/>
    <m/>
    <x v="49"/>
    <x v="1009"/>
    <s v="Réparation"/>
    <x v="1251"/>
    <x v="610"/>
    <x v="18"/>
    <n v="180"/>
    <n v="8"/>
    <n v="2021"/>
    <x v="0"/>
  </r>
  <r>
    <x v="612"/>
    <n v="571"/>
    <x v="0"/>
    <x v="7"/>
    <n v="25706"/>
    <m/>
    <x v="0"/>
    <x v="1017"/>
    <s v="Réparation"/>
    <x v="1252"/>
    <x v="610"/>
    <x v="18"/>
    <n v="45"/>
    <n v="8"/>
    <n v="2021"/>
    <x v="0"/>
  </r>
  <r>
    <x v="612"/>
    <n v="565"/>
    <x v="0"/>
    <x v="4"/>
    <n v="25707"/>
    <m/>
    <x v="369"/>
    <x v="1018"/>
    <s v="Réparation"/>
    <x v="333"/>
    <x v="610"/>
    <x v="125"/>
    <n v="90"/>
    <n v="8"/>
    <n v="2021"/>
    <x v="0"/>
  </r>
  <r>
    <x v="613"/>
    <n v="560"/>
    <x v="0"/>
    <x v="0"/>
    <n v="25709"/>
    <m/>
    <x v="160"/>
    <x v="748"/>
    <s v="Réparation"/>
    <x v="700"/>
    <x v="611"/>
    <x v="18"/>
    <n v="50"/>
    <n v="8"/>
    <n v="2021"/>
    <x v="0"/>
  </r>
  <r>
    <x v="614"/>
    <n v="560"/>
    <x v="0"/>
    <x v="0"/>
    <n v="25714"/>
    <m/>
    <x v="30"/>
    <x v="748"/>
    <s v="Réparation"/>
    <x v="1253"/>
    <x v="612"/>
    <x v="18"/>
    <n v="60"/>
    <n v="8"/>
    <n v="2021"/>
    <x v="0"/>
  </r>
  <r>
    <x v="614"/>
    <n v="561"/>
    <x v="4"/>
    <x v="18"/>
    <n v="25715"/>
    <m/>
    <x v="370"/>
    <x v="1019"/>
    <s v="Réparation"/>
    <x v="1254"/>
    <x v="613"/>
    <x v="18"/>
    <m/>
    <n v="9"/>
    <n v="2021"/>
    <x v="0"/>
  </r>
  <r>
    <x v="615"/>
    <n v="700"/>
    <x v="1"/>
    <x v="3"/>
    <m/>
    <m/>
    <x v="55"/>
    <x v="472"/>
    <s v="Vidange"/>
    <x v="1255"/>
    <x v="614"/>
    <x v="18"/>
    <n v="120"/>
    <n v="9"/>
    <n v="2021"/>
    <x v="0"/>
  </r>
  <r>
    <x v="615"/>
    <n v="700"/>
    <x v="1"/>
    <x v="3"/>
    <m/>
    <m/>
    <x v="24"/>
    <x v="472"/>
    <s v="Vidange"/>
    <x v="1256"/>
    <x v="614"/>
    <x v="18"/>
    <n v="45"/>
    <n v="9"/>
    <n v="2021"/>
    <x v="0"/>
  </r>
  <r>
    <x v="616"/>
    <n v="700"/>
    <x v="1"/>
    <x v="3"/>
    <m/>
    <m/>
    <x v="371"/>
    <x v="472"/>
    <s v="Vidange"/>
    <x v="575"/>
    <x v="615"/>
    <x v="18"/>
    <n v="45"/>
    <n v="9"/>
    <n v="2021"/>
    <x v="0"/>
  </r>
  <r>
    <x v="617"/>
    <n v="800"/>
    <x v="1"/>
    <x v="2"/>
    <m/>
    <m/>
    <x v="24"/>
    <x v="472"/>
    <s v="Vidange"/>
    <x v="1257"/>
    <x v="616"/>
    <x v="18"/>
    <n v="60"/>
    <n v="9"/>
    <n v="2021"/>
    <x v="0"/>
  </r>
  <r>
    <x v="618"/>
    <n v="590"/>
    <x v="0"/>
    <x v="20"/>
    <n v="25451"/>
    <m/>
    <x v="137"/>
    <x v="232"/>
    <s v="Réparation"/>
    <x v="1258"/>
    <x v="617"/>
    <x v="18"/>
    <n v="130"/>
    <n v="9"/>
    <n v="2021"/>
    <x v="0"/>
  </r>
  <r>
    <x v="619"/>
    <n v="565"/>
    <x v="0"/>
    <x v="4"/>
    <n v="25493"/>
    <m/>
    <x v="282"/>
    <x v="1020"/>
    <s v="Réparation"/>
    <x v="1259"/>
    <x v="618"/>
    <x v="18"/>
    <n v="300"/>
    <n v="9"/>
    <n v="2021"/>
    <x v="0"/>
  </r>
  <r>
    <x v="620"/>
    <n v="800"/>
    <x v="1"/>
    <x v="2"/>
    <n v="25453"/>
    <m/>
    <x v="24"/>
    <x v="1021"/>
    <s v="Réparation"/>
    <x v="1260"/>
    <x v="619"/>
    <x v="18"/>
    <n v="150"/>
    <n v="9"/>
    <n v="2021"/>
    <x v="0"/>
  </r>
  <r>
    <x v="620"/>
    <n v="800"/>
    <x v="1"/>
    <x v="2"/>
    <n v="25456"/>
    <m/>
    <x v="46"/>
    <x v="1022"/>
    <s v="Réparation"/>
    <x v="362"/>
    <x v="619"/>
    <x v="18"/>
    <n v="30"/>
    <n v="9"/>
    <n v="2021"/>
    <x v="0"/>
  </r>
  <r>
    <x v="621"/>
    <n v="570"/>
    <x v="0"/>
    <x v="16"/>
    <n v="25455"/>
    <m/>
    <x v="0"/>
    <x v="1023"/>
    <s v="Réparation"/>
    <x v="1261"/>
    <x v="620"/>
    <x v="18"/>
    <n v="90"/>
    <n v="9"/>
    <n v="2021"/>
    <x v="0"/>
  </r>
  <r>
    <x v="621"/>
    <n v="700"/>
    <x v="1"/>
    <x v="3"/>
    <n v="25473"/>
    <m/>
    <x v="50"/>
    <x v="1024"/>
    <s v="Réparation "/>
    <x v="1262"/>
    <x v="620"/>
    <x v="18"/>
    <n v="150"/>
    <n v="9"/>
    <n v="2021"/>
    <x v="0"/>
  </r>
  <r>
    <x v="621"/>
    <n v="582"/>
    <x v="0"/>
    <x v="1"/>
    <n v="25480"/>
    <m/>
    <x v="236"/>
    <x v="35"/>
    <s v="Réparation"/>
    <x v="1263"/>
    <x v="620"/>
    <x v="18"/>
    <n v="75"/>
    <n v="9"/>
    <n v="2021"/>
    <x v="0"/>
  </r>
  <r>
    <x v="622"/>
    <n v="606"/>
    <x v="0"/>
    <x v="17"/>
    <n v="25458"/>
    <m/>
    <x v="17"/>
    <x v="1025"/>
    <s v="Réparation"/>
    <x v="1264"/>
    <x v="621"/>
    <x v="18"/>
    <n v="60"/>
    <n v="9"/>
    <n v="2021"/>
    <x v="0"/>
  </r>
  <r>
    <x v="623"/>
    <n v="800"/>
    <x v="1"/>
    <x v="2"/>
    <n v="25461"/>
    <m/>
    <x v="195"/>
    <x v="1026"/>
    <s v="Réparation"/>
    <x v="1265"/>
    <x v="622"/>
    <x v="18"/>
    <n v="90"/>
    <n v="9"/>
    <n v="2021"/>
    <x v="0"/>
  </r>
  <r>
    <x v="623"/>
    <n v="590"/>
    <x v="0"/>
    <x v="20"/>
    <n v="25465"/>
    <m/>
    <x v="372"/>
    <x v="1027"/>
    <s v="Réparation"/>
    <x v="1266"/>
    <x v="622"/>
    <x v="18"/>
    <n v="90"/>
    <n v="9"/>
    <n v="2021"/>
    <x v="0"/>
  </r>
  <r>
    <x v="623"/>
    <n v="571"/>
    <x v="0"/>
    <x v="7"/>
    <n v="25345"/>
    <m/>
    <x v="17"/>
    <x v="1012"/>
    <s v="Réparation"/>
    <x v="1246"/>
    <x v="622"/>
    <x v="18"/>
    <n v="6240"/>
    <n v="9"/>
    <n v="2021"/>
    <x v="0"/>
  </r>
  <r>
    <x v="624"/>
    <n v="590"/>
    <x v="0"/>
    <x v="20"/>
    <n v="25475"/>
    <m/>
    <x v="2"/>
    <x v="593"/>
    <s v="Réparation"/>
    <x v="1267"/>
    <x v="313"/>
    <x v="18"/>
    <n v="6720"/>
    <n v="9"/>
    <n v="2021"/>
    <x v="0"/>
  </r>
  <r>
    <x v="624"/>
    <n v="800"/>
    <x v="1"/>
    <x v="2"/>
    <n v="25464"/>
    <m/>
    <x v="27"/>
    <x v="54"/>
    <s v="Réparation"/>
    <x v="1268"/>
    <x v="623"/>
    <x v="18"/>
    <n v="60"/>
    <n v="9"/>
    <n v="2021"/>
    <x v="0"/>
  </r>
  <r>
    <x v="624"/>
    <n v="800"/>
    <x v="1"/>
    <x v="2"/>
    <n v="25470"/>
    <m/>
    <x v="373"/>
    <x v="1028"/>
    <s v="Réparation"/>
    <x v="1269"/>
    <x v="623"/>
    <x v="18"/>
    <n v="75"/>
    <n v="9"/>
    <n v="2021"/>
    <x v="0"/>
  </r>
  <r>
    <x v="624"/>
    <n v="570"/>
    <x v="0"/>
    <x v="16"/>
    <n v="25477"/>
    <m/>
    <x v="140"/>
    <x v="35"/>
    <s v="Réparation"/>
    <x v="1270"/>
    <x v="623"/>
    <x v="18"/>
    <n v="60"/>
    <n v="9"/>
    <n v="2021"/>
    <x v="0"/>
  </r>
  <r>
    <x v="624"/>
    <n v="700"/>
    <x v="1"/>
    <x v="3"/>
    <n v="25483"/>
    <m/>
    <x v="7"/>
    <x v="184"/>
    <s v="Réparation"/>
    <x v="726"/>
    <x v="623"/>
    <x v="18"/>
    <n v="60"/>
    <n v="9"/>
    <n v="2021"/>
    <x v="0"/>
  </r>
  <r>
    <x v="625"/>
    <n v="800"/>
    <x v="1"/>
    <x v="2"/>
    <n v="25474"/>
    <m/>
    <x v="27"/>
    <x v="897"/>
    <s v="Réparation"/>
    <x v="1271"/>
    <x v="624"/>
    <x v="18"/>
    <n v="120"/>
    <n v="9"/>
    <n v="2021"/>
    <x v="0"/>
  </r>
  <r>
    <x v="625"/>
    <n v="700"/>
    <x v="1"/>
    <x v="3"/>
    <n v="25478"/>
    <m/>
    <x v="49"/>
    <x v="1029"/>
    <s v="Réparation"/>
    <x v="1272"/>
    <x v="624"/>
    <x v="18"/>
    <n v="90"/>
    <n v="9"/>
    <n v="2021"/>
    <x v="0"/>
  </r>
  <r>
    <x v="625"/>
    <n v="700"/>
    <x v="1"/>
    <x v="3"/>
    <n v="25496"/>
    <m/>
    <x v="46"/>
    <x v="1030"/>
    <s v="Réparation"/>
    <x v="99"/>
    <x v="624"/>
    <x v="18"/>
    <n v="120"/>
    <n v="9"/>
    <n v="2021"/>
    <x v="0"/>
  </r>
  <r>
    <x v="625"/>
    <n v="565"/>
    <x v="0"/>
    <x v="4"/>
    <m/>
    <m/>
    <x v="282"/>
    <x v="472"/>
    <s v="Vidange"/>
    <x v="1255"/>
    <x v="624"/>
    <x v="18"/>
    <n v="240"/>
    <n v="9"/>
    <n v="2021"/>
    <x v="0"/>
  </r>
  <r>
    <x v="626"/>
    <n v="584"/>
    <x v="4"/>
    <x v="24"/>
    <n v="25457"/>
    <m/>
    <x v="308"/>
    <x v="54"/>
    <s v="Réparation"/>
    <x v="280"/>
    <x v="625"/>
    <x v="18"/>
    <n v="240"/>
    <n v="9"/>
    <n v="2021"/>
    <x v="0"/>
  </r>
  <r>
    <x v="626"/>
    <n v="581"/>
    <x v="0"/>
    <x v="10"/>
    <n v="25468"/>
    <m/>
    <x v="45"/>
    <x v="1031"/>
    <s v="Réparation"/>
    <x v="1273"/>
    <x v="626"/>
    <x v="18"/>
    <n v="60"/>
    <n v="8"/>
    <n v="2021"/>
    <x v="0"/>
  </r>
  <r>
    <x v="626"/>
    <n v="581"/>
    <x v="0"/>
    <x v="10"/>
    <n v="25484"/>
    <m/>
    <x v="15"/>
    <x v="1032"/>
    <s v="Réparation"/>
    <x v="1274"/>
    <x v="625"/>
    <x v="18"/>
    <n v="90"/>
    <n v="9"/>
    <n v="2021"/>
    <x v="0"/>
  </r>
  <r>
    <x v="627"/>
    <n v="800"/>
    <x v="1"/>
    <x v="2"/>
    <n v="25467"/>
    <m/>
    <x v="50"/>
    <x v="113"/>
    <s v="Réparation"/>
    <x v="1275"/>
    <x v="627"/>
    <x v="18"/>
    <n v="90"/>
    <n v="9"/>
    <n v="2021"/>
    <x v="0"/>
  </r>
  <r>
    <x v="627"/>
    <n v="570"/>
    <x v="0"/>
    <x v="16"/>
    <n v="25472"/>
    <m/>
    <x v="374"/>
    <x v="1033"/>
    <s v="Réparation"/>
    <x v="1276"/>
    <x v="627"/>
    <x v="18"/>
    <n v="120"/>
    <n v="9"/>
    <n v="2021"/>
    <x v="0"/>
  </r>
  <r>
    <x v="627"/>
    <n v="565"/>
    <x v="0"/>
    <x v="4"/>
    <n v="25495"/>
    <m/>
    <x v="375"/>
    <x v="1034"/>
    <s v="Réparation"/>
    <x v="686"/>
    <x v="627"/>
    <x v="18"/>
    <n v="120"/>
    <n v="9"/>
    <n v="2021"/>
    <x v="0"/>
  </r>
  <r>
    <x v="628"/>
    <n v="607"/>
    <x v="0"/>
    <x v="12"/>
    <n v="25355"/>
    <m/>
    <x v="16"/>
    <x v="1035"/>
    <s v="Réparation"/>
    <x v="1277"/>
    <x v="628"/>
    <x v="126"/>
    <n v="0"/>
    <n v="9"/>
    <n v="2021"/>
    <x v="0"/>
  </r>
  <r>
    <x v="628"/>
    <n v="581"/>
    <x v="0"/>
    <x v="10"/>
    <n v="25356"/>
    <m/>
    <x v="376"/>
    <x v="217"/>
    <s v="Réparation"/>
    <x v="1278"/>
    <x v="629"/>
    <x v="18"/>
    <n v="0"/>
    <n v="9"/>
    <n v="2021"/>
    <x v="0"/>
  </r>
  <r>
    <x v="628"/>
    <n v="581"/>
    <x v="0"/>
    <x v="10"/>
    <n v="25356"/>
    <m/>
    <x v="377"/>
    <x v="1036"/>
    <s v="reparation "/>
    <x v="1279"/>
    <x v="629"/>
    <x v="18"/>
    <n v="240"/>
    <n v="9"/>
    <n v="2021"/>
    <x v="0"/>
  </r>
  <r>
    <x v="628"/>
    <n v="582"/>
    <x v="0"/>
    <x v="1"/>
    <n v="25361"/>
    <m/>
    <x v="378"/>
    <x v="1037"/>
    <s v="reparation "/>
    <x v="1280"/>
    <x v="629"/>
    <x v="18"/>
    <n v="30"/>
    <n v="9"/>
    <n v="2021"/>
    <x v="0"/>
  </r>
  <r>
    <x v="629"/>
    <n v="570"/>
    <x v="0"/>
    <x v="16"/>
    <n v="25487"/>
    <m/>
    <x v="97"/>
    <x v="672"/>
    <s v="Réparation"/>
    <x v="818"/>
    <x v="630"/>
    <x v="18"/>
    <n v="90"/>
    <n v="9"/>
    <n v="2021"/>
    <x v="0"/>
  </r>
  <r>
    <x v="629"/>
    <n v="700"/>
    <x v="1"/>
    <x v="3"/>
    <n v="25488"/>
    <m/>
    <x v="49"/>
    <x v="1038"/>
    <s v="Réparation"/>
    <x v="1281"/>
    <x v="630"/>
    <x v="18"/>
    <n v="105"/>
    <n v="9"/>
    <n v="2021"/>
    <x v="0"/>
  </r>
  <r>
    <x v="629"/>
    <n v="800"/>
    <x v="1"/>
    <x v="2"/>
    <n v="25489"/>
    <m/>
    <x v="37"/>
    <x v="72"/>
    <s v="Réparation"/>
    <x v="1282"/>
    <x v="630"/>
    <x v="18"/>
    <n v="240"/>
    <n v="9"/>
    <n v="2021"/>
    <x v="0"/>
  </r>
  <r>
    <x v="629"/>
    <n v="700"/>
    <x v="1"/>
    <x v="3"/>
    <n v="25490"/>
    <m/>
    <x v="37"/>
    <x v="311"/>
    <s v="Réparation"/>
    <x v="1283"/>
    <x v="630"/>
    <x v="18"/>
    <n v="150"/>
    <n v="9"/>
    <n v="2021"/>
    <x v="0"/>
  </r>
  <r>
    <x v="629"/>
    <n v="800"/>
    <x v="1"/>
    <x v="2"/>
    <n v="25491"/>
    <m/>
    <x v="46"/>
    <x v="316"/>
    <s v="Réparation"/>
    <x v="1284"/>
    <x v="630"/>
    <x v="18"/>
    <n v="90"/>
    <n v="9"/>
    <n v="2021"/>
    <x v="0"/>
  </r>
  <r>
    <x v="629"/>
    <n v="700"/>
    <x v="1"/>
    <x v="3"/>
    <n v="25354"/>
    <m/>
    <x v="379"/>
    <x v="1039"/>
    <s v="reparation "/>
    <x v="1285"/>
    <x v="630"/>
    <x v="18"/>
    <n v="30"/>
    <n v="9"/>
    <n v="2021"/>
    <x v="0"/>
  </r>
  <r>
    <x v="629"/>
    <n v="700"/>
    <x v="1"/>
    <x v="3"/>
    <n v="25357"/>
    <m/>
    <x v="380"/>
    <x v="0"/>
    <s v="reparation "/>
    <x v="1286"/>
    <x v="630"/>
    <x v="18"/>
    <n v="60"/>
    <n v="9"/>
    <n v="2021"/>
    <x v="0"/>
  </r>
  <r>
    <x v="630"/>
    <n v="700"/>
    <x v="1"/>
    <x v="3"/>
    <n v="25494"/>
    <m/>
    <x v="9"/>
    <x v="1040"/>
    <s v="Réparation"/>
    <x v="725"/>
    <x v="628"/>
    <x v="18"/>
    <n v="60"/>
    <n v="9"/>
    <n v="2021"/>
    <x v="0"/>
  </r>
  <r>
    <x v="630"/>
    <n v="607"/>
    <x v="0"/>
    <x v="12"/>
    <n v="25355"/>
    <m/>
    <x v="16"/>
    <x v="1041"/>
    <s v="Réparation"/>
    <x v="1287"/>
    <x v="628"/>
    <x v="18"/>
    <n v="240"/>
    <n v="9"/>
    <n v="2021"/>
    <x v="0"/>
  </r>
  <r>
    <x v="630"/>
    <n v="581"/>
    <x v="0"/>
    <x v="10"/>
    <n v="25365"/>
    <m/>
    <x v="65"/>
    <x v="1042"/>
    <s v="Réparation"/>
    <x v="1275"/>
    <x v="628"/>
    <x v="127"/>
    <n v="90"/>
    <n v="9"/>
    <n v="2021"/>
    <x v="0"/>
  </r>
  <r>
    <x v="630"/>
    <n v="582"/>
    <x v="0"/>
    <x v="1"/>
    <n v="25353"/>
    <m/>
    <x v="381"/>
    <x v="1043"/>
    <s v="reparation "/>
    <x v="1288"/>
    <x v="628"/>
    <x v="18"/>
    <n v="75"/>
    <n v="9"/>
    <n v="2021"/>
    <x v="0"/>
  </r>
  <r>
    <x v="630"/>
    <n v="607"/>
    <x v="0"/>
    <x v="12"/>
    <n v="25355"/>
    <m/>
    <x v="382"/>
    <x v="1044"/>
    <s v="reparation "/>
    <x v="1289"/>
    <x v="628"/>
    <x v="18"/>
    <n v="120"/>
    <n v="9"/>
    <n v="2021"/>
    <x v="0"/>
  </r>
  <r>
    <x v="630"/>
    <n v="565"/>
    <x v="0"/>
    <x v="4"/>
    <n v="25368"/>
    <m/>
    <x v="383"/>
    <x v="1045"/>
    <s v="reparation "/>
    <x v="1290"/>
    <x v="628"/>
    <x v="18"/>
    <n v="90"/>
    <n v="9"/>
    <n v="2021"/>
    <x v="0"/>
  </r>
  <r>
    <x v="630"/>
    <n v="581"/>
    <x v="0"/>
    <x v="10"/>
    <n v="25369"/>
    <m/>
    <x v="384"/>
    <x v="0"/>
    <s v="reparation "/>
    <x v="1291"/>
    <x v="628"/>
    <x v="18"/>
    <n v="90"/>
    <n v="9"/>
    <n v="2021"/>
    <x v="0"/>
  </r>
  <r>
    <x v="631"/>
    <n v="533"/>
    <x v="2"/>
    <x v="5"/>
    <n v="25497"/>
    <m/>
    <x v="362"/>
    <x v="1046"/>
    <s v="Réparation "/>
    <x v="1292"/>
    <x v="631"/>
    <x v="18"/>
    <n v="300"/>
    <n v="9"/>
    <n v="2021"/>
    <x v="0"/>
  </r>
  <r>
    <x v="631"/>
    <n v="534"/>
    <x v="2"/>
    <x v="27"/>
    <n v="25498"/>
    <m/>
    <x v="362"/>
    <x v="1046"/>
    <s v="Réparation "/>
    <x v="1292"/>
    <x v="631"/>
    <x v="18"/>
    <n v="300"/>
    <n v="9"/>
    <n v="2021"/>
    <x v="0"/>
  </r>
  <r>
    <x v="631"/>
    <n v="700"/>
    <x v="1"/>
    <x v="3"/>
    <n v="25363"/>
    <m/>
    <x v="24"/>
    <x v="1047"/>
    <s v="Réparation"/>
    <x v="1293"/>
    <x v="631"/>
    <x v="18"/>
    <n v="90"/>
    <n v="9"/>
    <n v="2021"/>
    <x v="0"/>
  </r>
  <r>
    <x v="631"/>
    <n v="582"/>
    <x v="0"/>
    <x v="1"/>
    <n v="25366"/>
    <m/>
    <x v="385"/>
    <x v="217"/>
    <s v="Réparation"/>
    <x v="1294"/>
    <x v="631"/>
    <x v="18"/>
    <m/>
    <n v="9"/>
    <n v="2021"/>
    <x v="0"/>
  </r>
  <r>
    <x v="631"/>
    <n v="700"/>
    <x v="1"/>
    <x v="3"/>
    <n v="25363"/>
    <m/>
    <x v="386"/>
    <x v="1048"/>
    <s v="reparation "/>
    <x v="1293"/>
    <x v="631"/>
    <x v="18"/>
    <n v="90"/>
    <n v="9"/>
    <n v="2021"/>
    <x v="0"/>
  </r>
  <r>
    <x v="631"/>
    <n v="582"/>
    <x v="0"/>
    <x v="1"/>
    <n v="25366"/>
    <m/>
    <x v="387"/>
    <x v="1049"/>
    <s v="reparation "/>
    <x v="1295"/>
    <x v="631"/>
    <x v="18"/>
    <n v="180"/>
    <n v="9"/>
    <n v="2021"/>
    <x v="0"/>
  </r>
  <r>
    <x v="631"/>
    <n v="582"/>
    <x v="0"/>
    <x v="1"/>
    <n v="25372"/>
    <m/>
    <x v="388"/>
    <x v="1050"/>
    <s v="repartion "/>
    <x v="1296"/>
    <x v="631"/>
    <x v="18"/>
    <n v="60"/>
    <n v="9"/>
    <n v="2021"/>
    <x v="0"/>
  </r>
  <r>
    <x v="632"/>
    <n v="700"/>
    <x v="1"/>
    <x v="3"/>
    <n v="25351"/>
    <m/>
    <x v="37"/>
    <x v="1019"/>
    <s v="Réparation"/>
    <x v="1297"/>
    <x v="632"/>
    <x v="18"/>
    <n v="360"/>
    <n v="9"/>
    <n v="2021"/>
    <x v="0"/>
  </r>
  <r>
    <x v="632"/>
    <n v="583"/>
    <x v="4"/>
    <x v="21"/>
    <n v="25352"/>
    <m/>
    <x v="6"/>
    <x v="616"/>
    <s v="Réparation"/>
    <x v="466"/>
    <x v="632"/>
    <x v="18"/>
    <n v="120"/>
    <n v="9"/>
    <n v="2021"/>
    <x v="0"/>
  </r>
  <r>
    <x v="632"/>
    <n v="700"/>
    <x v="1"/>
    <x v="3"/>
    <n v="25374"/>
    <m/>
    <x v="27"/>
    <x v="1051"/>
    <s v="Réparation"/>
    <x v="1248"/>
    <x v="632"/>
    <x v="18"/>
    <n v="90"/>
    <n v="9"/>
    <n v="2021"/>
    <x v="0"/>
  </r>
  <r>
    <x v="632"/>
    <n v="700"/>
    <x v="1"/>
    <x v="3"/>
    <n v="25351"/>
    <m/>
    <x v="389"/>
    <x v="1052"/>
    <s v="reparation "/>
    <x v="1298"/>
    <x v="632"/>
    <x v="18"/>
    <n v="360"/>
    <n v="9"/>
    <n v="2021"/>
    <x v="0"/>
  </r>
  <r>
    <x v="632"/>
    <n v="583"/>
    <x v="4"/>
    <x v="21"/>
    <n v="25352"/>
    <m/>
    <x v="390"/>
    <x v="1053"/>
    <s v="reparation "/>
    <x v="1299"/>
    <x v="632"/>
    <x v="18"/>
    <n v="120"/>
    <n v="9"/>
    <n v="2021"/>
    <x v="0"/>
  </r>
  <r>
    <x v="632"/>
    <n v="700"/>
    <x v="1"/>
    <x v="3"/>
    <n v="25373"/>
    <m/>
    <x v="386"/>
    <x v="1054"/>
    <s v="reparation "/>
    <x v="1300"/>
    <x v="632"/>
    <x v="18"/>
    <n v="90"/>
    <n v="9"/>
    <n v="2021"/>
    <x v="0"/>
  </r>
  <r>
    <x v="632"/>
    <n v="700"/>
    <x v="1"/>
    <x v="3"/>
    <n v="25374"/>
    <m/>
    <x v="391"/>
    <x v="1055"/>
    <s v="reparation "/>
    <x v="1301"/>
    <x v="632"/>
    <x v="18"/>
    <n v="60"/>
    <n v="9"/>
    <n v="2021"/>
    <x v="0"/>
  </r>
  <r>
    <x v="632"/>
    <n v="581"/>
    <x v="0"/>
    <x v="10"/>
    <n v="25375"/>
    <m/>
    <x v="392"/>
    <x v="1056"/>
    <s v="reparation "/>
    <x v="1302"/>
    <x v="632"/>
    <x v="18"/>
    <n v="90"/>
    <n v="9"/>
    <n v="2021"/>
    <x v="0"/>
  </r>
  <r>
    <x v="632"/>
    <n v="581"/>
    <x v="0"/>
    <x v="10"/>
    <n v="25380"/>
    <m/>
    <x v="393"/>
    <x v="1057"/>
    <s v="reparation "/>
    <x v="1303"/>
    <x v="632"/>
    <x v="18"/>
    <n v="120"/>
    <n v="9"/>
    <n v="2021"/>
    <x v="0"/>
  </r>
  <r>
    <x v="633"/>
    <n v="560"/>
    <x v="0"/>
    <x v="0"/>
    <n v="25364"/>
    <m/>
    <x v="394"/>
    <x v="1058"/>
    <s v="Réparation"/>
    <x v="1304"/>
    <x v="633"/>
    <x v="18"/>
    <n v="420"/>
    <n v="9"/>
    <n v="2021"/>
    <x v="0"/>
  </r>
  <r>
    <x v="633"/>
    <n v="533"/>
    <x v="2"/>
    <x v="5"/>
    <n v="25367"/>
    <m/>
    <x v="51"/>
    <x v="1059"/>
    <s v="Réparation"/>
    <x v="1305"/>
    <x v="633"/>
    <x v="18"/>
    <n v="60"/>
    <n v="9"/>
    <n v="2021"/>
    <x v="0"/>
  </r>
  <r>
    <x v="633"/>
    <n v="584"/>
    <x v="4"/>
    <x v="24"/>
    <n v="25360"/>
    <m/>
    <x v="395"/>
    <x v="1060"/>
    <s v="Réparation"/>
    <x v="466"/>
    <x v="633"/>
    <x v="18"/>
    <n v="90"/>
    <n v="9"/>
    <n v="2021"/>
    <x v="0"/>
  </r>
  <r>
    <x v="633"/>
    <n v="700"/>
    <x v="1"/>
    <x v="3"/>
    <n v="25370"/>
    <m/>
    <x v="23"/>
    <x v="1061"/>
    <s v="Réparation"/>
    <x v="726"/>
    <x v="633"/>
    <x v="18"/>
    <n v="90"/>
    <n v="9"/>
    <n v="2021"/>
    <x v="0"/>
  </r>
  <r>
    <x v="633"/>
    <n v="700"/>
    <x v="1"/>
    <x v="3"/>
    <n v="25371"/>
    <m/>
    <x v="23"/>
    <x v="1062"/>
    <s v="Réaration"/>
    <x v="1306"/>
    <x v="633"/>
    <x v="18"/>
    <n v="60"/>
    <n v="9"/>
    <n v="2021"/>
    <x v="0"/>
  </r>
  <r>
    <x v="633"/>
    <n v="582"/>
    <x v="0"/>
    <x v="1"/>
    <n v="25359"/>
    <m/>
    <x v="396"/>
    <x v="1063"/>
    <s v="reparation "/>
    <x v="1307"/>
    <x v="633"/>
    <x v="18"/>
    <n v="120"/>
    <n v="9"/>
    <n v="2021"/>
    <x v="0"/>
  </r>
  <r>
    <x v="633"/>
    <n v="584"/>
    <x v="4"/>
    <x v="24"/>
    <n v="25360"/>
    <m/>
    <x v="397"/>
    <x v="1064"/>
    <s v="reparation "/>
    <x v="1308"/>
    <x v="633"/>
    <x v="18"/>
    <n v="105"/>
    <n v="9"/>
    <n v="2021"/>
    <x v="0"/>
  </r>
  <r>
    <x v="633"/>
    <n v="560"/>
    <x v="0"/>
    <x v="0"/>
    <n v="25364"/>
    <m/>
    <x v="398"/>
    <x v="1065"/>
    <s v="reparation "/>
    <x v="1309"/>
    <x v="633"/>
    <x v="18"/>
    <n v="420"/>
    <n v="9"/>
    <n v="2021"/>
    <x v="0"/>
  </r>
  <r>
    <x v="633"/>
    <n v="533"/>
    <x v="2"/>
    <x v="5"/>
    <n v="25367"/>
    <m/>
    <x v="399"/>
    <x v="1066"/>
    <s v="reparation "/>
    <x v="1310"/>
    <x v="633"/>
    <x v="18"/>
    <n v="60"/>
    <n v="9"/>
    <n v="2021"/>
    <x v="0"/>
  </r>
  <r>
    <x v="633"/>
    <n v="700"/>
    <x v="1"/>
    <x v="3"/>
    <n v="25370"/>
    <m/>
    <x v="400"/>
    <x v="1067"/>
    <s v="reparation "/>
    <x v="1311"/>
    <x v="633"/>
    <x v="18"/>
    <n v="90"/>
    <n v="9"/>
    <n v="2021"/>
    <x v="0"/>
  </r>
  <r>
    <x v="633"/>
    <n v="700"/>
    <x v="1"/>
    <x v="3"/>
    <n v="25371"/>
    <m/>
    <x v="401"/>
    <x v="1068"/>
    <s v="reparation "/>
    <x v="1312"/>
    <x v="633"/>
    <x v="18"/>
    <n v="60"/>
    <n v="9"/>
    <n v="2021"/>
    <x v="0"/>
  </r>
  <r>
    <x v="633"/>
    <n v="582"/>
    <x v="0"/>
    <x v="1"/>
    <n v="25377"/>
    <m/>
    <x v="402"/>
    <x v="1063"/>
    <s v="reparation "/>
    <x v="1313"/>
    <x v="633"/>
    <x v="18"/>
    <n v="180"/>
    <n v="9"/>
    <n v="2021"/>
    <x v="0"/>
  </r>
  <r>
    <x v="633"/>
    <n v="580"/>
    <x v="0"/>
    <x v="11"/>
    <n v="25378"/>
    <m/>
    <x v="403"/>
    <x v="1069"/>
    <s v="reparation "/>
    <x v="1314"/>
    <x v="633"/>
    <x v="18"/>
    <n v="60"/>
    <n v="9"/>
    <n v="2021"/>
    <x v="0"/>
  </r>
  <r>
    <x v="633"/>
    <n v="581"/>
    <x v="0"/>
    <x v="10"/>
    <n v="25379"/>
    <m/>
    <x v="404"/>
    <x v="1070"/>
    <s v="reparation "/>
    <x v="1315"/>
    <x v="633"/>
    <x v="18"/>
    <n v="150"/>
    <n v="9"/>
    <n v="2021"/>
    <x v="0"/>
  </r>
  <r>
    <x v="633"/>
    <n v="700"/>
    <x v="1"/>
    <x v="3"/>
    <n v="25389"/>
    <m/>
    <x v="405"/>
    <x v="0"/>
    <s v="reparation "/>
    <x v="1300"/>
    <x v="633"/>
    <x v="18"/>
    <n v="60"/>
    <n v="9"/>
    <n v="2021"/>
    <x v="0"/>
  </r>
  <r>
    <x v="633"/>
    <n v="800"/>
    <x v="1"/>
    <x v="2"/>
    <n v="25389"/>
    <m/>
    <x v="406"/>
    <x v="0"/>
    <s v="reparation "/>
    <x v="1300"/>
    <x v="633"/>
    <x v="18"/>
    <n v="60"/>
    <n v="9"/>
    <n v="2021"/>
    <x v="0"/>
  </r>
  <r>
    <x v="633"/>
    <n v="700"/>
    <x v="1"/>
    <x v="3"/>
    <n v="25393"/>
    <m/>
    <x v="407"/>
    <x v="1071"/>
    <s v="reparation "/>
    <x v="1316"/>
    <x v="633"/>
    <x v="18"/>
    <n v="60"/>
    <n v="9"/>
    <n v="2021"/>
    <x v="0"/>
  </r>
  <r>
    <x v="633"/>
    <n v="800"/>
    <x v="1"/>
    <x v="2"/>
    <n v="25365"/>
    <m/>
    <x v="408"/>
    <x v="1072"/>
    <s v="reparation "/>
    <x v="1317"/>
    <x v="633"/>
    <x v="18"/>
    <n v="75"/>
    <n v="9"/>
    <n v="2021"/>
    <x v="0"/>
  </r>
  <r>
    <x v="634"/>
    <n v="580"/>
    <x v="0"/>
    <x v="11"/>
    <n v="25376"/>
    <m/>
    <x v="409"/>
    <x v="0"/>
    <s v="ereparation "/>
    <x v="1318"/>
    <x v="634"/>
    <x v="18"/>
    <m/>
    <n v="9"/>
    <n v="2021"/>
    <x v="0"/>
  </r>
  <r>
    <x v="634"/>
    <n v="800"/>
    <x v="1"/>
    <x v="2"/>
    <n v="25381"/>
    <m/>
    <x v="410"/>
    <x v="1073"/>
    <s v="reparation "/>
    <x v="1319"/>
    <x v="634"/>
    <x v="18"/>
    <n v="30"/>
    <n v="9"/>
    <n v="2021"/>
    <x v="0"/>
  </r>
  <r>
    <x v="634"/>
    <n v="700"/>
    <x v="1"/>
    <x v="3"/>
    <n v="25396"/>
    <m/>
    <x v="411"/>
    <x v="1074"/>
    <s v="reparation "/>
    <x v="1320"/>
    <x v="634"/>
    <x v="18"/>
    <n v="60"/>
    <n v="9"/>
    <n v="2021"/>
    <x v="0"/>
  </r>
  <r>
    <x v="635"/>
    <n v="580"/>
    <x v="0"/>
    <x v="11"/>
    <n v="25383"/>
    <m/>
    <x v="198"/>
    <x v="1075"/>
    <s v="Réparation"/>
    <x v="1321"/>
    <x v="635"/>
    <x v="18"/>
    <n v="120"/>
    <n v="9"/>
    <n v="2021"/>
    <x v="0"/>
  </r>
  <r>
    <x v="635"/>
    <n v="601"/>
    <x v="0"/>
    <x v="25"/>
    <n v="25383"/>
    <m/>
    <x v="412"/>
    <x v="1076"/>
    <s v="reparation "/>
    <x v="1322"/>
    <x v="635"/>
    <x v="18"/>
    <n v="60"/>
    <n v="9"/>
    <n v="2021"/>
    <x v="0"/>
  </r>
  <r>
    <x v="635"/>
    <n v="800"/>
    <x v="1"/>
    <x v="2"/>
    <n v="25391"/>
    <m/>
    <x v="413"/>
    <x v="1077"/>
    <s v="reparation"/>
    <x v="1323"/>
    <x v="635"/>
    <x v="18"/>
    <n v="90"/>
    <n v="9"/>
    <n v="2021"/>
    <x v="0"/>
  </r>
  <r>
    <x v="636"/>
    <n v="582"/>
    <x v="0"/>
    <x v="1"/>
    <n v="25382"/>
    <m/>
    <x v="414"/>
    <x v="1070"/>
    <s v="reparation "/>
    <x v="1324"/>
    <x v="636"/>
    <x v="18"/>
    <n v="90"/>
    <n v="9"/>
    <n v="2021"/>
    <x v="0"/>
  </r>
  <r>
    <x v="636"/>
    <n v="581"/>
    <x v="0"/>
    <x v="10"/>
    <n v="25387"/>
    <m/>
    <x v="415"/>
    <x v="1078"/>
    <s v="reparation "/>
    <x v="1325"/>
    <x v="636"/>
    <x v="18"/>
    <n v="120"/>
    <n v="9"/>
    <n v="2021"/>
    <x v="0"/>
  </r>
  <r>
    <x v="636"/>
    <n v="560"/>
    <x v="0"/>
    <x v="0"/>
    <n v="25392"/>
    <m/>
    <x v="416"/>
    <x v="1079"/>
    <s v="reparation "/>
    <x v="1326"/>
    <x v="636"/>
    <x v="18"/>
    <n v="390"/>
    <n v="9"/>
    <n v="2021"/>
    <x v="0"/>
  </r>
  <r>
    <x v="636"/>
    <n v="582"/>
    <x v="0"/>
    <x v="1"/>
    <n v="25394"/>
    <m/>
    <x v="417"/>
    <x v="1080"/>
    <s v="reparation "/>
    <x v="1327"/>
    <x v="636"/>
    <x v="18"/>
    <n v="120"/>
    <n v="9"/>
    <n v="2021"/>
    <x v="0"/>
  </r>
  <r>
    <x v="637"/>
    <n v="800"/>
    <x v="1"/>
    <x v="2"/>
    <n v="25385"/>
    <m/>
    <x v="46"/>
    <x v="0"/>
    <m/>
    <x v="99"/>
    <x v="313"/>
    <x v="18"/>
    <m/>
    <n v="9"/>
    <n v="2021"/>
    <x v="0"/>
  </r>
  <r>
    <x v="637"/>
    <n v="800"/>
    <x v="1"/>
    <x v="2"/>
    <n v="25384"/>
    <m/>
    <x v="418"/>
    <x v="1081"/>
    <s v="reparation "/>
    <x v="1300"/>
    <x v="313"/>
    <x v="18"/>
    <n v="90"/>
    <n v="9"/>
    <n v="2021"/>
    <x v="0"/>
  </r>
  <r>
    <x v="637"/>
    <n v="800"/>
    <x v="1"/>
    <x v="2"/>
    <n v="25385"/>
    <m/>
    <x v="419"/>
    <x v="1082"/>
    <s v="reparation "/>
    <x v="1328"/>
    <x v="477"/>
    <x v="18"/>
    <n v="60"/>
    <n v="1"/>
    <n v="2021"/>
    <x v="0"/>
  </r>
  <r>
    <x v="637"/>
    <n v="582"/>
    <x v="0"/>
    <x v="1"/>
    <n v="25386"/>
    <m/>
    <x v="420"/>
    <x v="1083"/>
    <s v="reparation "/>
    <x v="1323"/>
    <x v="313"/>
    <x v="18"/>
    <n v="150"/>
    <n v="9"/>
    <n v="2021"/>
    <x v="0"/>
  </r>
  <r>
    <x v="637"/>
    <n v="583"/>
    <x v="4"/>
    <x v="21"/>
    <n v="25390"/>
    <m/>
    <x v="421"/>
    <x v="1084"/>
    <s v="reparation "/>
    <x v="1329"/>
    <x v="313"/>
    <x v="18"/>
    <n v="120"/>
    <n v="9"/>
    <n v="2021"/>
    <x v="0"/>
  </r>
  <r>
    <x v="637"/>
    <n v="581"/>
    <x v="0"/>
    <x v="10"/>
    <n v="25397"/>
    <m/>
    <x v="422"/>
    <x v="0"/>
    <m/>
    <x v="99"/>
    <x v="313"/>
    <x v="18"/>
    <m/>
    <n v="9"/>
    <n v="2021"/>
    <x v="0"/>
  </r>
  <r>
    <x v="637"/>
    <n v="565"/>
    <x v="0"/>
    <x v="4"/>
    <m/>
    <m/>
    <x v="0"/>
    <x v="472"/>
    <s v="Vidange"/>
    <x v="1255"/>
    <x v="313"/>
    <x v="18"/>
    <n v="240"/>
    <n v="9"/>
    <n v="2021"/>
    <x v="0"/>
  </r>
  <r>
    <x v="638"/>
    <n v="581"/>
    <x v="0"/>
    <x v="10"/>
    <n v="25388"/>
    <m/>
    <x v="423"/>
    <x v="1085"/>
    <s v="reparation "/>
    <x v="1330"/>
    <x v="637"/>
    <x v="18"/>
    <n v="120"/>
    <n v="9"/>
    <n v="2021"/>
    <x v="0"/>
  </r>
  <r>
    <x v="638"/>
    <n v="571"/>
    <x v="0"/>
    <x v="7"/>
    <n v="25395"/>
    <m/>
    <x v="424"/>
    <x v="1065"/>
    <s v="reparation "/>
    <x v="1331"/>
    <x v="637"/>
    <x v="18"/>
    <n v="120"/>
    <n v="9"/>
    <n v="2021"/>
    <x v="0"/>
  </r>
  <r>
    <x v="639"/>
    <n v="620"/>
    <x v="0"/>
    <x v="26"/>
    <n v="25803"/>
    <m/>
    <x v="425"/>
    <x v="1086"/>
    <s v="reparation"/>
    <x v="1332"/>
    <x v="638"/>
    <x v="18"/>
    <n v="180"/>
    <n v="10"/>
    <n v="2021"/>
    <x v="0"/>
  </r>
  <r>
    <x v="640"/>
    <n v="602"/>
    <x v="0"/>
    <x v="34"/>
    <n v="15811"/>
    <m/>
    <x v="0"/>
    <x v="1087"/>
    <s v="Réparation"/>
    <x v="1333"/>
    <x v="639"/>
    <x v="18"/>
    <n v="180"/>
    <n v="10"/>
    <n v="2021"/>
    <x v="0"/>
  </r>
  <r>
    <x v="640"/>
    <n v="700"/>
    <x v="1"/>
    <x v="3"/>
    <n v="25416"/>
    <m/>
    <x v="49"/>
    <x v="1088"/>
    <s v="Réparation"/>
    <x v="1334"/>
    <x v="639"/>
    <x v="18"/>
    <n v="90"/>
    <n v="10"/>
    <n v="2021"/>
    <x v="0"/>
  </r>
  <r>
    <x v="640"/>
    <n v="700"/>
    <x v="1"/>
    <x v="3"/>
    <n v="25417"/>
    <m/>
    <x v="23"/>
    <x v="1089"/>
    <s v="Réparation"/>
    <x v="1335"/>
    <x v="639"/>
    <x v="18"/>
    <n v="60"/>
    <n v="10"/>
    <n v="2021"/>
    <x v="0"/>
  </r>
  <r>
    <x v="640"/>
    <n v="570"/>
    <x v="0"/>
    <x v="16"/>
    <n v="25430"/>
    <m/>
    <x v="181"/>
    <x v="1090"/>
    <s v="Réparaition"/>
    <x v="1336"/>
    <x v="639"/>
    <x v="18"/>
    <n v="90"/>
    <n v="10"/>
    <n v="2021"/>
    <x v="0"/>
  </r>
  <r>
    <x v="640"/>
    <n v="602"/>
    <x v="0"/>
    <x v="34"/>
    <n v="15811"/>
    <m/>
    <x v="0"/>
    <x v="1091"/>
    <s v="Réparation"/>
    <x v="1337"/>
    <x v="639"/>
    <x v="18"/>
    <n v="240"/>
    <n v="10"/>
    <n v="2021"/>
    <x v="0"/>
  </r>
  <r>
    <x v="641"/>
    <n v="571"/>
    <x v="0"/>
    <x v="7"/>
    <m/>
    <m/>
    <x v="210"/>
    <x v="1092"/>
    <s v="Réparation"/>
    <x v="1338"/>
    <x v="640"/>
    <x v="18"/>
    <n v="1"/>
    <n v="10"/>
    <n v="2021"/>
    <x v="0"/>
  </r>
  <r>
    <x v="642"/>
    <n v="700"/>
    <x v="1"/>
    <x v="3"/>
    <n v="25415"/>
    <m/>
    <x v="426"/>
    <x v="1093"/>
    <s v="Réparation"/>
    <x v="1339"/>
    <x v="641"/>
    <x v="18"/>
    <n v="60"/>
    <n v="10"/>
    <n v="2021"/>
    <x v="0"/>
  </r>
  <r>
    <x v="642"/>
    <n v="560"/>
    <x v="0"/>
    <x v="0"/>
    <n v="25420"/>
    <m/>
    <x v="282"/>
    <x v="2"/>
    <s v="Réparation"/>
    <x v="1340"/>
    <x v="641"/>
    <x v="18"/>
    <n v="90"/>
    <n v="10"/>
    <n v="2021"/>
    <x v="0"/>
  </r>
  <r>
    <x v="642"/>
    <n v="570"/>
    <x v="0"/>
    <x v="16"/>
    <n v="25429"/>
    <m/>
    <x v="192"/>
    <x v="1015"/>
    <s v="Réparation"/>
    <x v="1341"/>
    <x v="642"/>
    <x v="18"/>
    <n v="5280"/>
    <n v="10"/>
    <n v="2021"/>
    <x v="0"/>
  </r>
  <r>
    <x v="643"/>
    <n v="561"/>
    <x v="4"/>
    <x v="18"/>
    <n v="25427"/>
    <m/>
    <x v="427"/>
    <x v="1094"/>
    <s v="Réparation"/>
    <x v="1342"/>
    <x v="640"/>
    <x v="18"/>
    <n v="120"/>
    <n v="10"/>
    <n v="2021"/>
    <x v="0"/>
  </r>
  <r>
    <x v="643"/>
    <n v="568"/>
    <x v="4"/>
    <x v="14"/>
    <n v="25428"/>
    <m/>
    <x v="6"/>
    <x v="1095"/>
    <s v="Réparation"/>
    <x v="466"/>
    <x v="640"/>
    <x v="18"/>
    <n v="120"/>
    <n v="10"/>
    <n v="2021"/>
    <x v="0"/>
  </r>
  <r>
    <x v="644"/>
    <n v="620"/>
    <x v="0"/>
    <x v="26"/>
    <n v="25421"/>
    <m/>
    <x v="67"/>
    <x v="1096"/>
    <s v="Réparation"/>
    <x v="1343"/>
    <x v="643"/>
    <x v="18"/>
    <n v="60"/>
    <n v="10"/>
    <n v="2021"/>
    <x v="0"/>
  </r>
  <r>
    <x v="644"/>
    <n v="606"/>
    <x v="0"/>
    <x v="17"/>
    <n v="15820"/>
    <m/>
    <x v="17"/>
    <x v="10"/>
    <s v="Réparation"/>
    <x v="1344"/>
    <x v="643"/>
    <x v="18"/>
    <n v="120"/>
    <n v="10"/>
    <n v="2021"/>
    <x v="0"/>
  </r>
  <r>
    <x v="645"/>
    <n v="582"/>
    <x v="0"/>
    <x v="1"/>
    <n v="25422"/>
    <m/>
    <x v="164"/>
    <x v="1097"/>
    <s v="Réparation"/>
    <x v="1345"/>
    <x v="644"/>
    <x v="18"/>
    <n v="60"/>
    <n v="10"/>
    <n v="2021"/>
    <x v="0"/>
  </r>
  <r>
    <x v="645"/>
    <n v="584"/>
    <x v="4"/>
    <x v="24"/>
    <n v="25423"/>
    <m/>
    <x v="6"/>
    <x v="54"/>
    <s v="Réparation"/>
    <x v="466"/>
    <x v="644"/>
    <x v="18"/>
    <n v="240"/>
    <n v="10"/>
    <n v="2021"/>
    <x v="0"/>
  </r>
  <r>
    <x v="646"/>
    <n v="582"/>
    <x v="0"/>
    <x v="1"/>
    <n v="25425"/>
    <m/>
    <x v="15"/>
    <x v="1098"/>
    <s v="Réparation"/>
    <x v="1346"/>
    <x v="645"/>
    <x v="18"/>
    <n v="180"/>
    <n v="10"/>
    <n v="2021"/>
    <x v="0"/>
  </r>
  <r>
    <x v="646"/>
    <n v="582"/>
    <x v="0"/>
    <x v="1"/>
    <n v="25431"/>
    <m/>
    <x v="78"/>
    <x v="1099"/>
    <s v="Réparation"/>
    <x v="1347"/>
    <x v="645"/>
    <x v="18"/>
    <n v="450"/>
    <n v="10"/>
    <n v="2021"/>
    <x v="0"/>
  </r>
  <r>
    <x v="646"/>
    <n v="700"/>
    <x v="1"/>
    <x v="3"/>
    <n v="15784"/>
    <m/>
    <x v="49"/>
    <x v="1100"/>
    <s v="Réparation"/>
    <x v="1348"/>
    <x v="645"/>
    <x v="18"/>
    <n v="360"/>
    <n v="10"/>
    <n v="2021"/>
    <x v="0"/>
  </r>
  <r>
    <x v="647"/>
    <n v="620"/>
    <x v="0"/>
    <x v="26"/>
    <n v="44480"/>
    <m/>
    <x v="27"/>
    <x v="1101"/>
    <s v="Réparation"/>
    <x v="1349"/>
    <x v="646"/>
    <x v="18"/>
    <n v="180"/>
    <n v="10"/>
    <n v="2021"/>
    <x v="0"/>
  </r>
  <r>
    <x v="647"/>
    <n v="800"/>
    <x v="1"/>
    <x v="2"/>
    <n v="25433"/>
    <m/>
    <x v="46"/>
    <x v="1019"/>
    <s v="Réparation "/>
    <x v="1350"/>
    <x v="646"/>
    <x v="18"/>
    <n v="120"/>
    <n v="10"/>
    <n v="2021"/>
    <x v="0"/>
  </r>
  <r>
    <x v="648"/>
    <n v="700"/>
    <x v="1"/>
    <x v="3"/>
    <n v="15788"/>
    <m/>
    <x v="7"/>
    <x v="140"/>
    <s v="Réparation"/>
    <x v="1351"/>
    <x v="647"/>
    <x v="18"/>
    <n v="360"/>
    <n v="10"/>
    <n v="2021"/>
    <x v="0"/>
  </r>
  <r>
    <x v="649"/>
    <n v="454"/>
    <x v="10"/>
    <x v="40"/>
    <m/>
    <m/>
    <x v="198"/>
    <x v="1102"/>
    <s v="Réparation"/>
    <x v="1352"/>
    <x v="314"/>
    <x v="128"/>
    <m/>
    <n v="10"/>
    <n v="2021"/>
    <x v="0"/>
  </r>
  <r>
    <x v="650"/>
    <n v="533"/>
    <x v="2"/>
    <x v="5"/>
    <n v="15857"/>
    <m/>
    <x v="68"/>
    <x v="976"/>
    <s v="Réparation"/>
    <x v="1353"/>
    <x v="648"/>
    <x v="18"/>
    <n v="60"/>
    <n v="10"/>
    <n v="2021"/>
    <x v="0"/>
  </r>
  <r>
    <x v="650"/>
    <n v="571"/>
    <x v="0"/>
    <x v="7"/>
    <n v="14826"/>
    <m/>
    <x v="97"/>
    <x v="491"/>
    <s v="Réparation"/>
    <x v="1354"/>
    <x v="648"/>
    <x v="18"/>
    <n v="240"/>
    <n v="10"/>
    <n v="2021"/>
    <x v="0"/>
  </r>
  <r>
    <x v="650"/>
    <n v="800"/>
    <x v="1"/>
    <x v="2"/>
    <n v="15008"/>
    <m/>
    <x v="46"/>
    <x v="675"/>
    <s v="Réparation"/>
    <x v="1355"/>
    <x v="648"/>
    <x v="18"/>
    <n v="90"/>
    <n v="10"/>
    <n v="2021"/>
    <x v="0"/>
  </r>
  <r>
    <x v="650"/>
    <n v="565"/>
    <x v="0"/>
    <x v="4"/>
    <n v="15818"/>
    <m/>
    <x v="231"/>
    <x v="1033"/>
    <s v="Réparation"/>
    <x v="1356"/>
    <x v="648"/>
    <x v="18"/>
    <n v="240"/>
    <n v="10"/>
    <n v="2021"/>
    <x v="0"/>
  </r>
  <r>
    <x v="651"/>
    <n v="605"/>
    <x v="0"/>
    <x v="13"/>
    <n v="15820"/>
    <m/>
    <x v="17"/>
    <x v="1103"/>
    <s v="Réparation"/>
    <x v="305"/>
    <x v="642"/>
    <x v="18"/>
    <n v="180"/>
    <n v="10"/>
    <n v="2021"/>
    <x v="0"/>
  </r>
  <r>
    <x v="652"/>
    <n v="581"/>
    <x v="0"/>
    <x v="10"/>
    <n v="12336"/>
    <m/>
    <x v="15"/>
    <x v="1104"/>
    <s v="Réparation"/>
    <x v="1357"/>
    <x v="649"/>
    <x v="18"/>
    <n v="120"/>
    <n v="10"/>
    <n v="2021"/>
    <x v="0"/>
  </r>
  <r>
    <x v="653"/>
    <n v="700"/>
    <x v="1"/>
    <x v="3"/>
    <n v="15789"/>
    <m/>
    <x v="49"/>
    <x v="1105"/>
    <s v="Réparation"/>
    <x v="1358"/>
    <x v="650"/>
    <x v="18"/>
    <n v="120"/>
    <n v="10"/>
    <n v="2021"/>
    <x v="0"/>
  </r>
  <r>
    <x v="654"/>
    <n v="800"/>
    <x v="1"/>
    <x v="2"/>
    <n v="15935"/>
    <m/>
    <x v="24"/>
    <x v="66"/>
    <s v="Réparation"/>
    <x v="322"/>
    <x v="651"/>
    <x v="18"/>
    <n v="120"/>
    <n v="10"/>
    <n v="2021"/>
    <x v="0"/>
  </r>
  <r>
    <x v="655"/>
    <n v="533"/>
    <x v="2"/>
    <x v="5"/>
    <n v="15858"/>
    <m/>
    <x v="13"/>
    <x v="1106"/>
    <s v="Réparation"/>
    <x v="1359"/>
    <x v="652"/>
    <x v="18"/>
    <n v="60"/>
    <n v="10"/>
    <n v="2021"/>
    <x v="0"/>
  </r>
  <r>
    <x v="655"/>
    <n v="580"/>
    <x v="0"/>
    <x v="11"/>
    <n v="14959"/>
    <m/>
    <x v="15"/>
    <x v="1107"/>
    <s v="Réparation"/>
    <x v="1360"/>
    <x v="652"/>
    <x v="18"/>
    <n v="120"/>
    <n v="10"/>
    <n v="2021"/>
    <x v="0"/>
  </r>
  <r>
    <x v="655"/>
    <n v="582"/>
    <x v="0"/>
    <x v="1"/>
    <n v="14960"/>
    <m/>
    <x v="87"/>
    <x v="631"/>
    <s v="Réparation"/>
    <x v="1345"/>
    <x v="652"/>
    <x v="18"/>
    <n v="150"/>
    <n v="10"/>
    <n v="2021"/>
    <x v="0"/>
  </r>
  <r>
    <x v="655"/>
    <n v="565"/>
    <x v="0"/>
    <x v="4"/>
    <n v="15824"/>
    <m/>
    <x v="282"/>
    <x v="321"/>
    <s v="Réparation"/>
    <x v="1361"/>
    <x v="652"/>
    <x v="18"/>
    <m/>
    <n v="10"/>
    <n v="2021"/>
    <x v="0"/>
  </r>
  <r>
    <x v="655"/>
    <n v="565"/>
    <x v="0"/>
    <x v="4"/>
    <n v="25808"/>
    <m/>
    <x v="428"/>
    <x v="1108"/>
    <s v="reparation"/>
    <x v="1362"/>
    <x v="652"/>
    <x v="18"/>
    <n v="180"/>
    <n v="10"/>
    <n v="2021"/>
    <x v="0"/>
  </r>
  <r>
    <x v="656"/>
    <n v="800"/>
    <x v="1"/>
    <x v="2"/>
    <n v="15944"/>
    <m/>
    <x v="27"/>
    <x v="539"/>
    <s v="Réparation"/>
    <x v="466"/>
    <x v="653"/>
    <x v="18"/>
    <n v="480"/>
    <n v="10"/>
    <n v="2021"/>
    <x v="0"/>
  </r>
  <r>
    <x v="656"/>
    <n v="800"/>
    <x v="1"/>
    <x v="2"/>
    <n v="25959"/>
    <m/>
    <x v="429"/>
    <x v="0"/>
    <s v="reparation "/>
    <x v="1363"/>
    <x v="653"/>
    <x v="18"/>
    <n v="180"/>
    <n v="10"/>
    <n v="2021"/>
    <x v="0"/>
  </r>
  <r>
    <x v="656"/>
    <n v="571"/>
    <x v="0"/>
    <x v="7"/>
    <n v="25802"/>
    <m/>
    <x v="430"/>
    <x v="1109"/>
    <s v="reparation "/>
    <x v="1364"/>
    <x v="654"/>
    <x v="18"/>
    <n v="120"/>
    <n v="10"/>
    <n v="2021"/>
    <x v="0"/>
  </r>
  <r>
    <x v="657"/>
    <n v="533"/>
    <x v="2"/>
    <x v="5"/>
    <n v="15860"/>
    <m/>
    <x v="24"/>
    <x v="1110"/>
    <s v="Réparation"/>
    <x v="1365"/>
    <x v="655"/>
    <x v="18"/>
    <n v="240"/>
    <n v="10"/>
    <n v="2021"/>
    <x v="0"/>
  </r>
  <r>
    <x v="657"/>
    <n v="700"/>
    <x v="1"/>
    <x v="3"/>
    <n v="25851"/>
    <m/>
    <x v="37"/>
    <x v="1111"/>
    <s v="Réparation"/>
    <x v="1366"/>
    <x v="655"/>
    <x v="18"/>
    <n v="150"/>
    <n v="10"/>
    <n v="2021"/>
    <x v="0"/>
  </r>
  <r>
    <x v="658"/>
    <n v="800"/>
    <x v="1"/>
    <x v="2"/>
    <n v="15945"/>
    <m/>
    <x v="46"/>
    <x v="316"/>
    <s v="Réparation"/>
    <x v="1367"/>
    <x v="654"/>
    <x v="18"/>
    <n v="120"/>
    <n v="10"/>
    <n v="2021"/>
    <x v="0"/>
  </r>
  <r>
    <x v="658"/>
    <n v="800"/>
    <x v="1"/>
    <x v="2"/>
    <n v="15946"/>
    <m/>
    <x v="27"/>
    <x v="1112"/>
    <s v="Réparation"/>
    <x v="219"/>
    <x v="654"/>
    <x v="18"/>
    <n v="60"/>
    <n v="10"/>
    <n v="2021"/>
    <x v="0"/>
  </r>
  <r>
    <x v="658"/>
    <n v="560"/>
    <x v="0"/>
    <x v="0"/>
    <n v="15830"/>
    <m/>
    <x v="431"/>
    <x v="1113"/>
    <s v="Réparation"/>
    <x v="1368"/>
    <x v="654"/>
    <x v="129"/>
    <n v="480"/>
    <n v="10"/>
    <n v="2021"/>
    <x v="0"/>
  </r>
  <r>
    <x v="659"/>
    <n v="700"/>
    <x v="1"/>
    <x v="3"/>
    <n v="16154"/>
    <m/>
    <x v="297"/>
    <x v="1114"/>
    <s v="Réparation "/>
    <x v="1369"/>
    <x v="656"/>
    <x v="18"/>
    <n v="240"/>
    <n v="10"/>
    <n v="2021"/>
    <x v="0"/>
  </r>
  <r>
    <x v="660"/>
    <n v="800"/>
    <x v="1"/>
    <x v="2"/>
    <n v="15947"/>
    <m/>
    <x v="46"/>
    <x v="1115"/>
    <s v="Réparation"/>
    <x v="1370"/>
    <x v="657"/>
    <x v="18"/>
    <n v="180"/>
    <n v="10"/>
    <n v="2021"/>
    <x v="0"/>
  </r>
  <r>
    <x v="661"/>
    <n v="700"/>
    <x v="1"/>
    <x v="3"/>
    <n v="25812"/>
    <m/>
    <x v="432"/>
    <x v="1116"/>
    <s v="reparation "/>
    <x v="1371"/>
    <x v="658"/>
    <x v="18"/>
    <n v="420"/>
    <n v="10"/>
    <n v="2021"/>
    <x v="0"/>
  </r>
  <r>
    <x v="662"/>
    <n v="584"/>
    <x v="4"/>
    <x v="24"/>
    <n v="25951"/>
    <m/>
    <x v="65"/>
    <x v="1117"/>
    <s v="Réparation"/>
    <x v="1372"/>
    <x v="659"/>
    <x v="18"/>
    <n v="60"/>
    <n v="11"/>
    <n v="2021"/>
    <x v="0"/>
  </r>
  <r>
    <x v="662"/>
    <n v="581"/>
    <x v="0"/>
    <x v="10"/>
    <n v="25903"/>
    <m/>
    <x v="93"/>
    <x v="1118"/>
    <s v="Réparation"/>
    <x v="1373"/>
    <x v="659"/>
    <x v="18"/>
    <n v="90"/>
    <n v="11"/>
    <n v="2021"/>
    <x v="0"/>
  </r>
  <r>
    <x v="662"/>
    <n v="590"/>
    <x v="0"/>
    <x v="20"/>
    <n v="25904"/>
    <m/>
    <x v="433"/>
    <x v="501"/>
    <s v="Réparation"/>
    <x v="716"/>
    <x v="659"/>
    <x v="18"/>
    <n v="180"/>
    <n v="11"/>
    <n v="2021"/>
    <x v="0"/>
  </r>
  <r>
    <x v="662"/>
    <n v="581"/>
    <x v="0"/>
    <x v="10"/>
    <n v="25905"/>
    <m/>
    <x v="119"/>
    <x v="1119"/>
    <s v="Réparation"/>
    <x v="1374"/>
    <x v="659"/>
    <x v="18"/>
    <n v="60"/>
    <n v="11"/>
    <n v="2021"/>
    <x v="0"/>
  </r>
  <r>
    <x v="662"/>
    <n v="560"/>
    <x v="0"/>
    <x v="0"/>
    <n v="25806"/>
    <m/>
    <x v="434"/>
    <x v="1120"/>
    <s v="Réparation"/>
    <x v="1375"/>
    <x v="659"/>
    <x v="18"/>
    <n v="120"/>
    <n v="11"/>
    <n v="2021"/>
    <x v="0"/>
  </r>
  <r>
    <x v="662"/>
    <n v="582"/>
    <x v="0"/>
    <x v="1"/>
    <s v="NS"/>
    <m/>
    <x v="435"/>
    <x v="1121"/>
    <s v="Réparation"/>
    <x v="1376"/>
    <x v="660"/>
    <x v="18"/>
    <n v="9600"/>
    <n v="11"/>
    <n v="2021"/>
    <x v="0"/>
  </r>
  <r>
    <x v="662"/>
    <n v="570"/>
    <x v="0"/>
    <x v="16"/>
    <s v="NS"/>
    <m/>
    <x v="436"/>
    <x v="1122"/>
    <s v="Réparation"/>
    <x v="1377"/>
    <x v="661"/>
    <x v="18"/>
    <n v="5760"/>
    <n v="11"/>
    <n v="2021"/>
    <x v="0"/>
  </r>
  <r>
    <x v="662"/>
    <n v="584"/>
    <x v="4"/>
    <x v="24"/>
    <n v="25951"/>
    <m/>
    <x v="429"/>
    <x v="1123"/>
    <s v="reparation "/>
    <x v="1378"/>
    <x v="659"/>
    <x v="18"/>
    <n v="30"/>
    <n v="11"/>
    <n v="2021"/>
    <x v="0"/>
  </r>
  <r>
    <x v="662"/>
    <n v="560"/>
    <x v="0"/>
    <x v="0"/>
    <n v="25751"/>
    <m/>
    <x v="437"/>
    <x v="1124"/>
    <s v="reparation "/>
    <x v="1379"/>
    <x v="659"/>
    <x v="18"/>
    <n v="90"/>
    <n v="11"/>
    <n v="2021"/>
    <x v="0"/>
  </r>
  <r>
    <x v="662"/>
    <n v="573"/>
    <x v="4"/>
    <x v="23"/>
    <n v="25752"/>
    <m/>
    <x v="438"/>
    <x v="1125"/>
    <s v="reparation "/>
    <x v="1380"/>
    <x v="659"/>
    <x v="18"/>
    <n v="15"/>
    <n v="11"/>
    <n v="2021"/>
    <x v="0"/>
  </r>
  <r>
    <x v="662"/>
    <n v="581"/>
    <x v="0"/>
    <x v="10"/>
    <n v="25759"/>
    <m/>
    <x v="439"/>
    <x v="1126"/>
    <s v="reparation "/>
    <x v="1381"/>
    <x v="659"/>
    <x v="18"/>
    <n v="20"/>
    <n v="11"/>
    <n v="2021"/>
    <x v="0"/>
  </r>
  <r>
    <x v="662"/>
    <n v="560"/>
    <x v="0"/>
    <x v="0"/>
    <n v="25806"/>
    <m/>
    <x v="440"/>
    <x v="1127"/>
    <s v="reparatin "/>
    <x v="1382"/>
    <x v="659"/>
    <x v="18"/>
    <n v="120"/>
    <n v="11"/>
    <n v="2021"/>
    <x v="0"/>
  </r>
  <r>
    <x v="663"/>
    <n v="800"/>
    <x v="1"/>
    <x v="2"/>
    <n v="25852"/>
    <m/>
    <x v="9"/>
    <x v="1128"/>
    <s v="Réparation"/>
    <x v="1383"/>
    <x v="662"/>
    <x v="18"/>
    <n v="120"/>
    <n v="11"/>
    <n v="2021"/>
    <x v="0"/>
  </r>
  <r>
    <x v="663"/>
    <n v="590"/>
    <x v="0"/>
    <x v="20"/>
    <n v="25952"/>
    <m/>
    <x v="220"/>
    <x v="1129"/>
    <s v="Réparation"/>
    <x v="1384"/>
    <x v="662"/>
    <x v="18"/>
    <n v="1920"/>
    <n v="11"/>
    <n v="2021"/>
    <x v="0"/>
  </r>
  <r>
    <x v="663"/>
    <n v="581"/>
    <x v="0"/>
    <x v="10"/>
    <n v="25804"/>
    <m/>
    <x v="15"/>
    <x v="1130"/>
    <s v="Réparation"/>
    <x v="1385"/>
    <x v="662"/>
    <x v="18"/>
    <n v="240"/>
    <n v="11"/>
    <n v="2021"/>
    <x v="0"/>
  </r>
  <r>
    <x v="663"/>
    <n v="590"/>
    <x v="0"/>
    <x v="20"/>
    <n v="25952"/>
    <m/>
    <x v="429"/>
    <x v="1131"/>
    <s v="reparation "/>
    <x v="1386"/>
    <x v="662"/>
    <x v="18"/>
    <n v="180"/>
    <n v="11"/>
    <n v="2021"/>
    <x v="0"/>
  </r>
  <r>
    <x v="663"/>
    <n v="601"/>
    <x v="0"/>
    <x v="25"/>
    <n v="25954"/>
    <m/>
    <x v="441"/>
    <x v="1132"/>
    <s v="reparation "/>
    <x v="1387"/>
    <x v="662"/>
    <x v="18"/>
    <n v="90"/>
    <n v="11"/>
    <n v="2021"/>
    <x v="0"/>
  </r>
  <r>
    <x v="663"/>
    <n v="605"/>
    <x v="0"/>
    <x v="13"/>
    <n v="25753"/>
    <m/>
    <x v="442"/>
    <x v="1133"/>
    <s v="reparatin"/>
    <x v="1388"/>
    <x v="662"/>
    <x v="18"/>
    <n v="30"/>
    <n v="11"/>
    <n v="2021"/>
    <x v="0"/>
  </r>
  <r>
    <x v="663"/>
    <n v="590"/>
    <x v="0"/>
    <x v="20"/>
    <n v="25760"/>
    <m/>
    <x v="443"/>
    <x v="1134"/>
    <s v="reparation "/>
    <x v="1389"/>
    <x v="662"/>
    <x v="18"/>
    <n v="30"/>
    <n v="11"/>
    <n v="2021"/>
    <x v="0"/>
  </r>
  <r>
    <x v="663"/>
    <n v="581"/>
    <x v="0"/>
    <x v="10"/>
    <n v="25804"/>
    <m/>
    <x v="444"/>
    <x v="1135"/>
    <s v="reparation"/>
    <x v="1390"/>
    <x v="662"/>
    <x v="18"/>
    <n v="240"/>
    <n v="11"/>
    <n v="2021"/>
    <x v="0"/>
  </r>
  <r>
    <x v="664"/>
    <n v="580"/>
    <x v="0"/>
    <x v="11"/>
    <n v="25907"/>
    <m/>
    <x v="243"/>
    <x v="1136"/>
    <s v="Réparation"/>
    <x v="1391"/>
    <x v="663"/>
    <x v="18"/>
    <n v="45"/>
    <n v="11"/>
    <n v="2021"/>
    <x v="0"/>
  </r>
  <r>
    <x v="664"/>
    <n v="620"/>
    <x v="0"/>
    <x v="26"/>
    <n v="25815"/>
    <m/>
    <x v="158"/>
    <x v="1137"/>
    <s v="Réparation"/>
    <x v="1392"/>
    <x v="663"/>
    <x v="18"/>
    <n v="180"/>
    <n v="11"/>
    <n v="2021"/>
    <x v="0"/>
  </r>
  <r>
    <x v="664"/>
    <n v="620"/>
    <x v="0"/>
    <x v="26"/>
    <n v="25815"/>
    <m/>
    <x v="445"/>
    <x v="1138"/>
    <s v="reparation "/>
    <x v="1393"/>
    <x v="663"/>
    <x v="18"/>
    <n v="180"/>
    <n v="11"/>
    <n v="2021"/>
    <x v="0"/>
  </r>
  <r>
    <x v="665"/>
    <n v="590"/>
    <x v="0"/>
    <x v="20"/>
    <n v="25908"/>
    <m/>
    <x v="126"/>
    <x v="11"/>
    <s v="Réparation"/>
    <x v="513"/>
    <x v="460"/>
    <x v="18"/>
    <m/>
    <n v="1"/>
    <n v="2021"/>
    <x v="0"/>
  </r>
  <r>
    <x v="665"/>
    <n v="581"/>
    <x v="0"/>
    <x v="10"/>
    <n v="25910"/>
    <m/>
    <x v="15"/>
    <x v="1139"/>
    <s v="Réparation"/>
    <x v="1394"/>
    <x v="664"/>
    <x v="18"/>
    <n v="180"/>
    <n v="11"/>
    <n v="2021"/>
    <x v="0"/>
  </r>
  <r>
    <x v="665"/>
    <n v="602"/>
    <x v="0"/>
    <x v="34"/>
    <n v="25805"/>
    <m/>
    <x v="0"/>
    <x v="1140"/>
    <s v="Réparation"/>
    <x v="529"/>
    <x v="664"/>
    <x v="18"/>
    <n v="240"/>
    <n v="11"/>
    <n v="2021"/>
    <x v="0"/>
  </r>
  <r>
    <x v="665"/>
    <n v="602"/>
    <x v="0"/>
    <x v="34"/>
    <n v="25805"/>
    <m/>
    <x v="446"/>
    <x v="1141"/>
    <s v="reparation "/>
    <x v="1395"/>
    <x v="664"/>
    <x v="18"/>
    <n v="240"/>
    <n v="11"/>
    <n v="2021"/>
    <x v="0"/>
  </r>
  <r>
    <x v="666"/>
    <n v="565"/>
    <x v="0"/>
    <x v="4"/>
    <n v="25814"/>
    <m/>
    <x v="447"/>
    <x v="1142"/>
    <s v="reparation "/>
    <x v="1396"/>
    <x v="665"/>
    <x v="18"/>
    <n v="240"/>
    <n v="11"/>
    <n v="2021"/>
    <x v="0"/>
  </r>
  <r>
    <x v="667"/>
    <n v="700"/>
    <x v="1"/>
    <x v="3"/>
    <n v="25853"/>
    <m/>
    <x v="9"/>
    <x v="1143"/>
    <s v="Réparation"/>
    <x v="1397"/>
    <x v="666"/>
    <x v="18"/>
    <n v="40"/>
    <n v="11"/>
    <n v="2021"/>
    <x v="0"/>
  </r>
  <r>
    <x v="667"/>
    <n v="590"/>
    <x v="0"/>
    <x v="20"/>
    <n v="25911"/>
    <m/>
    <x v="17"/>
    <x v="1144"/>
    <s v="Réparation "/>
    <x v="1398"/>
    <x v="666"/>
    <x v="18"/>
    <n v="180"/>
    <n v="11"/>
    <n v="2021"/>
    <x v="0"/>
  </r>
  <r>
    <x v="668"/>
    <n v="565"/>
    <x v="0"/>
    <x v="4"/>
    <n v="25819"/>
    <m/>
    <x v="448"/>
    <x v="1145"/>
    <s v="reparation "/>
    <x v="1399"/>
    <x v="667"/>
    <x v="18"/>
    <n v="120"/>
    <n v="11"/>
    <n v="2021"/>
    <x v="0"/>
  </r>
  <r>
    <x v="669"/>
    <n v="800"/>
    <x v="1"/>
    <x v="2"/>
    <n v="25854"/>
    <m/>
    <x v="449"/>
    <x v="1146"/>
    <s v="Réparation"/>
    <x v="1400"/>
    <x v="668"/>
    <x v="18"/>
    <n v="40"/>
    <n v="11"/>
    <n v="2021"/>
    <x v="0"/>
  </r>
  <r>
    <x v="669"/>
    <n v="800"/>
    <x v="1"/>
    <x v="2"/>
    <n v="25855"/>
    <m/>
    <x v="49"/>
    <x v="1009"/>
    <s v="Réparation"/>
    <x v="1401"/>
    <x v="668"/>
    <x v="130"/>
    <n v="360"/>
    <n v="11"/>
    <n v="2021"/>
    <x v="0"/>
  </r>
  <r>
    <x v="669"/>
    <n v="590"/>
    <x v="0"/>
    <x v="20"/>
    <n v="25912"/>
    <m/>
    <x v="450"/>
    <x v="1147"/>
    <s v="Réparation"/>
    <x v="1402"/>
    <x v="668"/>
    <x v="18"/>
    <m/>
    <n v="11"/>
    <n v="2021"/>
    <x v="0"/>
  </r>
  <r>
    <x v="669"/>
    <n v="581"/>
    <x v="0"/>
    <x v="10"/>
    <n v="25913"/>
    <m/>
    <x v="45"/>
    <x v="217"/>
    <s v="Réparation"/>
    <x v="1403"/>
    <x v="668"/>
    <x v="18"/>
    <m/>
    <n v="11"/>
    <n v="2021"/>
    <x v="0"/>
  </r>
  <r>
    <x v="670"/>
    <n v="562"/>
    <x v="4"/>
    <x v="8"/>
    <n v="25955"/>
    <m/>
    <x v="218"/>
    <x v="897"/>
    <s v="Réparation"/>
    <x v="1404"/>
    <x v="669"/>
    <x v="18"/>
    <n v="45"/>
    <n v="11"/>
    <n v="2021"/>
    <x v="0"/>
  </r>
  <r>
    <x v="670"/>
    <n v="562"/>
    <x v="4"/>
    <x v="8"/>
    <n v="25955"/>
    <m/>
    <x v="451"/>
    <x v="1148"/>
    <s v="reparation "/>
    <x v="1405"/>
    <x v="669"/>
    <x v="18"/>
    <n v="45"/>
    <n v="11"/>
    <n v="2021"/>
    <x v="0"/>
  </r>
  <r>
    <x v="670"/>
    <n v="700"/>
    <x v="1"/>
    <x v="3"/>
    <n v="25956"/>
    <m/>
    <x v="452"/>
    <x v="1149"/>
    <s v="reparation "/>
    <x v="1406"/>
    <x v="669"/>
    <x v="18"/>
    <n v="120"/>
    <n v="11"/>
    <n v="2021"/>
    <x v="0"/>
  </r>
  <r>
    <x v="671"/>
    <n v="700"/>
    <x v="1"/>
    <x v="3"/>
    <n v="25856"/>
    <m/>
    <x v="8"/>
    <x v="1150"/>
    <s v="Réparation"/>
    <x v="1407"/>
    <x v="670"/>
    <x v="18"/>
    <n v="60"/>
    <n v="11"/>
    <n v="2021"/>
    <x v="0"/>
  </r>
  <r>
    <x v="671"/>
    <n v="800"/>
    <x v="1"/>
    <x v="2"/>
    <n v="25857"/>
    <m/>
    <x v="177"/>
    <x v="1151"/>
    <s v="Réparation"/>
    <x v="1408"/>
    <x v="670"/>
    <x v="131"/>
    <n v="180"/>
    <n v="11"/>
    <n v="2021"/>
    <x v="0"/>
  </r>
  <r>
    <x v="671"/>
    <n v="700"/>
    <x v="1"/>
    <x v="3"/>
    <n v="25858"/>
    <m/>
    <x v="25"/>
    <x v="270"/>
    <s v="Réparation"/>
    <x v="1409"/>
    <x v="670"/>
    <x v="18"/>
    <n v="40"/>
    <n v="11"/>
    <n v="2021"/>
    <x v="0"/>
  </r>
  <r>
    <x v="671"/>
    <n v="800"/>
    <x v="1"/>
    <x v="2"/>
    <n v="25859"/>
    <m/>
    <x v="51"/>
    <x v="54"/>
    <s v="Réparation"/>
    <x v="275"/>
    <x v="670"/>
    <x v="132"/>
    <n v="90"/>
    <n v="11"/>
    <n v="2021"/>
    <x v="1"/>
  </r>
  <r>
    <x v="671"/>
    <n v="565"/>
    <x v="0"/>
    <x v="4"/>
    <n v="25807"/>
    <m/>
    <x v="0"/>
    <x v="1152"/>
    <s v="Réparation"/>
    <x v="1410"/>
    <x v="670"/>
    <x v="18"/>
    <n v="240"/>
    <n v="11"/>
    <n v="2021"/>
    <x v="0"/>
  </r>
  <r>
    <x v="671"/>
    <n v="700"/>
    <x v="1"/>
    <x v="3"/>
    <n v="25957"/>
    <m/>
    <x v="453"/>
    <x v="1153"/>
    <s v="reparation "/>
    <x v="1411"/>
    <x v="670"/>
    <x v="18"/>
    <n v="125"/>
    <n v="11"/>
    <n v="2021"/>
    <x v="0"/>
  </r>
  <r>
    <x v="671"/>
    <n v="620"/>
    <x v="0"/>
    <x v="26"/>
    <n v="25754"/>
    <m/>
    <x v="454"/>
    <x v="1154"/>
    <s v="reparation "/>
    <x v="1412"/>
    <x v="670"/>
    <x v="18"/>
    <n v="30"/>
    <n v="11"/>
    <n v="2021"/>
    <x v="0"/>
  </r>
  <r>
    <x v="671"/>
    <n v="605"/>
    <x v="0"/>
    <x v="13"/>
    <n v="25755"/>
    <m/>
    <x v="455"/>
    <x v="1155"/>
    <s v="reparation"/>
    <x v="1413"/>
    <x v="670"/>
    <x v="18"/>
    <n v="60"/>
    <n v="11"/>
    <n v="2021"/>
    <x v="0"/>
  </r>
  <r>
    <x v="671"/>
    <n v="565"/>
    <x v="0"/>
    <x v="4"/>
    <n v="25807"/>
    <m/>
    <x v="456"/>
    <x v="1156"/>
    <s v="reparation"/>
    <x v="1414"/>
    <x v="670"/>
    <x v="18"/>
    <n v="60"/>
    <n v="11"/>
    <n v="2021"/>
    <x v="0"/>
  </r>
  <r>
    <x v="671"/>
    <n v="610"/>
    <x v="0"/>
    <x v="28"/>
    <n v="25813"/>
    <m/>
    <x v="429"/>
    <x v="1157"/>
    <s v="reparation"/>
    <x v="1415"/>
    <x v="670"/>
    <x v="18"/>
    <n v="120"/>
    <n v="11"/>
    <n v="2021"/>
    <x v="0"/>
  </r>
  <r>
    <x v="672"/>
    <n v="700"/>
    <x v="1"/>
    <x v="3"/>
    <n v="25958"/>
    <m/>
    <x v="457"/>
    <x v="1158"/>
    <s v="reparation "/>
    <x v="1416"/>
    <x v="671"/>
    <x v="18"/>
    <n v="120"/>
    <n v="11"/>
    <n v="2021"/>
    <x v="0"/>
  </r>
  <r>
    <x v="672"/>
    <n v="565"/>
    <x v="0"/>
    <x v="4"/>
    <n v="25756"/>
    <m/>
    <x v="458"/>
    <x v="1159"/>
    <s v="reparation "/>
    <x v="1417"/>
    <x v="671"/>
    <x v="18"/>
    <n v="20"/>
    <n v="11"/>
    <n v="2021"/>
    <x v="0"/>
  </r>
  <r>
    <x v="672"/>
    <n v="565"/>
    <x v="0"/>
    <x v="4"/>
    <n v="25757"/>
    <m/>
    <x v="425"/>
    <x v="1160"/>
    <s v="reparation "/>
    <x v="1418"/>
    <x v="671"/>
    <x v="18"/>
    <n v="30"/>
    <n v="11"/>
    <n v="2021"/>
    <x v="0"/>
  </r>
  <r>
    <x v="672"/>
    <n v="565"/>
    <x v="0"/>
    <x v="4"/>
    <n v="25758"/>
    <m/>
    <x v="459"/>
    <x v="1161"/>
    <s v="reparation "/>
    <x v="1419"/>
    <x v="671"/>
    <x v="18"/>
    <n v="20"/>
    <n v="11"/>
    <n v="2021"/>
    <x v="0"/>
  </r>
  <r>
    <x v="673"/>
    <n v="571"/>
    <x v="0"/>
    <x v="7"/>
    <n v="25822"/>
    <m/>
    <x v="460"/>
    <x v="1162"/>
    <s v="reparation "/>
    <x v="1420"/>
    <x v="672"/>
    <x v="18"/>
    <n v="120"/>
    <n v="11"/>
    <n v="2021"/>
    <x v="0"/>
  </r>
  <r>
    <x v="674"/>
    <n v="581"/>
    <x v="0"/>
    <x v="10"/>
    <n v="25917"/>
    <m/>
    <x v="246"/>
    <x v="1163"/>
    <s v="Réparation"/>
    <x v="1421"/>
    <x v="673"/>
    <x v="18"/>
    <m/>
    <n v="11"/>
    <n v="2021"/>
    <x v="0"/>
  </r>
  <r>
    <x v="674"/>
    <n v="590"/>
    <x v="0"/>
    <x v="20"/>
    <n v="25918"/>
    <m/>
    <x v="2"/>
    <x v="1164"/>
    <s v="Réparation"/>
    <x v="1422"/>
    <x v="673"/>
    <x v="18"/>
    <n v="40"/>
    <n v="11"/>
    <n v="2021"/>
    <x v="0"/>
  </r>
  <r>
    <x v="675"/>
    <n v="565"/>
    <x v="0"/>
    <x v="4"/>
    <n v="25810"/>
    <m/>
    <x v="282"/>
    <x v="1165"/>
    <s v="Réparation"/>
    <x v="1423"/>
    <x v="674"/>
    <x v="18"/>
    <n v="1920"/>
    <n v="11"/>
    <n v="2021"/>
    <x v="0"/>
  </r>
  <r>
    <x v="675"/>
    <n v="581"/>
    <x v="0"/>
    <x v="10"/>
    <n v="25919"/>
    <m/>
    <x v="45"/>
    <x v="217"/>
    <s v="Réparation"/>
    <x v="458"/>
    <x v="675"/>
    <x v="18"/>
    <m/>
    <n v="11"/>
    <n v="2021"/>
    <x v="0"/>
  </r>
  <r>
    <x v="675"/>
    <n v="561"/>
    <x v="4"/>
    <x v="18"/>
    <n v="25768"/>
    <m/>
    <x v="429"/>
    <x v="1166"/>
    <s v="reparation "/>
    <x v="1424"/>
    <x v="315"/>
    <x v="18"/>
    <n v="10"/>
    <n v="11"/>
    <n v="2021"/>
    <x v="0"/>
  </r>
  <r>
    <x v="675"/>
    <n v="565"/>
    <x v="0"/>
    <x v="4"/>
    <n v="25810"/>
    <m/>
    <x v="461"/>
    <x v="1167"/>
    <s v="reparation "/>
    <x v="1425"/>
    <x v="675"/>
    <x v="18"/>
    <s v="4 jours "/>
    <n v="11"/>
    <n v="2021"/>
    <x v="0"/>
  </r>
  <r>
    <x v="676"/>
    <n v="800"/>
    <x v="1"/>
    <x v="2"/>
    <n v="25860"/>
    <m/>
    <x v="92"/>
    <x v="1168"/>
    <s v="Entretien"/>
    <x v="1426"/>
    <x v="676"/>
    <x v="133"/>
    <n v="4800"/>
    <n v="11"/>
    <n v="2021"/>
    <x v="0"/>
  </r>
  <r>
    <x v="676"/>
    <n v="580"/>
    <x v="0"/>
    <x v="11"/>
    <n v="25920"/>
    <m/>
    <x v="65"/>
    <x v="1136"/>
    <s v="Réparation"/>
    <x v="1427"/>
    <x v="677"/>
    <x v="18"/>
    <n v="60"/>
    <n v="11"/>
    <n v="2021"/>
    <x v="0"/>
  </r>
  <r>
    <x v="677"/>
    <n v="590"/>
    <x v="0"/>
    <x v="20"/>
    <n v="25921"/>
    <m/>
    <x v="87"/>
    <x v="622"/>
    <s v="Réparation"/>
    <x v="716"/>
    <x v="661"/>
    <x v="18"/>
    <n v="90"/>
    <n v="11"/>
    <n v="2021"/>
    <x v="0"/>
  </r>
  <r>
    <x v="677"/>
    <n v="620"/>
    <x v="0"/>
    <x v="26"/>
    <n v="25823"/>
    <m/>
    <x v="462"/>
    <x v="1169"/>
    <s v="reparation "/>
    <x v="1428"/>
    <x v="661"/>
    <x v="18"/>
    <n v="120"/>
    <n v="11"/>
    <n v="2021"/>
    <x v="0"/>
  </r>
  <r>
    <x v="678"/>
    <n v="800"/>
    <x v="1"/>
    <x v="2"/>
    <m/>
    <m/>
    <x v="51"/>
    <x v="472"/>
    <s v="Vidange"/>
    <x v="1429"/>
    <x v="678"/>
    <x v="18"/>
    <n v="60"/>
    <n v="11"/>
    <n v="2021"/>
    <x v="0"/>
  </r>
  <r>
    <x v="679"/>
    <n v="581"/>
    <x v="0"/>
    <x v="10"/>
    <n v="25923"/>
    <m/>
    <x v="303"/>
    <x v="1170"/>
    <s v="Réparation"/>
    <x v="261"/>
    <x v="674"/>
    <x v="18"/>
    <m/>
    <n v="11"/>
    <n v="2021"/>
    <x v="0"/>
  </r>
  <r>
    <x v="679"/>
    <n v="571"/>
    <x v="0"/>
    <x v="7"/>
    <n v="25761"/>
    <m/>
    <x v="463"/>
    <x v="1171"/>
    <s v="reparation "/>
    <x v="1430"/>
    <x v="674"/>
    <x v="18"/>
    <n v="95"/>
    <n v="11"/>
    <n v="2021"/>
    <x v="0"/>
  </r>
  <r>
    <x v="680"/>
    <n v="700"/>
    <x v="1"/>
    <x v="3"/>
    <n v="25861"/>
    <m/>
    <x v="297"/>
    <x v="1172"/>
    <s v="Réparation"/>
    <x v="1431"/>
    <x v="679"/>
    <x v="18"/>
    <n v="120"/>
    <n v="11"/>
    <n v="2021"/>
    <x v="0"/>
  </r>
  <r>
    <x v="680"/>
    <n v="580"/>
    <x v="0"/>
    <x v="11"/>
    <n v="25928"/>
    <m/>
    <x v="87"/>
    <x v="1173"/>
    <s v="Réparation"/>
    <x v="1432"/>
    <x v="680"/>
    <x v="18"/>
    <n v="480"/>
    <n v="11"/>
    <n v="2021"/>
    <x v="0"/>
  </r>
  <r>
    <x v="681"/>
    <n v="568"/>
    <x v="4"/>
    <x v="14"/>
    <n v="25964"/>
    <m/>
    <x v="429"/>
    <x v="1174"/>
    <s v="reparation "/>
    <x v="1433"/>
    <x v="681"/>
    <x v="18"/>
    <n v="45"/>
    <n v="11"/>
    <n v="2021"/>
    <x v="0"/>
  </r>
  <r>
    <x v="681"/>
    <n v="584"/>
    <x v="4"/>
    <x v="24"/>
    <n v="25965"/>
    <m/>
    <x v="464"/>
    <x v="1175"/>
    <s v="reparation "/>
    <x v="1434"/>
    <x v="681"/>
    <x v="18"/>
    <n v="60"/>
    <n v="11"/>
    <n v="2021"/>
    <x v="0"/>
  </r>
  <r>
    <x v="682"/>
    <n v="700"/>
    <x v="1"/>
    <x v="3"/>
    <n v="25862"/>
    <m/>
    <x v="69"/>
    <x v="1176"/>
    <s v="Réparation"/>
    <x v="1435"/>
    <x v="676"/>
    <x v="18"/>
    <n v="120"/>
    <n v="11"/>
    <n v="2021"/>
    <x v="0"/>
  </r>
  <r>
    <x v="682"/>
    <n v="565"/>
    <x v="0"/>
    <x v="4"/>
    <n v="25762"/>
    <m/>
    <x v="465"/>
    <x v="1177"/>
    <s v="reparation "/>
    <x v="1436"/>
    <x v="676"/>
    <x v="18"/>
    <n v="20"/>
    <n v="11"/>
    <n v="2021"/>
    <x v="0"/>
  </r>
  <r>
    <x v="683"/>
    <n v="590"/>
    <x v="0"/>
    <x v="20"/>
    <n v="26001"/>
    <m/>
    <x v="87"/>
    <x v="77"/>
    <s v="Réparation"/>
    <x v="779"/>
    <x v="682"/>
    <x v="18"/>
    <n v="240"/>
    <n v="11"/>
    <n v="2021"/>
    <x v="0"/>
  </r>
  <r>
    <x v="683"/>
    <n v="590"/>
    <x v="0"/>
    <x v="20"/>
    <n v="26002"/>
    <m/>
    <x v="237"/>
    <x v="217"/>
    <s v="Réparation"/>
    <x v="1437"/>
    <x v="682"/>
    <x v="18"/>
    <m/>
    <n v="11"/>
    <n v="2021"/>
    <x v="0"/>
  </r>
  <r>
    <x v="683"/>
    <n v="581"/>
    <x v="0"/>
    <x v="10"/>
    <n v="25960"/>
    <m/>
    <x v="429"/>
    <x v="1178"/>
    <s v="reparation "/>
    <x v="1438"/>
    <x v="682"/>
    <x v="18"/>
    <n v="90"/>
    <n v="11"/>
    <n v="2021"/>
    <x v="0"/>
  </r>
  <r>
    <x v="684"/>
    <n v="700"/>
    <x v="1"/>
    <x v="3"/>
    <n v="25863"/>
    <m/>
    <x v="46"/>
    <x v="1179"/>
    <s v="Réparation"/>
    <x v="1439"/>
    <x v="315"/>
    <x v="18"/>
    <n v="60"/>
    <n v="11"/>
    <n v="2021"/>
    <x v="0"/>
  </r>
  <r>
    <x v="684"/>
    <n v="700"/>
    <x v="1"/>
    <x v="3"/>
    <n v="25864"/>
    <m/>
    <x v="24"/>
    <x v="1180"/>
    <s v="Réparation"/>
    <x v="621"/>
    <x v="315"/>
    <x v="18"/>
    <n v="60"/>
    <n v="11"/>
    <n v="2021"/>
    <x v="0"/>
  </r>
  <r>
    <x v="684"/>
    <n v="590"/>
    <x v="0"/>
    <x v="20"/>
    <n v="26005"/>
    <m/>
    <x v="233"/>
    <x v="1170"/>
    <s v="Réparation"/>
    <x v="902"/>
    <x v="315"/>
    <x v="18"/>
    <n v="150"/>
    <n v="11"/>
    <n v="2021"/>
    <x v="0"/>
  </r>
  <r>
    <x v="684"/>
    <n v="590"/>
    <x v="0"/>
    <x v="20"/>
    <n v="26006"/>
    <m/>
    <x v="118"/>
    <x v="1181"/>
    <s v="Réparation"/>
    <x v="99"/>
    <x v="315"/>
    <x v="18"/>
    <m/>
    <n v="11"/>
    <n v="2021"/>
    <x v="0"/>
  </r>
  <r>
    <x v="684"/>
    <n v="580"/>
    <x v="0"/>
    <x v="11"/>
    <n v="25961"/>
    <m/>
    <x v="466"/>
    <x v="1182"/>
    <s v="reparation "/>
    <x v="1440"/>
    <x v="315"/>
    <x v="18"/>
    <n v="50"/>
    <n v="11"/>
    <n v="2021"/>
    <x v="0"/>
  </r>
  <r>
    <x v="684"/>
    <n v="580"/>
    <x v="0"/>
    <x v="11"/>
    <n v="25962"/>
    <m/>
    <x v="467"/>
    <x v="1183"/>
    <s v="reparation "/>
    <x v="1433"/>
    <x v="315"/>
    <x v="18"/>
    <n v="30"/>
    <n v="11"/>
    <n v="2021"/>
    <x v="0"/>
  </r>
  <r>
    <x v="685"/>
    <n v="700"/>
    <x v="1"/>
    <x v="3"/>
    <n v="25865"/>
    <m/>
    <x v="27"/>
    <x v="1184"/>
    <s v="Réparation"/>
    <x v="1441"/>
    <x v="683"/>
    <x v="18"/>
    <n v="40"/>
    <n v="11"/>
    <n v="2021"/>
    <x v="0"/>
  </r>
  <r>
    <x v="685"/>
    <n v="580"/>
    <x v="0"/>
    <x v="11"/>
    <n v="26004"/>
    <m/>
    <x v="243"/>
    <x v="1185"/>
    <s v="Réparation"/>
    <x v="1442"/>
    <x v="683"/>
    <x v="18"/>
    <n v="120"/>
    <n v="11"/>
    <n v="2021"/>
    <x v="0"/>
  </r>
  <r>
    <x v="685"/>
    <n v="590"/>
    <x v="0"/>
    <x v="20"/>
    <n v="26007"/>
    <m/>
    <x v="9"/>
    <x v="986"/>
    <s v="Réparation"/>
    <x v="1443"/>
    <x v="683"/>
    <x v="18"/>
    <m/>
    <n v="11"/>
    <n v="2021"/>
    <x v="0"/>
  </r>
  <r>
    <x v="686"/>
    <n v="700"/>
    <x v="1"/>
    <x v="3"/>
    <n v="25866"/>
    <m/>
    <x v="58"/>
    <x v="1186"/>
    <s v="Réparation"/>
    <x v="1444"/>
    <x v="660"/>
    <x v="18"/>
    <n v="120"/>
    <n v="11"/>
    <n v="2021"/>
    <x v="0"/>
  </r>
  <r>
    <x v="686"/>
    <n v="800"/>
    <x v="1"/>
    <x v="2"/>
    <n v="25868"/>
    <m/>
    <x v="55"/>
    <x v="1187"/>
    <s v="Réparation"/>
    <x v="657"/>
    <x v="660"/>
    <x v="18"/>
    <n v="60"/>
    <n v="11"/>
    <n v="2021"/>
    <x v="0"/>
  </r>
  <r>
    <x v="686"/>
    <n v="560"/>
    <x v="0"/>
    <x v="0"/>
    <n v="25809"/>
    <m/>
    <x v="78"/>
    <x v="1188"/>
    <s v="Réparation"/>
    <x v="1445"/>
    <x v="684"/>
    <x v="18"/>
    <n v="1440"/>
    <n v="11"/>
    <n v="2021"/>
    <x v="0"/>
  </r>
  <r>
    <x v="686"/>
    <n v="605"/>
    <x v="0"/>
    <x v="13"/>
    <n v="25765"/>
    <m/>
    <x v="468"/>
    <x v="1189"/>
    <s v="reparation "/>
    <x v="1446"/>
    <x v="660"/>
    <x v="18"/>
    <n v="30"/>
    <n v="11"/>
    <n v="2021"/>
    <x v="0"/>
  </r>
  <r>
    <x v="686"/>
    <n v="571"/>
    <x v="0"/>
    <x v="7"/>
    <n v="25824"/>
    <m/>
    <x v="469"/>
    <x v="1190"/>
    <s v="reparation"/>
    <x v="1447"/>
    <x v="660"/>
    <x v="18"/>
    <n v="240"/>
    <n v="11"/>
    <n v="2021"/>
    <x v="0"/>
  </r>
  <r>
    <x v="686"/>
    <n v="560"/>
    <x v="0"/>
    <x v="0"/>
    <n v="25825"/>
    <m/>
    <x v="470"/>
    <x v="1191"/>
    <s v="reparation"/>
    <x v="1448"/>
    <x v="660"/>
    <x v="18"/>
    <n v="240"/>
    <n v="11"/>
    <n v="2021"/>
    <x v="0"/>
  </r>
  <r>
    <x v="687"/>
    <n v="562"/>
    <x v="4"/>
    <x v="8"/>
    <n v="25984"/>
    <m/>
    <x v="429"/>
    <x v="1192"/>
    <s v="reparation"/>
    <x v="1449"/>
    <x v="685"/>
    <x v="18"/>
    <n v="45"/>
    <n v="11"/>
    <n v="2021"/>
    <x v="0"/>
  </r>
  <r>
    <x v="687"/>
    <n v="601"/>
    <x v="0"/>
    <x v="25"/>
    <n v="25766"/>
    <m/>
    <x v="471"/>
    <x v="1193"/>
    <s v="reparation "/>
    <x v="1450"/>
    <x v="686"/>
    <x v="18"/>
    <n v="30"/>
    <n v="11"/>
    <n v="2011"/>
    <x v="0"/>
  </r>
  <r>
    <x v="688"/>
    <n v="700"/>
    <x v="1"/>
    <x v="3"/>
    <n v="25869"/>
    <m/>
    <x v="8"/>
    <x v="87"/>
    <s v="Réparation"/>
    <x v="1451"/>
    <x v="684"/>
    <x v="18"/>
    <n v="460"/>
    <n v="11"/>
    <n v="2021"/>
    <x v="0"/>
  </r>
  <r>
    <x v="688"/>
    <n v="800"/>
    <x v="1"/>
    <x v="2"/>
    <n v="25870"/>
    <m/>
    <x v="37"/>
    <x v="1194"/>
    <s v="Réparation"/>
    <x v="1452"/>
    <x v="684"/>
    <x v="18"/>
    <n v="40"/>
    <n v="11"/>
    <n v="2021"/>
    <x v="0"/>
  </r>
  <r>
    <x v="688"/>
    <n v="534"/>
    <x v="2"/>
    <x v="27"/>
    <n v="25871"/>
    <m/>
    <x v="472"/>
    <x v="1195"/>
    <s v="Réparation"/>
    <x v="1453"/>
    <x v="684"/>
    <x v="18"/>
    <n v="120"/>
    <n v="11"/>
    <n v="2021"/>
    <x v="0"/>
  </r>
  <r>
    <x v="688"/>
    <n v="606"/>
    <x v="0"/>
    <x v="17"/>
    <n v="25816"/>
    <m/>
    <x v="0"/>
    <x v="1196"/>
    <s v="Réparation"/>
    <x v="1454"/>
    <x v="684"/>
    <x v="18"/>
    <n v="120"/>
    <n v="11"/>
    <n v="2021"/>
    <x v="0"/>
  </r>
  <r>
    <x v="688"/>
    <n v="700"/>
    <x v="1"/>
    <x v="3"/>
    <n v="25963"/>
    <m/>
    <x v="473"/>
    <x v="1197"/>
    <s v="reparation"/>
    <x v="1455"/>
    <x v="684"/>
    <x v="18"/>
    <n v="120"/>
    <n v="11"/>
    <n v="2021"/>
    <x v="0"/>
  </r>
  <r>
    <x v="688"/>
    <n v="606"/>
    <x v="0"/>
    <x v="17"/>
    <n v="25816"/>
    <m/>
    <x v="474"/>
    <x v="1198"/>
    <s v="reparation"/>
    <x v="1456"/>
    <x v="684"/>
    <x v="18"/>
    <n v="60"/>
    <n v="11"/>
    <n v="2021"/>
    <x v="0"/>
  </r>
  <r>
    <x v="688"/>
    <n v="606"/>
    <x v="0"/>
    <x v="17"/>
    <n v="25826"/>
    <m/>
    <x v="475"/>
    <x v="1199"/>
    <s v="reparation "/>
    <x v="1457"/>
    <x v="684"/>
    <x v="18"/>
    <n v="120"/>
    <n v="11"/>
    <n v="2021"/>
    <x v="0"/>
  </r>
  <r>
    <x v="689"/>
    <n v="581"/>
    <x v="0"/>
    <x v="10"/>
    <n v="26008"/>
    <m/>
    <x v="15"/>
    <x v="1200"/>
    <s v="Réparation"/>
    <x v="1458"/>
    <x v="687"/>
    <x v="18"/>
    <n v="55"/>
    <n v="11"/>
    <n v="2021"/>
    <x v="0"/>
  </r>
  <r>
    <x v="689"/>
    <n v="581"/>
    <x v="0"/>
    <x v="10"/>
    <n v="26009"/>
    <m/>
    <x v="9"/>
    <x v="189"/>
    <s v="Réparation"/>
    <x v="1459"/>
    <x v="687"/>
    <x v="18"/>
    <n v="15"/>
    <n v="11"/>
    <n v="2021"/>
    <x v="0"/>
  </r>
  <r>
    <x v="689"/>
    <n v="568"/>
    <x v="4"/>
    <x v="14"/>
    <n v="25966"/>
    <m/>
    <x v="429"/>
    <x v="1201"/>
    <s v="reparation "/>
    <x v="1460"/>
    <x v="687"/>
    <x v="18"/>
    <n v="45"/>
    <n v="11"/>
    <n v="2021"/>
    <x v="0"/>
  </r>
  <r>
    <x v="689"/>
    <n v="573"/>
    <x v="4"/>
    <x v="23"/>
    <n v="25767"/>
    <m/>
    <x v="429"/>
    <x v="1202"/>
    <s v="reparation "/>
    <x v="1461"/>
    <x v="687"/>
    <x v="18"/>
    <n v="10"/>
    <n v="11"/>
    <n v="2021"/>
    <x v="0"/>
  </r>
  <r>
    <x v="690"/>
    <n v="700"/>
    <x v="1"/>
    <x v="3"/>
    <n v="25874"/>
    <m/>
    <x v="49"/>
    <x v="1203"/>
    <s v="Réparation"/>
    <x v="1462"/>
    <x v="688"/>
    <x v="18"/>
    <n v="180"/>
    <n v="12"/>
    <n v="2021"/>
    <x v="0"/>
  </r>
  <r>
    <x v="690"/>
    <n v="581"/>
    <x v="0"/>
    <x v="10"/>
    <n v="25967"/>
    <m/>
    <x v="476"/>
    <x v="1204"/>
    <s v="reparation"/>
    <x v="1463"/>
    <x v="688"/>
    <x v="18"/>
    <n v="90"/>
    <n v="12"/>
    <n v="2021"/>
    <x v="0"/>
  </r>
  <r>
    <x v="690"/>
    <n v="581"/>
    <x v="0"/>
    <x v="10"/>
    <n v="25769"/>
    <m/>
    <x v="477"/>
    <x v="1205"/>
    <s v="reparation "/>
    <x v="1464"/>
    <x v="688"/>
    <x v="18"/>
    <n v="90"/>
    <n v="12"/>
    <n v="2021"/>
    <x v="0"/>
  </r>
  <r>
    <x v="691"/>
    <n v="700"/>
    <x v="1"/>
    <x v="3"/>
    <n v="25875"/>
    <m/>
    <x v="478"/>
    <x v="1206"/>
    <s v="Réparation"/>
    <x v="828"/>
    <x v="689"/>
    <x v="18"/>
    <n v="180"/>
    <n v="12"/>
    <n v="2021"/>
    <x v="0"/>
  </r>
  <r>
    <x v="691"/>
    <n v="582"/>
    <x v="0"/>
    <x v="1"/>
    <n v="25968"/>
    <m/>
    <x v="479"/>
    <x v="1207"/>
    <s v="reparation "/>
    <x v="1465"/>
    <x v="689"/>
    <x v="18"/>
    <n v="60"/>
    <n v="12"/>
    <n v="2021"/>
    <x v="0"/>
  </r>
  <r>
    <x v="692"/>
    <n v="800"/>
    <x v="1"/>
    <x v="2"/>
    <n v="25876"/>
    <m/>
    <x v="480"/>
    <x v="1208"/>
    <s v="Réparation"/>
    <x v="1466"/>
    <x v="690"/>
    <x v="18"/>
    <n v="60"/>
    <n v="12"/>
    <n v="2021"/>
    <x v="0"/>
  </r>
  <r>
    <x v="692"/>
    <n v="581"/>
    <x v="0"/>
    <x v="10"/>
    <n v="26011"/>
    <m/>
    <x v="224"/>
    <x v="1209"/>
    <s v="Réparation"/>
    <x v="472"/>
    <x v="690"/>
    <x v="18"/>
    <m/>
    <n v="12"/>
    <n v="2021"/>
    <x v="0"/>
  </r>
  <r>
    <x v="692"/>
    <n v="581"/>
    <x v="0"/>
    <x v="10"/>
    <n v="25969"/>
    <m/>
    <x v="429"/>
    <x v="1210"/>
    <s v="reparation  "/>
    <x v="1467"/>
    <x v="690"/>
    <x v="18"/>
    <n v="30"/>
    <n v="12"/>
    <n v="2021"/>
    <x v="0"/>
  </r>
  <r>
    <x v="693"/>
    <n v="590"/>
    <x v="0"/>
    <x v="20"/>
    <n v="26014"/>
    <m/>
    <x v="12"/>
    <x v="0"/>
    <m/>
    <x v="99"/>
    <x v="316"/>
    <x v="18"/>
    <m/>
    <n v="12"/>
    <n v="2021"/>
    <x v="0"/>
  </r>
  <r>
    <x v="693"/>
    <n v="700"/>
    <x v="1"/>
    <x v="3"/>
    <m/>
    <m/>
    <x v="51"/>
    <x v="472"/>
    <s v="Vidange"/>
    <x v="1468"/>
    <x v="316"/>
    <x v="18"/>
    <n v="45"/>
    <n v="12"/>
    <n v="2021"/>
    <x v="0"/>
  </r>
  <r>
    <x v="694"/>
    <n v="800"/>
    <x v="1"/>
    <x v="2"/>
    <n v="25877"/>
    <m/>
    <x v="37"/>
    <x v="285"/>
    <s v="Réparation"/>
    <x v="1469"/>
    <x v="691"/>
    <x v="134"/>
    <n v="360"/>
    <n v="12"/>
    <n v="2021"/>
    <x v="0"/>
  </r>
  <r>
    <x v="694"/>
    <n v="568"/>
    <x v="4"/>
    <x v="14"/>
    <n v="25771"/>
    <m/>
    <x v="429"/>
    <x v="1211"/>
    <s v="reparation "/>
    <x v="1470"/>
    <x v="691"/>
    <x v="18"/>
    <n v="60"/>
    <n v="12"/>
    <n v="2021"/>
    <x v="0"/>
  </r>
  <r>
    <x v="694"/>
    <n v="571"/>
    <x v="0"/>
    <x v="7"/>
    <n v="25828"/>
    <m/>
    <x v="481"/>
    <x v="1212"/>
    <s v="reparation "/>
    <x v="1471"/>
    <x v="691"/>
    <x v="18"/>
    <n v="240"/>
    <n v="12"/>
    <n v="2021"/>
    <x v="0"/>
  </r>
  <r>
    <x v="694"/>
    <n v="620"/>
    <x v="0"/>
    <x v="26"/>
    <n v="25829"/>
    <m/>
    <x v="482"/>
    <x v="1213"/>
    <s v="reparation "/>
    <x v="1472"/>
    <x v="691"/>
    <x v="18"/>
    <n v="180"/>
    <n v="12"/>
    <n v="2021"/>
    <x v="0"/>
  </r>
  <r>
    <x v="695"/>
    <n v="800"/>
    <x v="1"/>
    <x v="2"/>
    <n v="25878"/>
    <m/>
    <x v="46"/>
    <x v="1214"/>
    <s v="Répararation"/>
    <x v="816"/>
    <x v="692"/>
    <x v="18"/>
    <n v="60"/>
    <n v="12"/>
    <n v="2021"/>
    <x v="0"/>
  </r>
  <r>
    <x v="695"/>
    <n v="700"/>
    <x v="1"/>
    <x v="3"/>
    <n v="25970"/>
    <m/>
    <x v="429"/>
    <x v="1215"/>
    <s v="reparation"/>
    <x v="1473"/>
    <x v="693"/>
    <x v="18"/>
    <n v="50"/>
    <n v="12"/>
    <n v="2021"/>
    <x v="0"/>
  </r>
  <r>
    <x v="695"/>
    <n v="562"/>
    <x v="4"/>
    <x v="8"/>
    <n v="25770"/>
    <m/>
    <x v="483"/>
    <x v="1216"/>
    <s v="reparation "/>
    <x v="1474"/>
    <x v="693"/>
    <x v="18"/>
    <n v="30"/>
    <n v="12"/>
    <n v="2021"/>
    <x v="0"/>
  </r>
  <r>
    <x v="695"/>
    <n v="562"/>
    <x v="4"/>
    <x v="8"/>
    <n v="25772"/>
    <m/>
    <x v="484"/>
    <x v="1217"/>
    <s v="reparation "/>
    <x v="1475"/>
    <x v="693"/>
    <x v="18"/>
    <n v="30"/>
    <n v="12"/>
    <n v="2021"/>
    <x v="0"/>
  </r>
  <r>
    <x v="696"/>
    <n v="560"/>
    <x v="0"/>
    <x v="0"/>
    <n v="25774"/>
    <m/>
    <x v="485"/>
    <x v="1218"/>
    <s v="reparation "/>
    <x v="1476"/>
    <x v="694"/>
    <x v="18"/>
    <n v="30"/>
    <n v="12"/>
    <n v="2021"/>
    <x v="0"/>
  </r>
  <r>
    <x v="697"/>
    <n v="800"/>
    <x v="1"/>
    <x v="2"/>
    <n v="25971"/>
    <m/>
    <x v="429"/>
    <x v="1219"/>
    <s v="reparation "/>
    <x v="1477"/>
    <x v="692"/>
    <x v="18"/>
    <n v="90"/>
    <n v="12"/>
    <n v="2021"/>
    <x v="0"/>
  </r>
  <r>
    <x v="697"/>
    <n v="800"/>
    <x v="1"/>
    <x v="2"/>
    <n v="25972"/>
    <m/>
    <x v="429"/>
    <x v="1220"/>
    <s v="reparation "/>
    <x v="1478"/>
    <x v="692"/>
    <x v="18"/>
    <n v="60"/>
    <n v="12"/>
    <n v="2021"/>
    <x v="0"/>
  </r>
  <r>
    <x v="697"/>
    <n v="800"/>
    <x v="1"/>
    <x v="2"/>
    <n v="25973"/>
    <m/>
    <x v="429"/>
    <x v="1221"/>
    <s v="reparation "/>
    <x v="1479"/>
    <x v="692"/>
    <x v="18"/>
    <n v="120"/>
    <n v="12"/>
    <n v="2021"/>
    <x v="0"/>
  </r>
  <r>
    <x v="697"/>
    <n v="606"/>
    <x v="0"/>
    <x v="17"/>
    <n v="25775"/>
    <m/>
    <x v="425"/>
    <x v="1222"/>
    <s v="reparation"/>
    <x v="1480"/>
    <x v="692"/>
    <x v="18"/>
    <n v="30"/>
    <n v="12"/>
    <n v="2021"/>
    <x v="0"/>
  </r>
  <r>
    <x v="698"/>
    <n v="700"/>
    <x v="1"/>
    <x v="3"/>
    <n v="25880"/>
    <m/>
    <x v="171"/>
    <x v="423"/>
    <s v="Réparation"/>
    <x v="1481"/>
    <x v="695"/>
    <x v="18"/>
    <n v="60"/>
    <n v="12"/>
    <n v="2021"/>
    <x v="0"/>
  </r>
  <r>
    <x v="698"/>
    <n v="800"/>
    <x v="1"/>
    <x v="2"/>
    <n v="25881"/>
    <m/>
    <x v="69"/>
    <x v="1223"/>
    <s v="Réparation"/>
    <x v="1482"/>
    <x v="695"/>
    <x v="18"/>
    <n v="60"/>
    <n v="12"/>
    <n v="2021"/>
    <x v="0"/>
  </r>
  <r>
    <x v="699"/>
    <n v="606"/>
    <x v="0"/>
    <x v="17"/>
    <n v="25773"/>
    <m/>
    <x v="486"/>
    <x v="1224"/>
    <s v="reparation "/>
    <x v="1483"/>
    <x v="696"/>
    <x v="18"/>
    <n v="30"/>
    <n v="12"/>
    <n v="2021"/>
    <x v="0"/>
  </r>
  <r>
    <x v="699"/>
    <n v="605"/>
    <x v="0"/>
    <x v="13"/>
    <n v="25820"/>
    <m/>
    <x v="487"/>
    <x v="1225"/>
    <s v="reparation "/>
    <x v="1484"/>
    <x v="696"/>
    <x v="18"/>
    <n v="180"/>
    <n v="12"/>
    <n v="2021"/>
    <x v="0"/>
  </r>
  <r>
    <x v="699"/>
    <n v="565"/>
    <x v="0"/>
    <x v="4"/>
    <n v="25821"/>
    <m/>
    <x v="488"/>
    <x v="1226"/>
    <s v="reparation "/>
    <x v="1485"/>
    <x v="696"/>
    <x v="18"/>
    <n v="240"/>
    <n v="12"/>
    <n v="2021"/>
    <x v="0"/>
  </r>
  <r>
    <x v="700"/>
    <n v="800"/>
    <x v="1"/>
    <x v="2"/>
    <n v="25882"/>
    <m/>
    <x v="49"/>
    <x v="846"/>
    <s v="Réparation"/>
    <x v="1486"/>
    <x v="697"/>
    <x v="18"/>
    <n v="180"/>
    <n v="12"/>
    <n v="2021"/>
    <x v="0"/>
  </r>
  <r>
    <x v="700"/>
    <n v="800"/>
    <x v="1"/>
    <x v="2"/>
    <n v="25883"/>
    <m/>
    <x v="9"/>
    <x v="1227"/>
    <s v="Réparation"/>
    <x v="1487"/>
    <x v="697"/>
    <x v="18"/>
    <n v="60"/>
    <n v="12"/>
    <n v="2021"/>
    <x v="0"/>
  </r>
  <r>
    <x v="700"/>
    <n v="607"/>
    <x v="0"/>
    <x v="12"/>
    <n v="25778"/>
    <m/>
    <x v="489"/>
    <x v="1228"/>
    <s v="reparation "/>
    <x v="1488"/>
    <x v="697"/>
    <x v="18"/>
    <n v="25"/>
    <n v="12"/>
    <n v="2021"/>
    <x v="0"/>
  </r>
  <r>
    <x v="700"/>
    <n v="565"/>
    <x v="0"/>
    <x v="4"/>
    <n v="25831"/>
    <m/>
    <x v="490"/>
    <x v="1229"/>
    <s v="reparation "/>
    <x v="1489"/>
    <x v="697"/>
    <x v="18"/>
    <n v="240"/>
    <n v="12"/>
    <n v="2021"/>
    <x v="0"/>
  </r>
  <r>
    <x v="701"/>
    <n v="581"/>
    <x v="0"/>
    <x v="10"/>
    <n v="25974"/>
    <m/>
    <x v="491"/>
    <x v="1230"/>
    <s v="reparation "/>
    <x v="1490"/>
    <x v="698"/>
    <x v="18"/>
    <n v="45"/>
    <n v="12"/>
    <n v="2021"/>
    <x v="0"/>
  </r>
  <r>
    <x v="701"/>
    <n v="584"/>
    <x v="4"/>
    <x v="24"/>
    <n v="25777"/>
    <m/>
    <x v="429"/>
    <x v="1231"/>
    <s v="reparation "/>
    <x v="1491"/>
    <x v="698"/>
    <x v="18"/>
    <n v="50"/>
    <n v="12"/>
    <n v="2021"/>
    <x v="0"/>
  </r>
  <r>
    <x v="701"/>
    <n v="606"/>
    <x v="0"/>
    <x v="17"/>
    <n v="25779"/>
    <m/>
    <x v="492"/>
    <x v="1232"/>
    <s v="reparation "/>
    <x v="1492"/>
    <x v="698"/>
    <x v="18"/>
    <n v="30"/>
    <n v="12"/>
    <n v="2021"/>
    <x v="0"/>
  </r>
  <r>
    <x v="701"/>
    <n v="560"/>
    <x v="0"/>
    <x v="0"/>
    <n v="25833"/>
    <m/>
    <x v="493"/>
    <x v="1233"/>
    <s v="reparation "/>
    <x v="1493"/>
    <x v="698"/>
    <x v="18"/>
    <n v="120"/>
    <n v="12"/>
    <n v="2021"/>
    <x v="0"/>
  </r>
  <r>
    <x v="702"/>
    <n v="534"/>
    <x v="2"/>
    <x v="27"/>
    <n v="25884"/>
    <m/>
    <x v="494"/>
    <x v="1234"/>
    <s v="Réparation"/>
    <x v="1494"/>
    <x v="699"/>
    <x v="18"/>
    <n v="60"/>
    <n v="12"/>
    <n v="2021"/>
    <x v="0"/>
  </r>
  <r>
    <x v="702"/>
    <n v="590"/>
    <x v="0"/>
    <x v="20"/>
    <n v="25975"/>
    <m/>
    <x v="495"/>
    <x v="1235"/>
    <s v="reparation "/>
    <x v="1495"/>
    <x v="699"/>
    <x v="18"/>
    <n v="240"/>
    <n v="12"/>
    <n v="2021"/>
    <x v="0"/>
  </r>
  <r>
    <x v="702"/>
    <n v="800"/>
    <x v="1"/>
    <x v="2"/>
    <n v="25976"/>
    <m/>
    <x v="496"/>
    <x v="1236"/>
    <s v="reparation "/>
    <x v="1496"/>
    <x v="699"/>
    <x v="18"/>
    <n v="45"/>
    <n v="12"/>
    <n v="2021"/>
    <x v="0"/>
  </r>
  <r>
    <x v="703"/>
    <n v="700"/>
    <x v="1"/>
    <x v="3"/>
    <n v="25885"/>
    <m/>
    <x v="23"/>
    <x v="1237"/>
    <s v="Réparation"/>
    <x v="1497"/>
    <x v="700"/>
    <x v="18"/>
    <n v="120"/>
    <n v="12"/>
    <n v="2021"/>
    <x v="0"/>
  </r>
  <r>
    <x v="703"/>
    <n v="700"/>
    <x v="1"/>
    <x v="3"/>
    <n v="25886"/>
    <m/>
    <x v="27"/>
    <x v="87"/>
    <s v="Réparation"/>
    <x v="1498"/>
    <x v="700"/>
    <x v="18"/>
    <n v="120"/>
    <n v="12"/>
    <n v="2021"/>
    <x v="0"/>
  </r>
  <r>
    <x v="703"/>
    <n v="605"/>
    <x v="0"/>
    <x v="13"/>
    <n v="25832"/>
    <m/>
    <x v="474"/>
    <x v="1238"/>
    <s v="reparation "/>
    <x v="1499"/>
    <x v="700"/>
    <x v="18"/>
    <n v="1440"/>
    <n v="12"/>
    <n v="2021"/>
    <x v="0"/>
  </r>
  <r>
    <x v="704"/>
    <n v="534"/>
    <x v="2"/>
    <x v="27"/>
    <n v="25977"/>
    <m/>
    <x v="429"/>
    <x v="1183"/>
    <s v="reparation "/>
    <x v="1434"/>
    <x v="701"/>
    <x v="18"/>
    <n v="120"/>
    <n v="12"/>
    <n v="2021"/>
    <x v="0"/>
  </r>
  <r>
    <x v="704"/>
    <n v="620"/>
    <x v="0"/>
    <x v="26"/>
    <n v="25827"/>
    <m/>
    <x v="497"/>
    <x v="1239"/>
    <s v="reparation "/>
    <x v="1500"/>
    <x v="701"/>
    <x v="18"/>
    <n v="180"/>
    <n v="12"/>
    <n v="2021"/>
    <x v="0"/>
  </r>
  <r>
    <x v="704"/>
    <n v="571"/>
    <x v="0"/>
    <x v="7"/>
    <n v="25830"/>
    <m/>
    <x v="498"/>
    <x v="1240"/>
    <s v="reparation "/>
    <x v="1501"/>
    <x v="701"/>
    <x v="18"/>
    <n v="120"/>
    <n v="12"/>
    <n v="2021"/>
    <x v="0"/>
  </r>
  <r>
    <x v="705"/>
    <n v="700"/>
    <x v="1"/>
    <x v="3"/>
    <n v="25887"/>
    <m/>
    <x v="499"/>
    <x v="1241"/>
    <s v="Répartion"/>
    <x v="1502"/>
    <x v="702"/>
    <x v="18"/>
    <n v="120"/>
    <n v="12"/>
    <n v="2021"/>
    <x v="0"/>
  </r>
  <r>
    <x v="705"/>
    <n v="565"/>
    <x v="0"/>
    <x v="4"/>
    <n v="25780"/>
    <m/>
    <x v="500"/>
    <x v="1242"/>
    <s v="reparation "/>
    <x v="1503"/>
    <x v="702"/>
    <x v="18"/>
    <n v="40"/>
    <n v="12"/>
    <n v="2021"/>
    <x v="0"/>
  </r>
  <r>
    <x v="706"/>
    <n v="800"/>
    <x v="1"/>
    <x v="2"/>
    <n v="25888"/>
    <m/>
    <x v="171"/>
    <x v="1243"/>
    <s v="Réparation"/>
    <x v="1504"/>
    <x v="703"/>
    <x v="18"/>
    <n v="60"/>
    <n v="12"/>
    <n v="2021"/>
    <x v="0"/>
  </r>
  <r>
    <x v="706"/>
    <n v="800"/>
    <x v="1"/>
    <x v="2"/>
    <n v="25889"/>
    <m/>
    <x v="49"/>
    <x v="1244"/>
    <s v="Réparation"/>
    <x v="1505"/>
    <x v="703"/>
    <x v="18"/>
    <n v="60"/>
    <n v="12"/>
    <n v="2021"/>
    <x v="0"/>
  </r>
  <r>
    <x v="706"/>
    <n v="700"/>
    <x v="1"/>
    <x v="3"/>
    <n v="25890"/>
    <m/>
    <x v="501"/>
    <x v="1245"/>
    <s v="reparation "/>
    <x v="1506"/>
    <x v="703"/>
    <x v="18"/>
    <n v="150"/>
    <n v="12"/>
    <n v="2021"/>
    <x v="0"/>
  </r>
  <r>
    <x v="706"/>
    <n v="700"/>
    <x v="1"/>
    <x v="3"/>
    <n v="25891"/>
    <m/>
    <x v="502"/>
    <x v="1246"/>
    <s v="reparation"/>
    <x v="1507"/>
    <x v="703"/>
    <x v="18"/>
    <n v="150"/>
    <n v="12"/>
    <n v="2021"/>
    <x v="0"/>
  </r>
  <r>
    <x v="706"/>
    <n v="565"/>
    <x v="0"/>
    <x v="4"/>
    <n v="26301"/>
    <m/>
    <x v="282"/>
    <x v="1247"/>
    <s v="Réparation"/>
    <x v="1508"/>
    <x v="703"/>
    <x v="18"/>
    <n v="60"/>
    <n v="12"/>
    <n v="2021"/>
    <x v="0"/>
  </r>
  <r>
    <x v="707"/>
    <n v="800"/>
    <x v="1"/>
    <x v="2"/>
    <m/>
    <m/>
    <x v="503"/>
    <x v="0"/>
    <s v="reparation"/>
    <x v="1509"/>
    <x v="704"/>
    <x v="18"/>
    <n v="90"/>
    <n v="12"/>
    <n v="2021"/>
    <x v="0"/>
  </r>
  <r>
    <x v="707"/>
    <n v="561"/>
    <x v="4"/>
    <x v="18"/>
    <n v="25979"/>
    <m/>
    <x v="504"/>
    <x v="1248"/>
    <s v="reparation "/>
    <x v="1510"/>
    <x v="704"/>
    <x v="18"/>
    <n v="50"/>
    <n v="12"/>
    <n v="2021"/>
    <x v="0"/>
  </r>
  <r>
    <x v="707"/>
    <n v="590"/>
    <x v="0"/>
    <x v="20"/>
    <n v="26201"/>
    <m/>
    <x v="505"/>
    <x v="1249"/>
    <s v="reparation "/>
    <x v="1511"/>
    <x v="704"/>
    <x v="18"/>
    <n v="120"/>
    <n v="12"/>
    <n v="2021"/>
    <x v="0"/>
  </r>
  <r>
    <x v="707"/>
    <n v="607"/>
    <x v="0"/>
    <x v="12"/>
    <n v="26302"/>
    <m/>
    <x v="0"/>
    <x v="1250"/>
    <s v="Réparation"/>
    <x v="1512"/>
    <x v="704"/>
    <x v="18"/>
    <n v="30"/>
    <n v="12"/>
    <n v="2021"/>
    <x v="0"/>
  </r>
  <r>
    <x v="708"/>
    <n v="700"/>
    <x v="1"/>
    <x v="3"/>
    <n v="25980"/>
    <m/>
    <x v="429"/>
    <x v="1251"/>
    <s v="reparation "/>
    <x v="1513"/>
    <x v="705"/>
    <x v="18"/>
    <n v="30"/>
    <n v="12"/>
    <n v="2021"/>
    <x v="0"/>
  </r>
  <r>
    <x v="709"/>
    <n v="590"/>
    <x v="0"/>
    <x v="20"/>
    <n v="26202"/>
    <m/>
    <x v="506"/>
    <x v="1252"/>
    <s v="reparation "/>
    <x v="1514"/>
    <x v="706"/>
    <x v="18"/>
    <n v="240"/>
    <n v="12"/>
    <n v="2021"/>
    <x v="0"/>
  </r>
  <r>
    <x v="709"/>
    <n v="607"/>
    <x v="0"/>
    <x v="12"/>
    <n v="26303"/>
    <m/>
    <x v="507"/>
    <x v="1253"/>
    <s v="Réparation"/>
    <x v="1515"/>
    <x v="706"/>
    <x v="18"/>
    <n v="30"/>
    <n v="12"/>
    <n v="2021"/>
    <x v="0"/>
  </r>
  <r>
    <x v="710"/>
    <n v="581"/>
    <x v="0"/>
    <x v="10"/>
    <n v="26203"/>
    <m/>
    <x v="508"/>
    <x v="1254"/>
    <s v="reparation "/>
    <x v="1516"/>
    <x v="707"/>
    <x v="18"/>
    <n v="150"/>
    <n v="12"/>
    <n v="2021"/>
    <x v="0"/>
  </r>
  <r>
    <x v="710"/>
    <n v="581"/>
    <x v="0"/>
    <x v="10"/>
    <n v="26204"/>
    <m/>
    <x v="509"/>
    <x v="1255"/>
    <s v="reparation "/>
    <x v="1517"/>
    <x v="707"/>
    <x v="18"/>
    <n v="90"/>
    <n v="12"/>
    <n v="2021"/>
    <x v="0"/>
  </r>
  <r>
    <x v="710"/>
    <n v="590"/>
    <x v="0"/>
    <x v="20"/>
    <n v="26207"/>
    <m/>
    <x v="510"/>
    <x v="1256"/>
    <s v="reparation "/>
    <x v="1518"/>
    <x v="707"/>
    <x v="18"/>
    <n v="60"/>
    <n v="12"/>
    <n v="2021"/>
    <x v="0"/>
  </r>
  <r>
    <x v="711"/>
    <n v="700"/>
    <x v="1"/>
    <x v="3"/>
    <n v="26151"/>
    <m/>
    <x v="511"/>
    <x v="1257"/>
    <s v="reparation"/>
    <x v="1519"/>
    <x v="708"/>
    <x v="18"/>
    <n v="150"/>
    <n v="12"/>
    <n v="2021"/>
    <x v="0"/>
  </r>
  <r>
    <x v="712"/>
    <n v="700"/>
    <x v="1"/>
    <x v="3"/>
    <n v="26152"/>
    <m/>
    <x v="512"/>
    <x v="1258"/>
    <s v="reparation"/>
    <x v="1520"/>
    <x v="709"/>
    <x v="18"/>
    <n v="180"/>
    <n v="12"/>
    <n v="2021"/>
    <x v="0"/>
  </r>
  <r>
    <x v="712"/>
    <n v="561"/>
    <x v="4"/>
    <x v="18"/>
    <n v="25982"/>
    <m/>
    <x v="429"/>
    <x v="1259"/>
    <s v="reparation "/>
    <x v="1521"/>
    <x v="709"/>
    <x v="18"/>
    <n v="30"/>
    <n v="12"/>
    <n v="2021"/>
    <x v="0"/>
  </r>
  <r>
    <x v="712"/>
    <n v="590"/>
    <x v="0"/>
    <x v="20"/>
    <n v="25983"/>
    <m/>
    <x v="513"/>
    <x v="1260"/>
    <s v="reparation "/>
    <x v="1522"/>
    <x v="709"/>
    <x v="18"/>
    <n v="20"/>
    <n v="12"/>
    <n v="2021"/>
    <x v="0"/>
  </r>
  <r>
    <x v="712"/>
    <n v="606"/>
    <x v="0"/>
    <x v="17"/>
    <n v="25985"/>
    <m/>
    <x v="429"/>
    <x v="1261"/>
    <s v="reparation "/>
    <x v="1523"/>
    <x v="709"/>
    <x v="18"/>
    <n v="50"/>
    <n v="12"/>
    <n v="2021"/>
    <x v="0"/>
  </r>
  <r>
    <x v="712"/>
    <n v="700"/>
    <x v="1"/>
    <x v="3"/>
    <n v="25981"/>
    <m/>
    <x v="514"/>
    <x v="1262"/>
    <s v="reparation "/>
    <x v="1524"/>
    <x v="709"/>
    <x v="18"/>
    <n v="40"/>
    <n v="12"/>
    <n v="2021"/>
    <x v="0"/>
  </r>
  <r>
    <x v="713"/>
    <n v="590"/>
    <x v="0"/>
    <x v="20"/>
    <n v="26205"/>
    <m/>
    <x v="515"/>
    <x v="1263"/>
    <s v="reparation "/>
    <x v="1525"/>
    <x v="710"/>
    <x v="18"/>
    <n v="60"/>
    <n v="12"/>
    <n v="2021"/>
    <x v="0"/>
  </r>
  <r>
    <x v="713"/>
    <n v="565"/>
    <x v="0"/>
    <x v="4"/>
    <n v="26305"/>
    <m/>
    <x v="66"/>
    <x v="1264"/>
    <s v="Réparation"/>
    <x v="1526"/>
    <x v="710"/>
    <x v="18"/>
    <n v="240"/>
    <n v="12"/>
    <n v="2021"/>
    <x v="0"/>
  </r>
  <r>
    <x v="714"/>
    <n v="700"/>
    <x v="1"/>
    <x v="3"/>
    <n v="26153"/>
    <m/>
    <x v="516"/>
    <x v="1265"/>
    <s v="reparation "/>
    <x v="1527"/>
    <x v="711"/>
    <x v="18"/>
    <n v="600"/>
    <n v="12"/>
    <n v="2021"/>
    <x v="0"/>
  </r>
  <r>
    <x v="714"/>
    <n v="565"/>
    <x v="0"/>
    <x v="4"/>
    <n v="26206"/>
    <m/>
    <x v="517"/>
    <x v="1266"/>
    <s v="reparation "/>
    <x v="1528"/>
    <x v="711"/>
    <x v="18"/>
    <n v="360"/>
    <n v="12"/>
    <n v="2021"/>
    <x v="0"/>
  </r>
  <r>
    <x v="714"/>
    <n v="590"/>
    <x v="0"/>
    <x v="20"/>
    <n v="26213"/>
    <m/>
    <x v="518"/>
    <x v="1267"/>
    <s v="reparation "/>
    <x v="1529"/>
    <x v="712"/>
    <x v="18"/>
    <n v="240"/>
    <n v="12"/>
    <n v="2021"/>
    <x v="0"/>
  </r>
  <r>
    <x v="714"/>
    <n v="581"/>
    <x v="0"/>
    <x v="10"/>
    <n v="26214"/>
    <m/>
    <x v="519"/>
    <x v="1268"/>
    <s v="reparation "/>
    <x v="1530"/>
    <x v="712"/>
    <x v="18"/>
    <n v="180"/>
    <n v="12"/>
    <n v="2021"/>
    <x v="0"/>
  </r>
  <r>
    <x v="714"/>
    <n v="581"/>
    <x v="0"/>
    <x v="10"/>
    <n v="26215"/>
    <m/>
    <x v="520"/>
    <x v="1269"/>
    <s v="reparation "/>
    <x v="1514"/>
    <x v="713"/>
    <x v="18"/>
    <n v="0"/>
    <n v="1"/>
    <n v="2022"/>
    <x v="0"/>
  </r>
  <r>
    <x v="715"/>
    <n v="700"/>
    <x v="1"/>
    <x v="3"/>
    <n v="26154"/>
    <m/>
    <x v="521"/>
    <x v="1270"/>
    <s v="reparation"/>
    <x v="1531"/>
    <x v="711"/>
    <x v="18"/>
    <n v="120"/>
    <n v="12"/>
    <n v="2021"/>
    <x v="0"/>
  </r>
  <r>
    <x v="715"/>
    <n v="700"/>
    <x v="1"/>
    <x v="3"/>
    <n v="26155"/>
    <m/>
    <x v="522"/>
    <x v="0"/>
    <s v="reparation"/>
    <x v="1532"/>
    <x v="711"/>
    <x v="18"/>
    <n v="90"/>
    <n v="12"/>
    <n v="2021"/>
    <x v="0"/>
  </r>
  <r>
    <x v="715"/>
    <n v="601"/>
    <x v="0"/>
    <x v="25"/>
    <n v="26306"/>
    <m/>
    <x v="192"/>
    <x v="1271"/>
    <s v="Réparation"/>
    <x v="1533"/>
    <x v="711"/>
    <x v="18"/>
    <n v="300"/>
    <n v="12"/>
    <n v="2021"/>
    <x v="0"/>
  </r>
  <r>
    <x v="715"/>
    <n v="560"/>
    <x v="0"/>
    <x v="0"/>
    <n v="26307"/>
    <m/>
    <x v="32"/>
    <x v="1272"/>
    <s v="Réparation"/>
    <x v="1534"/>
    <x v="711"/>
    <x v="18"/>
    <n v="120"/>
    <n v="12"/>
    <n v="2021"/>
    <x v="0"/>
  </r>
  <r>
    <x v="716"/>
    <n v="581"/>
    <x v="0"/>
    <x v="10"/>
    <n v="26216"/>
    <m/>
    <x v="523"/>
    <x v="1273"/>
    <s v="reparation "/>
    <x v="1535"/>
    <x v="714"/>
    <x v="18"/>
    <n v="120"/>
    <n v="1"/>
    <n v="2022"/>
    <x v="0"/>
  </r>
  <r>
    <x v="716"/>
    <n v="590"/>
    <x v="0"/>
    <x v="20"/>
    <n v="26217"/>
    <m/>
    <x v="524"/>
    <x v="1274"/>
    <s v="reparation "/>
    <x v="1536"/>
    <x v="714"/>
    <x v="18"/>
    <n v="290"/>
    <n v="1"/>
    <n v="2022"/>
    <x v="0"/>
  </r>
  <r>
    <x v="716"/>
    <n v="590"/>
    <x v="0"/>
    <x v="20"/>
    <n v="26218"/>
    <m/>
    <x v="525"/>
    <x v="1275"/>
    <s v="reparation "/>
    <x v="1537"/>
    <x v="714"/>
    <x v="18"/>
    <n v="120"/>
    <n v="1"/>
    <n v="2022"/>
    <x v="0"/>
  </r>
  <r>
    <x v="716"/>
    <n v="590"/>
    <x v="0"/>
    <x v="20"/>
    <n v="26219"/>
    <m/>
    <x v="526"/>
    <x v="1276"/>
    <s v="reparation "/>
    <x v="1538"/>
    <x v="714"/>
    <x v="18"/>
    <n v="0"/>
    <n v="1"/>
    <n v="2022"/>
    <x v="0"/>
  </r>
  <r>
    <x v="716"/>
    <n v="565"/>
    <x v="0"/>
    <x v="4"/>
    <n v="26308"/>
    <m/>
    <x v="231"/>
    <x v="181"/>
    <s v="Réparation"/>
    <x v="242"/>
    <x v="714"/>
    <x v="18"/>
    <n v="60"/>
    <n v="1"/>
    <n v="2022"/>
    <x v="0"/>
  </r>
  <r>
    <x v="716"/>
    <n v="700"/>
    <x v="1"/>
    <x v="3"/>
    <m/>
    <m/>
    <x v="24"/>
    <x v="472"/>
    <s v="Vidange"/>
    <x v="1539"/>
    <x v="714"/>
    <x v="18"/>
    <n v="30"/>
    <n v="1"/>
    <n v="2022"/>
    <x v="0"/>
  </r>
  <r>
    <x v="717"/>
    <n v="590"/>
    <x v="0"/>
    <x v="20"/>
    <n v="26212"/>
    <m/>
    <x v="527"/>
    <x v="1277"/>
    <s v="reparation "/>
    <x v="1540"/>
    <x v="713"/>
    <x v="18"/>
    <n v="0"/>
    <n v="1"/>
    <n v="2022"/>
    <x v="0"/>
  </r>
  <r>
    <x v="718"/>
    <n v="590"/>
    <x v="0"/>
    <x v="20"/>
    <n v="26211"/>
    <m/>
    <x v="528"/>
    <x v="1278"/>
    <s v="reparation "/>
    <x v="1541"/>
    <x v="458"/>
    <x v="18"/>
    <n v="45"/>
    <n v="1"/>
    <n v="2022"/>
    <x v="0"/>
  </r>
  <r>
    <x v="718"/>
    <n v="800"/>
    <x v="1"/>
    <x v="2"/>
    <n v="26163"/>
    <m/>
    <x v="529"/>
    <x v="1279"/>
    <s v="Réparation"/>
    <x v="1542"/>
    <x v="458"/>
    <x v="18"/>
    <n v="120"/>
    <n v="1"/>
    <n v="2022"/>
    <x v="0"/>
  </r>
  <r>
    <x v="718"/>
    <n v="700"/>
    <x v="1"/>
    <x v="3"/>
    <m/>
    <m/>
    <x v="37"/>
    <x v="472"/>
    <s v="Vidange"/>
    <x v="575"/>
    <x v="458"/>
    <x v="18"/>
    <n v="30"/>
    <n v="1"/>
    <n v="2022"/>
    <x v="0"/>
  </r>
  <r>
    <x v="719"/>
    <n v="581"/>
    <x v="0"/>
    <x v="10"/>
    <n v="26209"/>
    <m/>
    <x v="530"/>
    <x v="1280"/>
    <s v="reparation "/>
    <x v="1543"/>
    <x v="715"/>
    <x v="18"/>
    <n v="0"/>
    <n v="1"/>
    <n v="2022"/>
    <x v="0"/>
  </r>
  <r>
    <x v="719"/>
    <n v="800"/>
    <x v="1"/>
    <x v="2"/>
    <n v="26251"/>
    <m/>
    <x v="27"/>
    <x v="1281"/>
    <s v="Réparation "/>
    <x v="1544"/>
    <x v="715"/>
    <x v="18"/>
    <n v="180"/>
    <n v="1"/>
    <n v="2022"/>
    <x v="0"/>
  </r>
  <r>
    <x v="720"/>
    <n v="700"/>
    <x v="1"/>
    <x v="3"/>
    <n v="26157"/>
    <m/>
    <x v="531"/>
    <x v="1282"/>
    <s v="reparation"/>
    <x v="1545"/>
    <x v="716"/>
    <x v="18"/>
    <n v="240"/>
    <n v="1"/>
    <n v="2022"/>
    <x v="0"/>
  </r>
  <r>
    <x v="720"/>
    <n v="606"/>
    <x v="0"/>
    <x v="17"/>
    <n v="26252"/>
    <m/>
    <x v="532"/>
    <x v="1283"/>
    <s v="Réparation"/>
    <x v="1546"/>
    <x v="716"/>
    <x v="18"/>
    <n v="30"/>
    <n v="1"/>
    <n v="2022"/>
    <x v="0"/>
  </r>
  <r>
    <x v="721"/>
    <n v="590"/>
    <x v="0"/>
    <x v="20"/>
    <n v="26220"/>
    <m/>
    <x v="533"/>
    <x v="1284"/>
    <s v="reparation "/>
    <x v="1547"/>
    <x v="717"/>
    <x v="18"/>
    <n v="60"/>
    <n v="1"/>
    <n v="2022"/>
    <x v="0"/>
  </r>
  <r>
    <x v="721"/>
    <n v="590"/>
    <x v="0"/>
    <x v="20"/>
    <n v="26221"/>
    <m/>
    <x v="534"/>
    <x v="1285"/>
    <s v="reparation "/>
    <x v="1548"/>
    <x v="717"/>
    <x v="18"/>
    <n v="0"/>
    <n v="1"/>
    <n v="2022"/>
    <x v="0"/>
  </r>
  <r>
    <x v="721"/>
    <n v="565"/>
    <x v="0"/>
    <x v="4"/>
    <n v="26312"/>
    <m/>
    <x v="66"/>
    <x v="1271"/>
    <s v="Réparation "/>
    <x v="1549"/>
    <x v="718"/>
    <x v="18"/>
    <n v="180"/>
    <n v="1"/>
    <n v="2022"/>
    <x v="0"/>
  </r>
  <r>
    <x v="722"/>
    <n v="601"/>
    <x v="0"/>
    <x v="25"/>
    <n v="26309"/>
    <m/>
    <x v="0"/>
    <x v="1286"/>
    <s v="Réparation"/>
    <x v="1550"/>
    <x v="719"/>
    <x v="18"/>
    <n v="55"/>
    <n v="1"/>
    <n v="2022"/>
    <x v="0"/>
  </r>
  <r>
    <x v="723"/>
    <n v="581"/>
    <x v="0"/>
    <x v="10"/>
    <n v="26222"/>
    <m/>
    <x v="535"/>
    <x v="1287"/>
    <s v="reparation "/>
    <x v="1551"/>
    <x v="720"/>
    <x v="18"/>
    <n v="480"/>
    <n v="1"/>
    <n v="2022"/>
    <x v="0"/>
  </r>
  <r>
    <x v="723"/>
    <n v="590"/>
    <x v="0"/>
    <x v="20"/>
    <n v="26223"/>
    <m/>
    <x v="536"/>
    <x v="1288"/>
    <s v="reparation "/>
    <x v="1552"/>
    <x v="720"/>
    <x v="18"/>
    <n v="120"/>
    <n v="1"/>
    <n v="2022"/>
    <x v="0"/>
  </r>
  <r>
    <x v="723"/>
    <n v="581"/>
    <x v="0"/>
    <x v="10"/>
    <n v="26224"/>
    <m/>
    <x v="537"/>
    <x v="1289"/>
    <s v="reparatrion "/>
    <x v="1553"/>
    <x v="720"/>
    <x v="18"/>
    <n v="0"/>
    <n v="1"/>
    <n v="2022"/>
    <x v="0"/>
  </r>
  <r>
    <x v="723"/>
    <n v="581"/>
    <x v="0"/>
    <x v="10"/>
    <n v="26523"/>
    <m/>
    <x v="314"/>
    <x v="55"/>
    <s v="Réparation"/>
    <x v="700"/>
    <x v="720"/>
    <x v="18"/>
    <n v="60"/>
    <n v="1"/>
    <n v="2022"/>
    <x v="0"/>
  </r>
  <r>
    <x v="723"/>
    <n v="573"/>
    <x v="4"/>
    <x v="23"/>
    <n v="26310"/>
    <m/>
    <x v="6"/>
    <x v="1290"/>
    <s v="Réparation"/>
    <x v="1554"/>
    <x v="720"/>
    <x v="18"/>
    <n v="120"/>
    <n v="1"/>
    <n v="2022"/>
    <x v="0"/>
  </r>
  <r>
    <x v="724"/>
    <n v="590"/>
    <x v="0"/>
    <x v="20"/>
    <n v="26225"/>
    <m/>
    <x v="538"/>
    <x v="1291"/>
    <s v="reparation "/>
    <x v="1555"/>
    <x v="721"/>
    <x v="18"/>
    <n v="0"/>
    <n v="1"/>
    <n v="2022"/>
    <x v="0"/>
  </r>
  <r>
    <x v="725"/>
    <n v="581"/>
    <x v="0"/>
    <x v="10"/>
    <n v="26226"/>
    <m/>
    <x v="539"/>
    <x v="1292"/>
    <s v="reparation "/>
    <x v="1556"/>
    <x v="718"/>
    <x v="18"/>
    <n v="0"/>
    <n v="1"/>
    <n v="2022"/>
    <x v="0"/>
  </r>
  <r>
    <x v="725"/>
    <n v="590"/>
    <x v="0"/>
    <x v="20"/>
    <n v="26227"/>
    <m/>
    <x v="538"/>
    <x v="1293"/>
    <s v="reparatioan "/>
    <x v="1557"/>
    <x v="718"/>
    <x v="18"/>
    <n v="60"/>
    <n v="1"/>
    <n v="2022"/>
    <x v="0"/>
  </r>
  <r>
    <x v="725"/>
    <n v="590"/>
    <x v="0"/>
    <x v="20"/>
    <n v="26254"/>
    <m/>
    <x v="15"/>
    <x v="1294"/>
    <s v="Réparation"/>
    <x v="1558"/>
    <x v="718"/>
    <x v="18"/>
    <n v="60"/>
    <n v="1"/>
    <n v="2022"/>
    <x v="0"/>
  </r>
  <r>
    <x v="725"/>
    <n v="561"/>
    <x v="4"/>
    <x v="18"/>
    <n v="26255"/>
    <m/>
    <x v="121"/>
    <x v="1295"/>
    <s v="Réparation"/>
    <x v="1559"/>
    <x v="718"/>
    <x v="18"/>
    <n v="45"/>
    <n v="1"/>
    <n v="2022"/>
    <x v="0"/>
  </r>
  <r>
    <x v="725"/>
    <n v="560"/>
    <x v="0"/>
    <x v="0"/>
    <n v="26315"/>
    <m/>
    <x v="66"/>
    <x v="1296"/>
    <s v="Réparation "/>
    <x v="1560"/>
    <x v="718"/>
    <x v="18"/>
    <n v="180"/>
    <n v="1"/>
    <n v="2022"/>
    <x v="0"/>
  </r>
  <r>
    <x v="725"/>
    <n v="565"/>
    <x v="0"/>
    <x v="4"/>
    <n v="26316"/>
    <m/>
    <x v="6"/>
    <x v="1297"/>
    <s v="Réparation"/>
    <x v="466"/>
    <x v="718"/>
    <x v="18"/>
    <n v="60"/>
    <n v="1"/>
    <n v="2022"/>
    <x v="0"/>
  </r>
  <r>
    <x v="725"/>
    <n v="568"/>
    <x v="4"/>
    <x v="14"/>
    <n v="26316"/>
    <m/>
    <x v="6"/>
    <x v="616"/>
    <s v="Réparation"/>
    <x v="466"/>
    <x v="718"/>
    <x v="18"/>
    <n v="60"/>
    <n v="1"/>
    <n v="2022"/>
    <x v="0"/>
  </r>
  <r>
    <x v="726"/>
    <n v="800"/>
    <x v="1"/>
    <x v="2"/>
    <n v="26158"/>
    <m/>
    <x v="540"/>
    <x v="0"/>
    <s v="reparation "/>
    <x v="1561"/>
    <x v="722"/>
    <x v="18"/>
    <n v="180"/>
    <n v="1"/>
    <n v="2022"/>
    <x v="0"/>
  </r>
  <r>
    <x v="726"/>
    <n v="800"/>
    <x v="1"/>
    <x v="2"/>
    <n v="26159"/>
    <m/>
    <x v="541"/>
    <x v="1298"/>
    <s v="reparation "/>
    <x v="1562"/>
    <x v="722"/>
    <x v="18"/>
    <n v="120"/>
    <n v="1"/>
    <n v="2022"/>
    <x v="0"/>
  </r>
  <r>
    <x v="726"/>
    <n v="590"/>
    <x v="0"/>
    <x v="20"/>
    <n v="26228"/>
    <m/>
    <x v="542"/>
    <x v="1299"/>
    <s v="reparation "/>
    <x v="1563"/>
    <x v="722"/>
    <x v="18"/>
    <n v="90"/>
    <n v="1"/>
    <n v="2022"/>
    <x v="0"/>
  </r>
  <r>
    <x v="726"/>
    <n v="590"/>
    <x v="0"/>
    <x v="20"/>
    <n v="26229"/>
    <m/>
    <x v="543"/>
    <x v="1300"/>
    <s v="reparation "/>
    <x v="1564"/>
    <x v="722"/>
    <x v="18"/>
    <n v="90"/>
    <n v="1"/>
    <n v="2022"/>
    <x v="0"/>
  </r>
  <r>
    <x v="726"/>
    <n v="584"/>
    <x v="4"/>
    <x v="24"/>
    <n v="26257"/>
    <m/>
    <x v="544"/>
    <x v="1301"/>
    <s v="Réparation"/>
    <x v="1565"/>
    <x v="722"/>
    <x v="18"/>
    <n v="30"/>
    <n v="1"/>
    <n v="2022"/>
    <x v="0"/>
  </r>
  <r>
    <x v="727"/>
    <n v="700"/>
    <x v="1"/>
    <x v="3"/>
    <n v="26160"/>
    <m/>
    <x v="545"/>
    <x v="1302"/>
    <s v="reparation "/>
    <x v="1566"/>
    <x v="723"/>
    <x v="18"/>
    <n v="180"/>
    <n v="1"/>
    <n v="2022"/>
    <x v="0"/>
  </r>
  <r>
    <x v="727"/>
    <n v="565"/>
    <x v="0"/>
    <x v="4"/>
    <n v="26317"/>
    <m/>
    <x v="16"/>
    <x v="1303"/>
    <s v="Réparation"/>
    <x v="1567"/>
    <x v="723"/>
    <x v="18"/>
    <n v="15"/>
    <n v="1"/>
    <n v="2022"/>
    <x v="0"/>
  </r>
  <r>
    <x v="728"/>
    <n v="590"/>
    <x v="0"/>
    <x v="20"/>
    <n v="26230"/>
    <m/>
    <x v="546"/>
    <x v="1304"/>
    <s v="reparatrion "/>
    <x v="1568"/>
    <x v="724"/>
    <x v="18"/>
    <n v="0"/>
    <n v="1"/>
    <n v="2022"/>
    <x v="0"/>
  </r>
  <r>
    <x v="728"/>
    <n v="700"/>
    <x v="1"/>
    <x v="3"/>
    <n v="26259"/>
    <m/>
    <x v="23"/>
    <x v="679"/>
    <s v="Réparation"/>
    <x v="302"/>
    <x v="724"/>
    <x v="18"/>
    <n v="75"/>
    <n v="1"/>
    <n v="2022"/>
    <x v="0"/>
  </r>
  <r>
    <x v="729"/>
    <n v="581"/>
    <x v="0"/>
    <x v="10"/>
    <n v="26231"/>
    <m/>
    <x v="547"/>
    <x v="1305"/>
    <s v="reparation "/>
    <x v="1569"/>
    <x v="725"/>
    <x v="18"/>
    <n v="150"/>
    <n v="1"/>
    <n v="2022"/>
    <x v="0"/>
  </r>
  <r>
    <x v="729"/>
    <n v="565"/>
    <x v="0"/>
    <x v="4"/>
    <n v="26319"/>
    <m/>
    <x v="231"/>
    <x v="1306"/>
    <s v="Réparation"/>
    <x v="1570"/>
    <x v="726"/>
    <x v="18"/>
    <n v="120"/>
    <n v="1"/>
    <n v="2022"/>
    <x v="0"/>
  </r>
  <r>
    <x v="730"/>
    <n v="700"/>
    <x v="1"/>
    <x v="3"/>
    <n v="26161"/>
    <m/>
    <x v="548"/>
    <x v="0"/>
    <s v="reparation"/>
    <x v="1571"/>
    <x v="727"/>
    <x v="18"/>
    <n v="720"/>
    <n v="1"/>
    <n v="2022"/>
    <x v="0"/>
  </r>
  <r>
    <x v="730"/>
    <n v="590"/>
    <x v="0"/>
    <x v="20"/>
    <n v="26232"/>
    <m/>
    <x v="549"/>
    <x v="1307"/>
    <s v="reparation "/>
    <x v="1572"/>
    <x v="727"/>
    <x v="18"/>
    <n v="0"/>
    <n v="1"/>
    <n v="2022"/>
    <x v="0"/>
  </r>
  <r>
    <x v="730"/>
    <n v="606"/>
    <x v="0"/>
    <x v="17"/>
    <n v="26320"/>
    <m/>
    <x v="17"/>
    <x v="1308"/>
    <s v="Réparation"/>
    <x v="1573"/>
    <x v="727"/>
    <x v="18"/>
    <n v="240"/>
    <n v="1"/>
    <n v="2022"/>
    <x v="0"/>
  </r>
  <r>
    <x v="730"/>
    <n v="606"/>
    <x v="0"/>
    <x v="17"/>
    <n v="26320"/>
    <m/>
    <x v="17"/>
    <x v="1309"/>
    <s v="Réparation"/>
    <x v="1574"/>
    <x v="727"/>
    <x v="18"/>
    <n v="60"/>
    <n v="1"/>
    <n v="2022"/>
    <x v="0"/>
  </r>
  <r>
    <x v="730"/>
    <n v="560"/>
    <x v="0"/>
    <x v="0"/>
    <n v="26323"/>
    <m/>
    <x v="282"/>
    <x v="1310"/>
    <s v="Réparation"/>
    <x v="1575"/>
    <x v="727"/>
    <x v="18"/>
    <n v="20"/>
    <n v="1"/>
    <n v="2022"/>
    <x v="0"/>
  </r>
  <r>
    <x v="731"/>
    <n v="565"/>
    <x v="0"/>
    <x v="4"/>
    <n v="26162"/>
    <m/>
    <x v="550"/>
    <x v="1311"/>
    <s v="reparation "/>
    <x v="1576"/>
    <x v="728"/>
    <x v="18"/>
    <n v="120"/>
    <n v="1"/>
    <n v="2022"/>
    <x v="0"/>
  </r>
  <r>
    <x v="731"/>
    <n v="565"/>
    <x v="0"/>
    <x v="4"/>
    <n v="26324"/>
    <m/>
    <x v="0"/>
    <x v="1312"/>
    <s v="Réparation"/>
    <x v="1577"/>
    <x v="728"/>
    <x v="18"/>
    <n v="300"/>
    <n v="1"/>
    <n v="2022"/>
    <x v="0"/>
  </r>
  <r>
    <x v="731"/>
    <n v="560"/>
    <x v="0"/>
    <x v="0"/>
    <n v="26324"/>
    <m/>
    <x v="0"/>
    <x v="1313"/>
    <s v="Réparation"/>
    <x v="1578"/>
    <x v="728"/>
    <x v="18"/>
    <n v="150"/>
    <n v="1"/>
    <n v="2022"/>
    <x v="0"/>
  </r>
  <r>
    <x v="732"/>
    <n v="590"/>
    <x v="0"/>
    <x v="20"/>
    <n v="26233"/>
    <m/>
    <x v="551"/>
    <x v="1314"/>
    <s v="reparation "/>
    <x v="1579"/>
    <x v="729"/>
    <x v="18"/>
    <n v="300"/>
    <n v="1"/>
    <n v="2022"/>
    <x v="0"/>
  </r>
  <r>
    <x v="733"/>
    <n v="533"/>
    <x v="2"/>
    <x v="5"/>
    <n v="26164"/>
    <m/>
    <x v="247"/>
    <x v="1186"/>
    <s v="Réparation"/>
    <x v="1580"/>
    <x v="730"/>
    <x v="135"/>
    <n v="90"/>
    <n v="1"/>
    <n v="2022"/>
    <x v="0"/>
  </r>
  <r>
    <x v="734"/>
    <n v="581"/>
    <x v="0"/>
    <x v="10"/>
    <n v="26234"/>
    <m/>
    <x v="552"/>
    <x v="1315"/>
    <s v="reparation "/>
    <x v="1514"/>
    <x v="731"/>
    <x v="18"/>
    <n v="240"/>
    <n v="1"/>
    <n v="2022"/>
    <x v="0"/>
  </r>
  <r>
    <x v="734"/>
    <n v="700"/>
    <x v="1"/>
    <x v="3"/>
    <n v="26263"/>
    <m/>
    <x v="27"/>
    <x v="1316"/>
    <s v="Réparation "/>
    <x v="1581"/>
    <x v="731"/>
    <x v="18"/>
    <n v="90"/>
    <n v="1"/>
    <n v="2022"/>
    <x v="0"/>
  </r>
  <r>
    <x v="735"/>
    <n v="590"/>
    <x v="0"/>
    <x v="20"/>
    <n v="26235"/>
    <m/>
    <x v="553"/>
    <x v="1317"/>
    <s v="reparation "/>
    <x v="1582"/>
    <x v="732"/>
    <x v="18"/>
    <n v="0"/>
    <n v="1"/>
    <n v="2022"/>
    <x v="0"/>
  </r>
  <r>
    <x v="735"/>
    <n v="590"/>
    <x v="0"/>
    <x v="20"/>
    <n v="26701"/>
    <m/>
    <x v="220"/>
    <x v="1318"/>
    <s v="Réparation"/>
    <x v="1583"/>
    <x v="732"/>
    <x v="18"/>
    <n v="180"/>
    <n v="1"/>
    <n v="2022"/>
    <x v="0"/>
  </r>
  <r>
    <x v="736"/>
    <n v="580"/>
    <x v="0"/>
    <x v="11"/>
    <n v="26703"/>
    <m/>
    <x v="220"/>
    <x v="1319"/>
    <s v="Réparation"/>
    <x v="1584"/>
    <x v="733"/>
    <x v="18"/>
    <n v="90"/>
    <n v="1"/>
    <n v="2022"/>
    <x v="0"/>
  </r>
  <r>
    <x v="736"/>
    <n v="800"/>
    <x v="1"/>
    <x v="2"/>
    <n v="26165"/>
    <m/>
    <x v="554"/>
    <x v="352"/>
    <s v="Réparatio"/>
    <x v="1585"/>
    <x v="719"/>
    <x v="18"/>
    <n v="120"/>
    <n v="1"/>
    <n v="2022"/>
    <x v="0"/>
  </r>
  <r>
    <x v="736"/>
    <n v="800"/>
    <x v="1"/>
    <x v="2"/>
    <n v="26165"/>
    <m/>
    <x v="29"/>
    <x v="324"/>
    <s v="Réparation"/>
    <x v="1586"/>
    <x v="733"/>
    <x v="18"/>
    <n v="120"/>
    <n v="1"/>
    <n v="2022"/>
    <x v="0"/>
  </r>
  <r>
    <x v="737"/>
    <n v="590"/>
    <x v="0"/>
    <x v="20"/>
    <n v="26268"/>
    <m/>
    <x v="15"/>
    <x v="1320"/>
    <s v="Réparation"/>
    <x v="778"/>
    <x v="734"/>
    <x v="18"/>
    <n v="120"/>
    <n v="1"/>
    <n v="2022"/>
    <x v="0"/>
  </r>
  <r>
    <x v="737"/>
    <n v="604"/>
    <x v="0"/>
    <x v="22"/>
    <n v="26329"/>
    <m/>
    <x v="0"/>
    <x v="1321"/>
    <s v="Réparation"/>
    <x v="1587"/>
    <x v="734"/>
    <x v="18"/>
    <n v="960"/>
    <n v="1"/>
    <n v="2022"/>
    <x v="0"/>
  </r>
  <r>
    <x v="738"/>
    <n v="590"/>
    <x v="0"/>
    <x v="20"/>
    <n v="26704"/>
    <m/>
    <x v="87"/>
    <x v="77"/>
    <s v="Réparation"/>
    <x v="779"/>
    <x v="735"/>
    <x v="18"/>
    <n v="960"/>
    <n v="1"/>
    <n v="2022"/>
    <x v="0"/>
  </r>
  <r>
    <x v="738"/>
    <n v="581"/>
    <x v="0"/>
    <x v="10"/>
    <n v="26705"/>
    <m/>
    <x v="29"/>
    <x v="1322"/>
    <s v="Réparation"/>
    <x v="1559"/>
    <x v="736"/>
    <x v="18"/>
    <n v="50"/>
    <n v="1"/>
    <n v="2022"/>
    <x v="0"/>
  </r>
  <r>
    <x v="739"/>
    <n v="700"/>
    <x v="1"/>
    <x v="3"/>
    <n v="26166"/>
    <m/>
    <x v="7"/>
    <x v="1323"/>
    <s v="Réparation"/>
    <x v="1588"/>
    <x v="735"/>
    <x v="18"/>
    <n v="120"/>
    <n v="1"/>
    <n v="2022"/>
    <x v="0"/>
  </r>
  <r>
    <x v="740"/>
    <n v="590"/>
    <x v="0"/>
    <x v="20"/>
    <n v="26707"/>
    <m/>
    <x v="296"/>
    <x v="181"/>
    <s v="Réparation"/>
    <x v="79"/>
    <x v="737"/>
    <x v="18"/>
    <m/>
    <n v="2"/>
    <n v="2022"/>
    <x v="0"/>
  </r>
  <r>
    <x v="740"/>
    <n v="581"/>
    <x v="0"/>
    <x v="10"/>
    <n v="26708"/>
    <m/>
    <x v="292"/>
    <x v="1324"/>
    <s v="Réparation"/>
    <x v="1403"/>
    <x v="737"/>
    <x v="18"/>
    <m/>
    <n v="2"/>
    <n v="2022"/>
    <x v="0"/>
  </r>
  <r>
    <x v="740"/>
    <n v="605"/>
    <x v="0"/>
    <x v="13"/>
    <n v="26454"/>
    <m/>
    <x v="17"/>
    <x v="1325"/>
    <s v="Réparation"/>
    <x v="1589"/>
    <x v="737"/>
    <x v="18"/>
    <n v="240"/>
    <n v="2"/>
    <n v="2022"/>
    <x v="0"/>
  </r>
  <r>
    <x v="740"/>
    <n v="700"/>
    <x v="1"/>
    <x v="3"/>
    <n v="26167"/>
    <m/>
    <x v="51"/>
    <x v="302"/>
    <s v="Réparation"/>
    <x v="1590"/>
    <x v="737"/>
    <x v="18"/>
    <n v="120"/>
    <n v="2"/>
    <n v="2022"/>
    <x v="0"/>
  </r>
  <r>
    <x v="740"/>
    <n v="565"/>
    <x v="0"/>
    <x v="4"/>
    <n v="26653"/>
    <m/>
    <x v="160"/>
    <x v="1326"/>
    <s v="Réparation"/>
    <x v="1591"/>
    <x v="737"/>
    <x v="18"/>
    <n v="30"/>
    <n v="2"/>
    <n v="2022"/>
    <x v="0"/>
  </r>
  <r>
    <x v="741"/>
    <n v="581"/>
    <x v="0"/>
    <x v="10"/>
    <n v="26709"/>
    <m/>
    <x v="97"/>
    <x v="1327"/>
    <s v="Réparation"/>
    <x v="1592"/>
    <x v="738"/>
    <x v="18"/>
    <n v="120"/>
    <n v="2"/>
    <n v="2022"/>
    <x v="0"/>
  </r>
  <r>
    <x v="741"/>
    <n v="565"/>
    <x v="0"/>
    <x v="4"/>
    <n v="26452"/>
    <m/>
    <x v="2"/>
    <x v="1328"/>
    <s v="Réparation "/>
    <x v="1593"/>
    <x v="739"/>
    <x v="18"/>
    <n v="960"/>
    <n v="2"/>
    <n v="2022"/>
    <x v="0"/>
  </r>
  <r>
    <x v="741"/>
    <n v="568"/>
    <x v="4"/>
    <x v="14"/>
    <n v="26453"/>
    <m/>
    <x v="214"/>
    <x v="1329"/>
    <s v="Réparation"/>
    <x v="466"/>
    <x v="738"/>
    <x v="18"/>
    <n v="160"/>
    <n v="2"/>
    <n v="2022"/>
    <x v="0"/>
  </r>
  <r>
    <x v="741"/>
    <n v="565"/>
    <x v="0"/>
    <x v="4"/>
    <n v="26455"/>
    <m/>
    <x v="555"/>
    <x v="1330"/>
    <s v="Réparation "/>
    <x v="1594"/>
    <x v="738"/>
    <x v="18"/>
    <n v="180"/>
    <n v="2"/>
    <n v="2022"/>
    <x v="0"/>
  </r>
  <r>
    <x v="741"/>
    <n v="700"/>
    <x v="1"/>
    <x v="3"/>
    <n v="26168"/>
    <m/>
    <x v="24"/>
    <x v="998"/>
    <s v="Réparation"/>
    <x v="1595"/>
    <x v="738"/>
    <x v="18"/>
    <n v="150"/>
    <n v="2"/>
    <n v="2022"/>
    <x v="0"/>
  </r>
  <r>
    <x v="742"/>
    <n v="581"/>
    <x v="0"/>
    <x v="10"/>
    <n v="26710"/>
    <m/>
    <x v="302"/>
    <x v="181"/>
    <s v="Réparation"/>
    <x v="79"/>
    <x v="739"/>
    <x v="18"/>
    <n v="180"/>
    <n v="2"/>
    <n v="2022"/>
    <x v="0"/>
  </r>
  <r>
    <x v="742"/>
    <n v="580"/>
    <x v="0"/>
    <x v="11"/>
    <n v="26711"/>
    <m/>
    <x v="220"/>
    <x v="391"/>
    <s v="Réparation "/>
    <x v="1596"/>
    <x v="739"/>
    <x v="18"/>
    <n v="45"/>
    <n v="2"/>
    <n v="2022"/>
    <x v="0"/>
  </r>
  <r>
    <x v="742"/>
    <n v="800"/>
    <x v="1"/>
    <x v="2"/>
    <n v="26169"/>
    <m/>
    <x v="46"/>
    <x v="675"/>
    <s v="Réparation"/>
    <x v="1597"/>
    <x v="739"/>
    <x v="18"/>
    <n v="90"/>
    <n v="2"/>
    <n v="2022"/>
    <x v="0"/>
  </r>
  <r>
    <x v="742"/>
    <n v="700"/>
    <x v="1"/>
    <x v="3"/>
    <n v="26170"/>
    <m/>
    <x v="46"/>
    <x v="1331"/>
    <s v="Réparation"/>
    <x v="1598"/>
    <x v="739"/>
    <x v="18"/>
    <n v="480"/>
    <n v="2"/>
    <n v="2022"/>
    <x v="0"/>
  </r>
  <r>
    <x v="743"/>
    <n v="590"/>
    <x v="0"/>
    <x v="20"/>
    <n v="26712"/>
    <m/>
    <x v="126"/>
    <x v="509"/>
    <s v="Réparation"/>
    <x v="1599"/>
    <x v="740"/>
    <x v="18"/>
    <n v="45"/>
    <n v="2"/>
    <n v="2022"/>
    <x v="0"/>
  </r>
  <r>
    <x v="744"/>
    <n v="581"/>
    <x v="0"/>
    <x v="10"/>
    <n v="26714"/>
    <m/>
    <x v="295"/>
    <x v="1332"/>
    <s v="Réparation"/>
    <x v="1600"/>
    <x v="741"/>
    <x v="18"/>
    <n v="240"/>
    <n v="2"/>
    <n v="2022"/>
    <x v="0"/>
  </r>
  <r>
    <x v="744"/>
    <n v="590"/>
    <x v="0"/>
    <x v="20"/>
    <n v="26717"/>
    <m/>
    <x v="87"/>
    <x v="1333"/>
    <s v="Réparation"/>
    <x v="1601"/>
    <x v="742"/>
    <x v="18"/>
    <n v="4800"/>
    <n v="2"/>
    <n v="2022"/>
    <x v="0"/>
  </r>
  <r>
    <x v="745"/>
    <n v="606"/>
    <x v="0"/>
    <x v="17"/>
    <n v="26458"/>
    <m/>
    <x v="556"/>
    <x v="1334"/>
    <s v="Réparation "/>
    <x v="1602"/>
    <x v="743"/>
    <x v="18"/>
    <n v="120"/>
    <n v="2"/>
    <n v="2022"/>
    <x v="0"/>
  </r>
  <r>
    <x v="745"/>
    <n v="565"/>
    <x v="0"/>
    <x v="4"/>
    <n v="26459"/>
    <m/>
    <x v="11"/>
    <x v="76"/>
    <s v="Réparation "/>
    <x v="1603"/>
    <x v="743"/>
    <x v="18"/>
    <n v="120"/>
    <n v="2"/>
    <n v="2022"/>
    <x v="0"/>
  </r>
  <r>
    <x v="745"/>
    <n v="700"/>
    <x v="1"/>
    <x v="3"/>
    <n v="26171"/>
    <m/>
    <x v="7"/>
    <x v="1335"/>
    <s v="Réparation"/>
    <x v="582"/>
    <x v="743"/>
    <x v="18"/>
    <n v="60"/>
    <n v="2"/>
    <n v="2022"/>
    <x v="0"/>
  </r>
  <r>
    <x v="745"/>
    <n v="800"/>
    <x v="1"/>
    <x v="2"/>
    <n v="26172"/>
    <m/>
    <x v="69"/>
    <x v="1336"/>
    <s v="Réparation"/>
    <x v="1604"/>
    <x v="743"/>
    <x v="18"/>
    <n v="60"/>
    <n v="2"/>
    <n v="2022"/>
    <x v="0"/>
  </r>
  <r>
    <x v="746"/>
    <n v="700"/>
    <x v="1"/>
    <x v="3"/>
    <n v="26173"/>
    <m/>
    <x v="59"/>
    <x v="1337"/>
    <s v="Réparation"/>
    <x v="1605"/>
    <x v="744"/>
    <x v="18"/>
    <n v="60"/>
    <n v="2"/>
    <n v="2022"/>
    <x v="0"/>
  </r>
  <r>
    <x v="746"/>
    <n v="620"/>
    <x v="0"/>
    <x v="26"/>
    <n v="26335"/>
    <m/>
    <x v="0"/>
    <x v="1338"/>
    <s v="Réparation"/>
    <x v="1606"/>
    <x v="744"/>
    <x v="18"/>
    <n v="180"/>
    <n v="2"/>
    <n v="2022"/>
    <x v="0"/>
  </r>
  <r>
    <x v="746"/>
    <n v="620"/>
    <x v="0"/>
    <x v="26"/>
    <n v="26335"/>
    <m/>
    <x v="0"/>
    <x v="1339"/>
    <s v="Réparation"/>
    <x v="897"/>
    <x v="744"/>
    <x v="18"/>
    <n v="180"/>
    <n v="2"/>
    <n v="2022"/>
    <x v="0"/>
  </r>
  <r>
    <x v="746"/>
    <n v="620"/>
    <x v="0"/>
    <x v="26"/>
    <n v="26339"/>
    <m/>
    <x v="362"/>
    <x v="1340"/>
    <s v="Réparation"/>
    <x v="1607"/>
    <x v="744"/>
    <x v="18"/>
    <n v="120"/>
    <n v="2"/>
    <n v="2022"/>
    <x v="0"/>
  </r>
  <r>
    <x v="747"/>
    <n v="582"/>
    <x v="0"/>
    <x v="1"/>
    <n v="26719"/>
    <m/>
    <x v="227"/>
    <x v="1341"/>
    <s v="Réparation"/>
    <x v="1608"/>
    <x v="742"/>
    <x v="18"/>
    <n v="90"/>
    <n v="2"/>
    <n v="2022"/>
    <x v="0"/>
  </r>
  <r>
    <x v="747"/>
    <n v="601"/>
    <x v="0"/>
    <x v="25"/>
    <n v="26340"/>
    <m/>
    <x v="130"/>
    <x v="48"/>
    <s v="Réparation"/>
    <x v="1609"/>
    <x v="745"/>
    <x v="18"/>
    <n v="180"/>
    <n v="2"/>
    <n v="2022"/>
    <x v="0"/>
  </r>
  <r>
    <x v="747"/>
    <n v="601"/>
    <x v="0"/>
    <x v="25"/>
    <n v="26340"/>
    <m/>
    <x v="130"/>
    <x v="714"/>
    <s v="Réparation"/>
    <x v="1610"/>
    <x v="742"/>
    <x v="18"/>
    <n v="150"/>
    <n v="2"/>
    <n v="2022"/>
    <x v="0"/>
  </r>
  <r>
    <x v="748"/>
    <n v="582"/>
    <x v="0"/>
    <x v="1"/>
    <n v="26720"/>
    <m/>
    <x v="557"/>
    <x v="1342"/>
    <s v="Réparation"/>
    <x v="1611"/>
    <x v="746"/>
    <x v="18"/>
    <n v="30"/>
    <n v="2"/>
    <n v="2022"/>
    <x v="0"/>
  </r>
  <r>
    <x v="748"/>
    <n v="800"/>
    <x v="1"/>
    <x v="2"/>
    <n v="26175"/>
    <m/>
    <x v="558"/>
    <x v="1343"/>
    <s v="Réparation"/>
    <x v="1612"/>
    <x v="746"/>
    <x v="18"/>
    <n v="180"/>
    <n v="2"/>
    <n v="2022"/>
    <x v="0"/>
  </r>
  <r>
    <x v="749"/>
    <n v="565"/>
    <x v="0"/>
    <x v="4"/>
    <n v="26460"/>
    <m/>
    <x v="66"/>
    <x v="1344"/>
    <s v="Réparation"/>
    <x v="1613"/>
    <x v="747"/>
    <x v="18"/>
    <n v="1440"/>
    <n v="2"/>
    <n v="2022"/>
    <x v="0"/>
  </r>
  <r>
    <x v="750"/>
    <n v="582"/>
    <x v="0"/>
    <x v="1"/>
    <n v="26721"/>
    <m/>
    <x v="94"/>
    <x v="1345"/>
    <s v="Réparation"/>
    <x v="1614"/>
    <x v="745"/>
    <x v="18"/>
    <n v="90"/>
    <n v="2"/>
    <n v="2022"/>
    <x v="0"/>
  </r>
  <r>
    <x v="750"/>
    <n v="620"/>
    <x v="0"/>
    <x v="26"/>
    <n v="26451"/>
    <m/>
    <x v="11"/>
    <x v="43"/>
    <s v="Réparation"/>
    <x v="1615"/>
    <x v="726"/>
    <x v="18"/>
    <n v="180"/>
    <n v="1"/>
    <n v="2022"/>
    <x v="0"/>
  </r>
  <r>
    <x v="750"/>
    <n v="607"/>
    <x v="0"/>
    <x v="12"/>
    <n v="26336"/>
    <m/>
    <x v="559"/>
    <x v="84"/>
    <s v="Réparation"/>
    <x v="206"/>
    <x v="745"/>
    <x v="18"/>
    <n v="60"/>
    <n v="2"/>
    <n v="2022"/>
    <x v="0"/>
  </r>
  <r>
    <x v="750"/>
    <n v="607"/>
    <x v="0"/>
    <x v="12"/>
    <n v="26336"/>
    <m/>
    <x v="97"/>
    <x v="1346"/>
    <s v="Réparation"/>
    <x v="1616"/>
    <x v="745"/>
    <x v="18"/>
    <n v="60"/>
    <n v="2"/>
    <n v="2022"/>
    <x v="0"/>
  </r>
  <r>
    <x v="751"/>
    <n v="700"/>
    <x v="1"/>
    <x v="3"/>
    <n v="15200"/>
    <m/>
    <x v="560"/>
    <x v="1347"/>
    <s v="Réparation"/>
    <x v="1617"/>
    <x v="748"/>
    <x v="18"/>
    <n v="480"/>
    <n v="2"/>
    <n v="2022"/>
    <x v="0"/>
  </r>
  <r>
    <x v="752"/>
    <n v="581"/>
    <x v="0"/>
    <x v="10"/>
    <n v="26723"/>
    <m/>
    <x v="17"/>
    <x v="1348"/>
    <s v="Réparation"/>
    <x v="1618"/>
    <x v="749"/>
    <x v="18"/>
    <n v="70"/>
    <n v="2"/>
    <n v="2022"/>
    <x v="0"/>
  </r>
  <r>
    <x v="753"/>
    <n v="560"/>
    <x v="0"/>
    <x v="0"/>
    <n v="26343"/>
    <m/>
    <x v="231"/>
    <x v="217"/>
    <s v="Réparation"/>
    <x v="1619"/>
    <x v="750"/>
    <x v="18"/>
    <n v="1920"/>
    <n v="2"/>
    <n v="2022"/>
    <x v="0"/>
  </r>
  <r>
    <x v="754"/>
    <n v="581"/>
    <x v="0"/>
    <x v="10"/>
    <n v="25931"/>
    <m/>
    <x v="561"/>
    <x v="1349"/>
    <s v="Réparation"/>
    <x v="1620"/>
    <x v="751"/>
    <x v="18"/>
    <m/>
    <n v="2"/>
    <n v="2022"/>
    <x v="0"/>
  </r>
  <r>
    <x v="754"/>
    <n v="580"/>
    <x v="0"/>
    <x v="11"/>
    <n v="25933"/>
    <m/>
    <x v="220"/>
    <x v="1350"/>
    <s v="Réparation "/>
    <x v="1621"/>
    <x v="751"/>
    <x v="18"/>
    <n v="60"/>
    <n v="2"/>
    <n v="2022"/>
    <x v="0"/>
  </r>
  <r>
    <x v="755"/>
    <n v="582"/>
    <x v="0"/>
    <x v="1"/>
    <n v="25934"/>
    <m/>
    <x v="223"/>
    <x v="1351"/>
    <s v="Réparation"/>
    <x v="1622"/>
    <x v="752"/>
    <x v="18"/>
    <m/>
    <n v="2"/>
    <n v="2022"/>
    <x v="0"/>
  </r>
  <r>
    <x v="755"/>
    <n v="581"/>
    <x v="0"/>
    <x v="10"/>
    <n v="25936"/>
    <m/>
    <x v="94"/>
    <x v="195"/>
    <s v="Réparation"/>
    <x v="1623"/>
    <x v="752"/>
    <x v="18"/>
    <n v="60"/>
    <n v="2"/>
    <n v="2022"/>
    <x v="0"/>
  </r>
  <r>
    <x v="755"/>
    <n v="581"/>
    <x v="0"/>
    <x v="10"/>
    <n v="25937"/>
    <m/>
    <x v="15"/>
    <x v="1352"/>
    <s v="Réparation "/>
    <x v="1624"/>
    <x v="752"/>
    <x v="18"/>
    <n v="180"/>
    <n v="2"/>
    <n v="2022"/>
    <x v="0"/>
  </r>
  <r>
    <x v="756"/>
    <n v="560"/>
    <x v="0"/>
    <x v="0"/>
    <m/>
    <m/>
    <x v="562"/>
    <x v="1353"/>
    <s v="Installation"/>
    <x v="1625"/>
    <x v="753"/>
    <x v="18"/>
    <n v="11520"/>
    <n v="3"/>
    <n v="2022"/>
    <x v="0"/>
  </r>
  <r>
    <x v="756"/>
    <n v="590"/>
    <x v="0"/>
    <x v="20"/>
    <n v="25935"/>
    <m/>
    <x v="303"/>
    <x v="1354"/>
    <s v="Réparation"/>
    <x v="1403"/>
    <x v="754"/>
    <x v="18"/>
    <m/>
    <n v="2"/>
    <n v="2022"/>
    <x v="0"/>
  </r>
  <r>
    <x v="756"/>
    <n v="582"/>
    <x v="0"/>
    <x v="1"/>
    <n v="25938"/>
    <m/>
    <x v="189"/>
    <x v="1355"/>
    <s v="Réparation "/>
    <x v="1626"/>
    <x v="754"/>
    <x v="18"/>
    <n v="60"/>
    <n v="2"/>
    <n v="2022"/>
    <x v="0"/>
  </r>
  <r>
    <x v="757"/>
    <n v="580"/>
    <x v="0"/>
    <x v="11"/>
    <n v="25986"/>
    <m/>
    <x v="563"/>
    <x v="1356"/>
    <s v="Réparation"/>
    <x v="1627"/>
    <x v="755"/>
    <x v="18"/>
    <n v="90"/>
    <n v="3"/>
    <n v="2022"/>
    <x v="0"/>
  </r>
  <r>
    <x v="758"/>
    <n v="581"/>
    <x v="0"/>
    <x v="10"/>
    <n v="25940"/>
    <m/>
    <x v="15"/>
    <x v="1357"/>
    <s v="Réparation"/>
    <x v="1358"/>
    <x v="756"/>
    <x v="18"/>
    <n v="90"/>
    <n v="3"/>
    <n v="2022"/>
    <x v="0"/>
  </r>
  <r>
    <x v="759"/>
    <n v="700"/>
    <x v="1"/>
    <x v="3"/>
    <n v="16802"/>
    <m/>
    <x v="46"/>
    <x v="1358"/>
    <s v="Réparation"/>
    <x v="1628"/>
    <x v="757"/>
    <x v="18"/>
    <n v="120"/>
    <n v="3"/>
    <n v="2022"/>
    <x v="0"/>
  </r>
  <r>
    <x v="759"/>
    <n v="700"/>
    <x v="1"/>
    <x v="3"/>
    <n v="16801"/>
    <m/>
    <x v="37"/>
    <x v="1359"/>
    <s v="Réparation"/>
    <x v="1629"/>
    <x v="757"/>
    <x v="18"/>
    <n v="60"/>
    <n v="3"/>
    <n v="2022"/>
    <x v="0"/>
  </r>
  <r>
    <x v="759"/>
    <n v="582"/>
    <x v="0"/>
    <x v="1"/>
    <n v="25941"/>
    <m/>
    <x v="126"/>
    <x v="187"/>
    <s v="Réparation "/>
    <x v="353"/>
    <x v="757"/>
    <x v="18"/>
    <n v="45"/>
    <n v="3"/>
    <n v="2022"/>
    <x v="0"/>
  </r>
  <r>
    <x v="759"/>
    <n v="582"/>
    <x v="0"/>
    <x v="1"/>
    <n v="25942"/>
    <m/>
    <x v="296"/>
    <x v="1360"/>
    <s v="Réparation"/>
    <x v="1630"/>
    <x v="757"/>
    <x v="18"/>
    <m/>
    <n v="3"/>
    <n v="2022"/>
    <x v="0"/>
  </r>
  <r>
    <x v="759"/>
    <n v="582"/>
    <x v="0"/>
    <x v="1"/>
    <n v="25943"/>
    <m/>
    <x v="87"/>
    <x v="1361"/>
    <s v="Réparation"/>
    <x v="1631"/>
    <x v="757"/>
    <x v="18"/>
    <n v="240"/>
    <n v="3"/>
    <n v="2022"/>
    <x v="0"/>
  </r>
  <r>
    <x v="760"/>
    <n v="606"/>
    <x v="0"/>
    <x v="17"/>
    <n v="26656"/>
    <m/>
    <x v="192"/>
    <x v="122"/>
    <s v="Réparation"/>
    <x v="1632"/>
    <x v="758"/>
    <x v="18"/>
    <n v="360"/>
    <n v="3"/>
    <n v="2022"/>
    <x v="0"/>
  </r>
  <r>
    <x v="761"/>
    <n v="800"/>
    <x v="1"/>
    <x v="2"/>
    <n v="16803"/>
    <m/>
    <x v="564"/>
    <x v="1316"/>
    <s v="Réparation"/>
    <x v="1633"/>
    <x v="759"/>
    <x v="18"/>
    <n v="60"/>
    <n v="3"/>
    <n v="2022"/>
    <x v="0"/>
  </r>
  <r>
    <x v="761"/>
    <n v="582"/>
    <x v="0"/>
    <x v="1"/>
    <n v="25945"/>
    <m/>
    <x v="17"/>
    <x v="1362"/>
    <s v="Réparation"/>
    <x v="1634"/>
    <x v="759"/>
    <x v="18"/>
    <n v="120"/>
    <n v="3"/>
    <n v="2022"/>
    <x v="0"/>
  </r>
  <r>
    <x v="762"/>
    <n v="560"/>
    <x v="0"/>
    <x v="0"/>
    <n v="26658"/>
    <m/>
    <x v="57"/>
    <x v="1363"/>
    <s v="Réparation"/>
    <x v="1635"/>
    <x v="760"/>
    <x v="18"/>
    <n v="120"/>
    <n v="3"/>
    <n v="2022"/>
    <x v="0"/>
  </r>
  <r>
    <x v="763"/>
    <n v="582"/>
    <x v="0"/>
    <x v="1"/>
    <n v="25946"/>
    <m/>
    <x v="233"/>
    <x v="509"/>
    <s v="Réparation "/>
    <x v="353"/>
    <x v="761"/>
    <x v="18"/>
    <n v="30"/>
    <n v="3"/>
    <n v="2022"/>
    <x v="0"/>
  </r>
  <r>
    <x v="763"/>
    <n v="582"/>
    <x v="0"/>
    <x v="1"/>
    <n v="25947"/>
    <m/>
    <x v="565"/>
    <x v="1364"/>
    <s v="Réparation "/>
    <x v="1636"/>
    <x v="761"/>
    <x v="18"/>
    <n v="960"/>
    <n v="3"/>
    <n v="2022"/>
    <x v="0"/>
  </r>
  <r>
    <x v="764"/>
    <n v="590"/>
    <x v="0"/>
    <x v="20"/>
    <n v="25992"/>
    <m/>
    <x v="182"/>
    <x v="1365"/>
    <s v="Réparation "/>
    <x v="1637"/>
    <x v="762"/>
    <x v="18"/>
    <n v="150"/>
    <n v="3"/>
    <n v="2022"/>
    <x v="0"/>
  </r>
  <r>
    <x v="765"/>
    <n v="700"/>
    <x v="1"/>
    <x v="3"/>
    <n v="16804"/>
    <m/>
    <x v="325"/>
    <x v="1366"/>
    <s v="Réparation "/>
    <x v="1638"/>
    <x v="753"/>
    <x v="18"/>
    <n v="180"/>
    <n v="3"/>
    <n v="2022"/>
    <x v="0"/>
  </r>
  <r>
    <x v="765"/>
    <n v="606"/>
    <x v="0"/>
    <x v="17"/>
    <n v="26660"/>
    <m/>
    <x v="192"/>
    <x v="376"/>
    <s v="Réparation "/>
    <x v="1321"/>
    <x v="753"/>
    <x v="18"/>
    <n v="90"/>
    <n v="3"/>
    <n v="2022"/>
    <x v="0"/>
  </r>
  <r>
    <x v="765"/>
    <n v="565"/>
    <x v="0"/>
    <x v="4"/>
    <n v="26661"/>
    <m/>
    <x v="282"/>
    <x v="1367"/>
    <s v="Réparation "/>
    <x v="1639"/>
    <x v="753"/>
    <x v="18"/>
    <n v="60"/>
    <n v="3"/>
    <n v="2022"/>
    <x v="0"/>
  </r>
  <r>
    <x v="765"/>
    <n v="560"/>
    <x v="0"/>
    <x v="0"/>
    <n v="26662"/>
    <m/>
    <x v="566"/>
    <x v="1368"/>
    <s v="R&amp;éparation"/>
    <x v="1640"/>
    <x v="753"/>
    <x v="18"/>
    <n v="60"/>
    <n v="3"/>
    <n v="2022"/>
    <x v="0"/>
  </r>
  <r>
    <x v="766"/>
    <n v="700"/>
    <x v="1"/>
    <x v="3"/>
    <n v="26502"/>
    <m/>
    <x v="49"/>
    <x v="1369"/>
    <s v="Réparation"/>
    <x v="1641"/>
    <x v="763"/>
    <x v="18"/>
    <n v="105"/>
    <n v="3"/>
    <n v="2022"/>
    <x v="0"/>
  </r>
  <r>
    <x v="766"/>
    <n v="607"/>
    <x v="0"/>
    <x v="12"/>
    <n v="26503"/>
    <m/>
    <x v="0"/>
    <x v="1370"/>
    <s v="Réparation"/>
    <x v="1642"/>
    <x v="763"/>
    <x v="18"/>
    <n v="40"/>
    <n v="3"/>
    <n v="2022"/>
    <x v="0"/>
  </r>
  <r>
    <x v="767"/>
    <n v="581"/>
    <x v="0"/>
    <x v="10"/>
    <n v="26601"/>
    <m/>
    <x v="15"/>
    <x v="1371"/>
    <s v="Réparation"/>
    <x v="1643"/>
    <x v="764"/>
    <x v="18"/>
    <n v="420"/>
    <n v="3"/>
    <n v="2022"/>
    <x v="0"/>
  </r>
  <r>
    <x v="767"/>
    <n v="534"/>
    <x v="2"/>
    <x v="27"/>
    <n v="26504"/>
    <m/>
    <x v="567"/>
    <x v="1372"/>
    <s v="Réparation"/>
    <x v="1644"/>
    <x v="765"/>
    <x v="18"/>
    <n v="75"/>
    <n v="3"/>
    <n v="2022"/>
    <x v="0"/>
  </r>
  <r>
    <x v="768"/>
    <n v="582"/>
    <x v="0"/>
    <x v="1"/>
    <n v="26602"/>
    <m/>
    <x v="97"/>
    <x v="1373"/>
    <s v="Réparation"/>
    <x v="1645"/>
    <x v="766"/>
    <x v="18"/>
    <n v="105"/>
    <n v="3"/>
    <n v="2022"/>
    <x v="0"/>
  </r>
  <r>
    <x v="768"/>
    <n v="590"/>
    <x v="0"/>
    <x v="20"/>
    <n v="26603"/>
    <m/>
    <x v="220"/>
    <x v="1019"/>
    <s v="Réparation "/>
    <x v="1646"/>
    <x v="766"/>
    <x v="18"/>
    <n v="150"/>
    <n v="3"/>
    <n v="2022"/>
    <x v="0"/>
  </r>
  <r>
    <x v="768"/>
    <n v="581"/>
    <x v="0"/>
    <x v="10"/>
    <n v="26604"/>
    <m/>
    <x v="292"/>
    <x v="1209"/>
    <s v="Réparation"/>
    <x v="1647"/>
    <x v="766"/>
    <x v="18"/>
    <n v="120"/>
    <n v="3"/>
    <n v="2022"/>
    <x v="0"/>
  </r>
  <r>
    <x v="768"/>
    <n v="582"/>
    <x v="0"/>
    <x v="1"/>
    <n v="26605"/>
    <m/>
    <x v="568"/>
    <x v="1374"/>
    <s v="Réparation"/>
    <x v="1648"/>
    <x v="766"/>
    <x v="18"/>
    <n v="105"/>
    <n v="3"/>
    <n v="2022"/>
    <x v="0"/>
  </r>
  <r>
    <x v="768"/>
    <n v="590"/>
    <x v="0"/>
    <x v="20"/>
    <n v="26505"/>
    <m/>
    <x v="65"/>
    <x v="55"/>
    <s v="Réparation"/>
    <x v="1649"/>
    <x v="766"/>
    <x v="18"/>
    <n v="45"/>
    <n v="3"/>
    <n v="2022"/>
    <x v="0"/>
  </r>
  <r>
    <x v="769"/>
    <n v="580"/>
    <x v="0"/>
    <x v="11"/>
    <n v="26607"/>
    <m/>
    <x v="87"/>
    <x v="1375"/>
    <s v="Réparation"/>
    <x v="779"/>
    <x v="767"/>
    <x v="18"/>
    <n v="420"/>
    <n v="3"/>
    <n v="2022"/>
    <x v="0"/>
  </r>
  <r>
    <x v="770"/>
    <n v="581"/>
    <x v="0"/>
    <x v="10"/>
    <n v="26609"/>
    <m/>
    <x v="15"/>
    <x v="1376"/>
    <s v="Réparation"/>
    <x v="1650"/>
    <x v="768"/>
    <x v="18"/>
    <n v="90"/>
    <n v="3"/>
    <n v="2022"/>
    <x v="0"/>
  </r>
  <r>
    <x v="771"/>
    <n v="582"/>
    <x v="0"/>
    <x v="1"/>
    <n v="26610"/>
    <m/>
    <x v="9"/>
    <x v="986"/>
    <s v="Réparation "/>
    <x v="1651"/>
    <x v="769"/>
    <x v="18"/>
    <n v="60"/>
    <n v="3"/>
    <n v="2022"/>
    <x v="0"/>
  </r>
  <r>
    <x v="771"/>
    <n v="560"/>
    <x v="0"/>
    <x v="0"/>
    <n v="26506"/>
    <m/>
    <x v="57"/>
    <x v="1377"/>
    <s v="Réparation"/>
    <x v="1652"/>
    <x v="769"/>
    <x v="18"/>
    <n v="45"/>
    <n v="3"/>
    <n v="2022"/>
    <x v="0"/>
  </r>
  <r>
    <x v="772"/>
    <n v="582"/>
    <x v="0"/>
    <x v="1"/>
    <n v="26611"/>
    <m/>
    <x v="569"/>
    <x v="622"/>
    <s v="Réparation"/>
    <x v="1653"/>
    <x v="770"/>
    <x v="18"/>
    <n v="480"/>
    <n v="3"/>
    <n v="2022"/>
    <x v="0"/>
  </r>
  <r>
    <x v="773"/>
    <n v="582"/>
    <x v="0"/>
    <x v="1"/>
    <n v="26612"/>
    <m/>
    <x v="189"/>
    <x v="1378"/>
    <s v="Réparation"/>
    <x v="1584"/>
    <x v="771"/>
    <x v="18"/>
    <n v="40"/>
    <n v="3"/>
    <n v="2022"/>
    <x v="0"/>
  </r>
  <r>
    <x v="773"/>
    <n v="582"/>
    <x v="0"/>
    <x v="1"/>
    <n v="26613"/>
    <m/>
    <x v="241"/>
    <x v="35"/>
    <s v="Réparation"/>
    <x v="353"/>
    <x v="771"/>
    <x v="18"/>
    <n v="30"/>
    <n v="3"/>
    <n v="2022"/>
    <x v="0"/>
  </r>
  <r>
    <x v="773"/>
    <n v="581"/>
    <x v="0"/>
    <x v="10"/>
    <n v="26614"/>
    <m/>
    <x v="561"/>
    <x v="509"/>
    <s v="Réparation"/>
    <x v="1654"/>
    <x v="771"/>
    <x v="18"/>
    <n v="30"/>
    <n v="3"/>
    <n v="2022"/>
    <x v="0"/>
  </r>
  <r>
    <x v="773"/>
    <n v="581"/>
    <x v="0"/>
    <x v="10"/>
    <n v="26615"/>
    <m/>
    <x v="570"/>
    <x v="217"/>
    <s v="Réparation"/>
    <x v="1655"/>
    <x v="771"/>
    <x v="18"/>
    <m/>
    <n v="3"/>
    <n v="2022"/>
    <x v="0"/>
  </r>
  <r>
    <x v="774"/>
    <n v="534"/>
    <x v="2"/>
    <x v="27"/>
    <n v="26523"/>
    <m/>
    <x v="571"/>
    <x v="1379"/>
    <s v="Réparation"/>
    <x v="1656"/>
    <x v="772"/>
    <x v="18"/>
    <n v="60"/>
    <n v="4"/>
    <n v="2022"/>
    <x v="0"/>
  </r>
  <r>
    <x v="775"/>
    <n v="583"/>
    <x v="4"/>
    <x v="21"/>
    <n v="26617"/>
    <m/>
    <x v="6"/>
    <x v="1380"/>
    <s v="Réparation"/>
    <x v="342"/>
    <x v="773"/>
    <x v="18"/>
    <n v="90"/>
    <n v="4"/>
    <n v="2022"/>
    <x v="0"/>
  </r>
  <r>
    <x v="775"/>
    <n v="581"/>
    <x v="0"/>
    <x v="10"/>
    <n v="26619"/>
    <m/>
    <x v="65"/>
    <x v="1381"/>
    <s v="Réparation"/>
    <x v="1657"/>
    <x v="773"/>
    <x v="18"/>
    <n v="75"/>
    <n v="4"/>
    <n v="2022"/>
    <x v="0"/>
  </r>
  <r>
    <x v="776"/>
    <n v="700"/>
    <x v="1"/>
    <x v="3"/>
    <n v="26507"/>
    <m/>
    <x v="46"/>
    <x v="1382"/>
    <s v="Réparation"/>
    <x v="700"/>
    <x v="774"/>
    <x v="18"/>
    <n v="90"/>
    <n v="4"/>
    <n v="2022"/>
    <x v="0"/>
  </r>
  <r>
    <x v="776"/>
    <n v="800"/>
    <x v="1"/>
    <x v="2"/>
    <n v="26508"/>
    <m/>
    <x v="572"/>
    <x v="1383"/>
    <s v="Réparation"/>
    <x v="1658"/>
    <x v="774"/>
    <x v="18"/>
    <n v="25"/>
    <n v="4"/>
    <n v="2022"/>
    <x v="0"/>
  </r>
  <r>
    <x v="777"/>
    <n v="565"/>
    <x v="0"/>
    <x v="4"/>
    <n v="26509"/>
    <m/>
    <x v="573"/>
    <x v="1384"/>
    <s v="Réparation"/>
    <x v="1659"/>
    <x v="775"/>
    <x v="18"/>
    <n v="65"/>
    <n v="4"/>
    <n v="2022"/>
    <x v="0"/>
  </r>
  <r>
    <x v="778"/>
    <n v="580"/>
    <x v="0"/>
    <x v="11"/>
    <n v="26623"/>
    <m/>
    <x v="87"/>
    <x v="1385"/>
    <s v="Réparation"/>
    <x v="1660"/>
    <x v="317"/>
    <x v="18"/>
    <m/>
    <n v="4"/>
    <n v="2022"/>
    <x v="0"/>
  </r>
  <r>
    <x v="779"/>
    <n v="583"/>
    <x v="4"/>
    <x v="21"/>
    <n v="26510"/>
    <m/>
    <x v="121"/>
    <x v="1386"/>
    <s v="Réparation"/>
    <x v="1661"/>
    <x v="776"/>
    <x v="18"/>
    <n v="90"/>
    <n v="4"/>
    <n v="2022"/>
    <x v="0"/>
  </r>
  <r>
    <x v="779"/>
    <n v="800"/>
    <x v="1"/>
    <x v="2"/>
    <n v="26518"/>
    <m/>
    <x v="27"/>
    <x v="336"/>
    <s v="Réparation"/>
    <x v="1662"/>
    <x v="776"/>
    <x v="18"/>
    <n v="150"/>
    <n v="4"/>
    <n v="2022"/>
    <x v="0"/>
  </r>
  <r>
    <x v="780"/>
    <n v="700"/>
    <x v="1"/>
    <x v="3"/>
    <n v="26519"/>
    <m/>
    <x v="24"/>
    <x v="1387"/>
    <s v="Réparation"/>
    <x v="1663"/>
    <x v="777"/>
    <x v="18"/>
    <n v="700"/>
    <n v="4"/>
    <n v="2022"/>
    <x v="0"/>
  </r>
  <r>
    <x v="781"/>
    <n v="800"/>
    <x v="1"/>
    <x v="2"/>
    <n v="26513"/>
    <m/>
    <x v="171"/>
    <x v="1019"/>
    <s v="Réparation"/>
    <x v="1664"/>
    <x v="778"/>
    <x v="18"/>
    <n v="60"/>
    <n v="4"/>
    <n v="2022"/>
    <x v="0"/>
  </r>
  <r>
    <x v="782"/>
    <n v="582"/>
    <x v="0"/>
    <x v="1"/>
    <n v="26625"/>
    <m/>
    <x v="87"/>
    <x v="273"/>
    <s v="Réparation"/>
    <x v="779"/>
    <x v="779"/>
    <x v="18"/>
    <n v="360"/>
    <n v="4"/>
    <n v="2022"/>
    <x v="0"/>
  </r>
  <r>
    <x v="782"/>
    <n v="582"/>
    <x v="0"/>
    <x v="1"/>
    <n v="26626"/>
    <m/>
    <x v="574"/>
    <x v="1319"/>
    <s v="Réparation"/>
    <x v="1665"/>
    <x v="779"/>
    <x v="18"/>
    <n v="60"/>
    <n v="4"/>
    <n v="2022"/>
    <x v="0"/>
  </r>
  <r>
    <x v="782"/>
    <n v="582"/>
    <x v="0"/>
    <x v="1"/>
    <n v="26627"/>
    <m/>
    <x v="244"/>
    <x v="217"/>
    <s v="Réparation"/>
    <x v="1666"/>
    <x v="779"/>
    <x v="18"/>
    <n v="240"/>
    <n v="4"/>
    <n v="2022"/>
    <x v="0"/>
  </r>
  <r>
    <x v="783"/>
    <n v="700"/>
    <x v="1"/>
    <x v="3"/>
    <n v="26511"/>
    <m/>
    <x v="218"/>
    <x v="1388"/>
    <s v="Réparation"/>
    <x v="1667"/>
    <x v="780"/>
    <x v="18"/>
    <n v="60"/>
    <n v="4"/>
    <n v="2022"/>
    <x v="0"/>
  </r>
  <r>
    <x v="783"/>
    <n v="700"/>
    <x v="1"/>
    <x v="3"/>
    <n v="26512"/>
    <m/>
    <x v="49"/>
    <x v="1389"/>
    <s v="Réparation"/>
    <x v="1668"/>
    <x v="780"/>
    <x v="18"/>
    <n v="60"/>
    <n v="4"/>
    <n v="2022"/>
    <x v="0"/>
  </r>
  <r>
    <x v="784"/>
    <n v="700"/>
    <x v="1"/>
    <x v="3"/>
    <n v="26520"/>
    <m/>
    <x v="49"/>
    <x v="1390"/>
    <s v="Réparation"/>
    <x v="1669"/>
    <x v="781"/>
    <x v="136"/>
    <n v="1920"/>
    <n v="4"/>
    <n v="2022"/>
    <x v="1"/>
  </r>
  <r>
    <x v="785"/>
    <n v="582"/>
    <x v="0"/>
    <x v="1"/>
    <n v="26628"/>
    <m/>
    <x v="15"/>
    <x v="1391"/>
    <s v="Réparation"/>
    <x v="1670"/>
    <x v="782"/>
    <x v="18"/>
    <n v="60"/>
    <n v="4"/>
    <n v="2022"/>
    <x v="0"/>
  </r>
  <r>
    <x v="785"/>
    <n v="582"/>
    <x v="0"/>
    <x v="1"/>
    <n v="26629"/>
    <m/>
    <x v="575"/>
    <x v="534"/>
    <s v="Réparation"/>
    <x v="1671"/>
    <x v="782"/>
    <x v="18"/>
    <n v="180"/>
    <n v="4"/>
    <n v="2022"/>
    <x v="0"/>
  </r>
  <r>
    <x v="786"/>
    <n v="590"/>
    <x v="0"/>
    <x v="20"/>
    <n v="26515"/>
    <m/>
    <x v="17"/>
    <x v="987"/>
    <s v="Réparation"/>
    <x v="175"/>
    <x v="783"/>
    <x v="18"/>
    <n v="90"/>
    <n v="4"/>
    <n v="2022"/>
    <x v="0"/>
  </r>
  <r>
    <x v="787"/>
    <n v="582"/>
    <x v="0"/>
    <x v="1"/>
    <n v="26630"/>
    <m/>
    <x v="576"/>
    <x v="273"/>
    <s v="Réparation"/>
    <x v="1672"/>
    <x v="784"/>
    <x v="18"/>
    <n v="360"/>
    <n v="4"/>
    <n v="2022"/>
    <x v="0"/>
  </r>
  <r>
    <x v="787"/>
    <n v="581"/>
    <x v="0"/>
    <x v="10"/>
    <n v="26801"/>
    <m/>
    <x v="314"/>
    <x v="1392"/>
    <s v="Réparation"/>
    <x v="1673"/>
    <x v="784"/>
    <x v="18"/>
    <n v="45"/>
    <n v="4"/>
    <n v="2022"/>
    <x v="0"/>
  </r>
  <r>
    <x v="788"/>
    <n v="581"/>
    <x v="0"/>
    <x v="10"/>
    <n v="26802"/>
    <m/>
    <x v="294"/>
    <x v="217"/>
    <s v="Réparation"/>
    <x v="1674"/>
    <x v="785"/>
    <x v="18"/>
    <n v="240"/>
    <n v="4"/>
    <n v="2022"/>
    <x v="0"/>
  </r>
  <r>
    <x v="789"/>
    <n v="582"/>
    <x v="0"/>
    <x v="1"/>
    <n v="26803"/>
    <m/>
    <x v="362"/>
    <x v="1393"/>
    <s v="Réparation"/>
    <x v="1675"/>
    <x v="786"/>
    <x v="18"/>
    <n v="45"/>
    <n v="4"/>
    <n v="2022"/>
    <x v="0"/>
  </r>
  <r>
    <x v="790"/>
    <n v="581"/>
    <x v="0"/>
    <x v="10"/>
    <n v="26805"/>
    <m/>
    <x v="94"/>
    <x v="1394"/>
    <s v="Réparation"/>
    <x v="1676"/>
    <x v="787"/>
    <x v="18"/>
    <n v="90"/>
    <n v="4"/>
    <n v="2022"/>
    <x v="0"/>
  </r>
  <r>
    <x v="791"/>
    <n v="700"/>
    <x v="1"/>
    <x v="3"/>
    <n v="26516"/>
    <m/>
    <x v="46"/>
    <x v="55"/>
    <s v="Réparation"/>
    <x v="1677"/>
    <x v="788"/>
    <x v="18"/>
    <n v="60"/>
    <n v="4"/>
    <n v="2022"/>
    <x v="0"/>
  </r>
  <r>
    <x v="792"/>
    <n v="700"/>
    <x v="1"/>
    <x v="3"/>
    <m/>
    <m/>
    <x v="51"/>
    <x v="472"/>
    <s v="Vidange"/>
    <x v="1539"/>
    <x v="789"/>
    <x v="18"/>
    <n v="45"/>
    <n v="5"/>
    <n v="2022"/>
    <x v="0"/>
  </r>
  <r>
    <x v="793"/>
    <n v="700"/>
    <x v="1"/>
    <x v="3"/>
    <n v="26573"/>
    <m/>
    <x v="37"/>
    <x v="311"/>
    <s v="Réparation"/>
    <x v="1678"/>
    <x v="790"/>
    <x v="18"/>
    <n v="120"/>
    <n v="5"/>
    <n v="2022"/>
    <x v="0"/>
  </r>
  <r>
    <x v="794"/>
    <n v="582"/>
    <x v="0"/>
    <x v="1"/>
    <n v="26807"/>
    <m/>
    <x v="189"/>
    <x v="1395"/>
    <s v="Réparation"/>
    <x v="1653"/>
    <x v="791"/>
    <x v="18"/>
    <n v="75"/>
    <n v="5"/>
    <n v="2022"/>
    <x v="0"/>
  </r>
  <r>
    <x v="794"/>
    <n v="582"/>
    <x v="0"/>
    <x v="1"/>
    <n v="26808"/>
    <m/>
    <x v="126"/>
    <x v="217"/>
    <s v="Réparation"/>
    <x v="1403"/>
    <x v="791"/>
    <x v="18"/>
    <n v="240"/>
    <n v="5"/>
    <n v="2022"/>
    <x v="0"/>
  </r>
  <r>
    <x v="794"/>
    <n v="700"/>
    <x v="1"/>
    <x v="3"/>
    <s v="26577_x000a_26578_x000a_26579"/>
    <m/>
    <x v="92"/>
    <x v="498"/>
    <s v="Réparation"/>
    <x v="1679"/>
    <x v="792"/>
    <x v="18"/>
    <n v="2880"/>
    <n v="5"/>
    <n v="2022"/>
    <x v="0"/>
  </r>
  <r>
    <x v="795"/>
    <n v="565"/>
    <x v="0"/>
    <x v="4"/>
    <n v="26683"/>
    <m/>
    <x v="282"/>
    <x v="1396"/>
    <s v="Réparation"/>
    <x v="1680"/>
    <x v="793"/>
    <x v="18"/>
    <n v="480"/>
    <n v="5"/>
    <n v="2022"/>
    <x v="0"/>
  </r>
  <r>
    <x v="796"/>
    <n v="700"/>
    <x v="1"/>
    <x v="3"/>
    <n v="26574"/>
    <m/>
    <x v="577"/>
    <x v="1397"/>
    <s v="Réparation"/>
    <x v="1681"/>
    <x v="794"/>
    <x v="18"/>
    <n v="40"/>
    <n v="5"/>
    <n v="2022"/>
    <x v="0"/>
  </r>
  <r>
    <x v="797"/>
    <n v="582"/>
    <x v="0"/>
    <x v="1"/>
    <n v="26810"/>
    <m/>
    <x v="65"/>
    <x v="1392"/>
    <s v="Réparation"/>
    <x v="1673"/>
    <x v="795"/>
    <x v="18"/>
    <n v="60"/>
    <n v="5"/>
    <n v="2022"/>
    <x v="0"/>
  </r>
  <r>
    <x v="797"/>
    <n v="800"/>
    <x v="1"/>
    <x v="2"/>
    <n v="26575"/>
    <m/>
    <x v="24"/>
    <x v="1398"/>
    <s v="Réparation"/>
    <x v="1682"/>
    <x v="795"/>
    <x v="18"/>
    <n v="240"/>
    <n v="5"/>
    <n v="2022"/>
    <x v="0"/>
  </r>
  <r>
    <x v="798"/>
    <n v="582"/>
    <x v="0"/>
    <x v="1"/>
    <n v="26811"/>
    <m/>
    <x v="126"/>
    <x v="35"/>
    <s v="Réparation"/>
    <x v="1683"/>
    <x v="796"/>
    <x v="18"/>
    <n v="45"/>
    <n v="5"/>
    <n v="2022"/>
    <x v="0"/>
  </r>
  <r>
    <x v="798"/>
    <n v="582"/>
    <x v="0"/>
    <x v="1"/>
    <n v="26812"/>
    <m/>
    <x v="569"/>
    <x v="273"/>
    <s v="Réparaition"/>
    <x v="1684"/>
    <x v="796"/>
    <x v="18"/>
    <n v="600"/>
    <n v="5"/>
    <n v="2022"/>
    <x v="0"/>
  </r>
  <r>
    <x v="798"/>
    <n v="565"/>
    <x v="0"/>
    <x v="4"/>
    <n v="26684"/>
    <m/>
    <x v="282"/>
    <x v="1399"/>
    <s v="Réparation"/>
    <x v="627"/>
    <x v="796"/>
    <x v="18"/>
    <n v="30"/>
    <n v="5"/>
    <n v="2022"/>
    <x v="0"/>
  </r>
  <r>
    <x v="798"/>
    <n v="800"/>
    <x v="1"/>
    <x v="2"/>
    <n v="26576"/>
    <m/>
    <x v="48"/>
    <x v="1400"/>
    <s v="Réparation"/>
    <x v="1358"/>
    <x v="796"/>
    <x v="18"/>
    <n v="40"/>
    <n v="5"/>
    <n v="2022"/>
    <x v="0"/>
  </r>
  <r>
    <x v="799"/>
    <n v="606"/>
    <x v="0"/>
    <x v="17"/>
    <n v="26686"/>
    <m/>
    <x v="97"/>
    <x v="1401"/>
    <s v="Réparation"/>
    <x v="206"/>
    <x v="797"/>
    <x v="18"/>
    <n v="90"/>
    <n v="5"/>
    <n v="2022"/>
    <x v="0"/>
  </r>
  <r>
    <x v="800"/>
    <n v="582"/>
    <x v="0"/>
    <x v="1"/>
    <n v="26813"/>
    <m/>
    <x v="126"/>
    <x v="331"/>
    <s v="Réparation"/>
    <x v="1685"/>
    <x v="798"/>
    <x v="18"/>
    <n v="120"/>
    <n v="5"/>
    <n v="2022"/>
    <x v="0"/>
  </r>
  <r>
    <x v="800"/>
    <n v="581"/>
    <x v="0"/>
    <x v="10"/>
    <n v="26815"/>
    <m/>
    <x v="295"/>
    <x v="181"/>
    <s v="Réparation"/>
    <x v="1686"/>
    <x v="798"/>
    <x v="18"/>
    <n v="240"/>
    <n v="5"/>
    <n v="2022"/>
    <x v="0"/>
  </r>
  <r>
    <x v="801"/>
    <n v="582"/>
    <x v="0"/>
    <x v="1"/>
    <n v="26816"/>
    <m/>
    <x v="9"/>
    <x v="1402"/>
    <s v="Réparation"/>
    <x v="1687"/>
    <x v="799"/>
    <x v="18"/>
    <n v="60"/>
    <n v="5"/>
    <n v="2022"/>
    <x v="0"/>
  </r>
  <r>
    <x v="801"/>
    <n v="582"/>
    <x v="0"/>
    <x v="1"/>
    <n v="26817"/>
    <m/>
    <x v="189"/>
    <x v="189"/>
    <s v="Réparation"/>
    <x v="1688"/>
    <x v="799"/>
    <x v="18"/>
    <n v="30"/>
    <n v="5"/>
    <n v="2022"/>
    <x v="0"/>
  </r>
  <r>
    <x v="801"/>
    <n v="605"/>
    <x v="0"/>
    <x v="13"/>
    <n v="26687"/>
    <m/>
    <x v="17"/>
    <x v="1403"/>
    <s v="Réparation"/>
    <x v="1689"/>
    <x v="799"/>
    <x v="18"/>
    <n v="20"/>
    <n v="5"/>
    <n v="2022"/>
    <x v="0"/>
  </r>
  <r>
    <x v="801"/>
    <n v="584"/>
    <x v="4"/>
    <x v="24"/>
    <n v="26522"/>
    <m/>
    <x v="27"/>
    <x v="1404"/>
    <s v="Réparation"/>
    <x v="1690"/>
    <x v="799"/>
    <x v="18"/>
    <n v="150"/>
    <n v="5"/>
    <n v="2022"/>
    <x v="0"/>
  </r>
  <r>
    <x v="801"/>
    <n v="584"/>
    <x v="4"/>
    <x v="24"/>
    <n v="26522"/>
    <m/>
    <x v="578"/>
    <x v="1405"/>
    <s v="Réparation"/>
    <x v="1691"/>
    <x v="799"/>
    <x v="18"/>
    <n v="150"/>
    <n v="5"/>
    <n v="2022"/>
    <x v="0"/>
  </r>
  <r>
    <x v="802"/>
    <n v="582"/>
    <x v="0"/>
    <x v="1"/>
    <n v="26818"/>
    <m/>
    <x v="579"/>
    <x v="1406"/>
    <s v="Réparation"/>
    <x v="1692"/>
    <x v="800"/>
    <x v="18"/>
    <n v="135"/>
    <n v="5"/>
    <n v="2022"/>
    <x v="0"/>
  </r>
  <r>
    <x v="802"/>
    <n v="700"/>
    <x v="1"/>
    <x v="3"/>
    <n v="26580"/>
    <m/>
    <x v="60"/>
    <x v="1407"/>
    <s v="Réparation "/>
    <x v="1693"/>
    <x v="800"/>
    <x v="18"/>
    <n v="240"/>
    <n v="5"/>
    <n v="2022"/>
    <x v="0"/>
  </r>
  <r>
    <x v="802"/>
    <n v="583"/>
    <x v="4"/>
    <x v="21"/>
    <n v="26517"/>
    <m/>
    <x v="6"/>
    <x v="1408"/>
    <s v="Réparation"/>
    <x v="1694"/>
    <x v="800"/>
    <x v="18"/>
    <n v="180"/>
    <n v="5"/>
    <n v="2022"/>
    <x v="0"/>
  </r>
  <r>
    <x v="803"/>
    <n v="590"/>
    <x v="0"/>
    <x v="20"/>
    <n v="26818"/>
    <m/>
    <x v="9"/>
    <x v="324"/>
    <s v="Réparation"/>
    <x v="1695"/>
    <x v="801"/>
    <x v="18"/>
    <m/>
    <n v="5"/>
    <n v="2022"/>
    <x v="0"/>
  </r>
  <r>
    <x v="803"/>
    <n v="582"/>
    <x v="0"/>
    <x v="1"/>
    <n v="26820"/>
    <m/>
    <x v="237"/>
    <x v="331"/>
    <s v="Réparation"/>
    <x v="472"/>
    <x v="801"/>
    <x v="18"/>
    <n v="120"/>
    <n v="5"/>
    <n v="2022"/>
    <x v="0"/>
  </r>
  <r>
    <x v="804"/>
    <n v="700"/>
    <x v="1"/>
    <x v="3"/>
    <n v="26581"/>
    <m/>
    <x v="9"/>
    <x v="1409"/>
    <s v="Réparation"/>
    <x v="1696"/>
    <x v="802"/>
    <x v="18"/>
    <n v="120"/>
    <n v="5"/>
    <n v="2022"/>
    <x v="0"/>
  </r>
  <r>
    <x v="805"/>
    <n v="582"/>
    <x v="0"/>
    <x v="1"/>
    <n v="26951"/>
    <m/>
    <x v="580"/>
    <x v="1410"/>
    <s v="Réparation"/>
    <x v="79"/>
    <x v="803"/>
    <x v="18"/>
    <n v="120"/>
    <n v="5"/>
    <n v="2022"/>
    <x v="0"/>
  </r>
  <r>
    <x v="806"/>
    <n v="605"/>
    <x v="0"/>
    <x v="13"/>
    <n v="26688"/>
    <m/>
    <x v="97"/>
    <x v="374"/>
    <s v="Réparation"/>
    <x v="1697"/>
    <x v="804"/>
    <x v="18"/>
    <n v="240"/>
    <n v="5"/>
    <n v="2022"/>
    <x v="0"/>
  </r>
  <r>
    <x v="806"/>
    <n v="565"/>
    <x v="0"/>
    <x v="4"/>
    <n v="26689"/>
    <m/>
    <x v="581"/>
    <x v="1411"/>
    <s v="Réparation"/>
    <x v="1698"/>
    <x v="804"/>
    <x v="18"/>
    <n v="40"/>
    <n v="5"/>
    <n v="2022"/>
    <x v="0"/>
  </r>
  <r>
    <x v="806"/>
    <n v="582"/>
    <x v="0"/>
    <x v="1"/>
    <n v="26952"/>
    <m/>
    <x v="433"/>
    <x v="1412"/>
    <s v="Réparation"/>
    <x v="1699"/>
    <x v="804"/>
    <x v="18"/>
    <n v="45"/>
    <n v="5"/>
    <n v="2022"/>
    <x v="0"/>
  </r>
  <r>
    <x v="807"/>
    <n v="800"/>
    <x v="1"/>
    <x v="2"/>
    <n v="26582"/>
    <m/>
    <x v="37"/>
    <x v="473"/>
    <s v="Réparation"/>
    <x v="1700"/>
    <x v="805"/>
    <x v="18"/>
    <n v="215"/>
    <n v="5"/>
    <n v="2022"/>
    <x v="0"/>
  </r>
  <r>
    <x v="808"/>
    <n v="700"/>
    <x v="1"/>
    <x v="3"/>
    <n v="26583"/>
    <m/>
    <x v="49"/>
    <x v="1413"/>
    <s v="Réparation"/>
    <x v="1701"/>
    <x v="806"/>
    <x v="18"/>
    <n v="120"/>
    <n v="5"/>
    <n v="2022"/>
    <x v="0"/>
  </r>
  <r>
    <x v="809"/>
    <n v="800"/>
    <x v="1"/>
    <x v="2"/>
    <n v="26584"/>
    <m/>
    <x v="582"/>
    <x v="1414"/>
    <s v="Réparation"/>
    <x v="1702"/>
    <x v="807"/>
    <x v="18"/>
    <n v="90"/>
    <n v="5"/>
    <n v="2022"/>
    <x v="0"/>
  </r>
  <r>
    <x v="809"/>
    <n v="582"/>
    <x v="0"/>
    <x v="1"/>
    <n v="26953"/>
    <m/>
    <x v="244"/>
    <x v="181"/>
    <s v="Réparation"/>
    <x v="1703"/>
    <x v="807"/>
    <x v="18"/>
    <m/>
    <n v="5"/>
    <n v="2022"/>
    <x v="0"/>
  </r>
  <r>
    <x v="809"/>
    <n v="580"/>
    <x v="0"/>
    <x v="11"/>
    <n v="26954"/>
    <m/>
    <x v="17"/>
    <x v="1415"/>
    <s v="Réparation "/>
    <x v="1704"/>
    <x v="807"/>
    <x v="18"/>
    <n v="90"/>
    <n v="5"/>
    <n v="2022"/>
    <x v="0"/>
  </r>
  <r>
    <x v="809"/>
    <n v="580"/>
    <x v="0"/>
    <x v="11"/>
    <n v="26955"/>
    <m/>
    <x v="87"/>
    <x v="1416"/>
    <s v="Réparation"/>
    <x v="799"/>
    <x v="807"/>
    <x v="18"/>
    <n v="120"/>
    <n v="5"/>
    <n v="2022"/>
    <x v="0"/>
  </r>
  <r>
    <x v="809"/>
    <n v="580"/>
    <x v="0"/>
    <x v="11"/>
    <n v="26956"/>
    <m/>
    <x v="87"/>
    <x v="1417"/>
    <s v="Réparation"/>
    <x v="1705"/>
    <x v="807"/>
    <x v="18"/>
    <n v="90"/>
    <n v="5"/>
    <n v="2022"/>
    <x v="0"/>
  </r>
  <r>
    <x v="809"/>
    <n v="580"/>
    <x v="0"/>
    <x v="11"/>
    <n v="26957"/>
    <m/>
    <x v="100"/>
    <x v="1034"/>
    <s v="Réparation"/>
    <x v="1706"/>
    <x v="807"/>
    <x v="18"/>
    <n v="8"/>
    <n v="5"/>
    <n v="2022"/>
    <x v="0"/>
  </r>
  <r>
    <x v="810"/>
    <n v="700"/>
    <x v="1"/>
    <x v="3"/>
    <n v="26585"/>
    <m/>
    <x v="24"/>
    <x v="1418"/>
    <s v="Réparation"/>
    <x v="1707"/>
    <x v="808"/>
    <x v="18"/>
    <n v="120"/>
    <n v="5"/>
    <n v="2022"/>
    <x v="0"/>
  </r>
  <r>
    <x v="811"/>
    <n v="581"/>
    <x v="0"/>
    <x v="10"/>
    <n v="24501"/>
    <s v="s"/>
    <x v="346"/>
    <x v="966"/>
    <s v="Changement"/>
    <x v="1197"/>
    <x v="809"/>
    <x v="18"/>
    <m/>
    <n v="6"/>
    <n v="2022"/>
    <x v="0"/>
  </r>
  <r>
    <x v="811"/>
    <n v="582"/>
    <x v="0"/>
    <x v="1"/>
    <n v="24502"/>
    <s v="s"/>
    <x v="219"/>
    <x v="967"/>
    <s v="Changement"/>
    <x v="1198"/>
    <x v="809"/>
    <x v="18"/>
    <n v="30"/>
    <n v="6"/>
    <n v="2022"/>
    <x v="0"/>
  </r>
  <r>
    <x v="811"/>
    <n v="581"/>
    <x v="0"/>
    <x v="10"/>
    <n v="24503"/>
    <s v="s"/>
    <x v="346"/>
    <x v="968"/>
    <s v="Changement"/>
    <x v="1199"/>
    <x v="809"/>
    <x v="18"/>
    <n v="180"/>
    <n v="6"/>
    <n v="2022"/>
    <x v="0"/>
  </r>
  <r>
    <x v="811"/>
    <n v="700"/>
    <x v="1"/>
    <x v="3"/>
    <n v="25501"/>
    <s v="s"/>
    <x v="347"/>
    <x v="969"/>
    <s v="Changement"/>
    <x v="1200"/>
    <x v="809"/>
    <x v="18"/>
    <n v="45"/>
    <n v="6"/>
    <n v="2022"/>
    <x v="0"/>
  </r>
  <r>
    <x v="811"/>
    <n v="700"/>
    <x v="1"/>
    <x v="3"/>
    <n v="25502"/>
    <s v="s"/>
    <x v="348"/>
    <x v="970"/>
    <s v="Changement"/>
    <x v="1201"/>
    <x v="809"/>
    <x v="18"/>
    <n v="60"/>
    <n v="6"/>
    <n v="2022"/>
    <x v="0"/>
  </r>
  <r>
    <x v="811"/>
    <n v="565"/>
    <x v="0"/>
    <x v="4"/>
    <n v="25551"/>
    <s v="s"/>
    <x v="349"/>
    <x v="971"/>
    <s v="Changement"/>
    <x v="1202"/>
    <x v="809"/>
    <x v="18"/>
    <n v="25"/>
    <n v="6"/>
    <n v="2022"/>
    <x v="0"/>
  </r>
  <r>
    <x v="811"/>
    <n v="607"/>
    <x v="0"/>
    <x v="12"/>
    <m/>
    <s v="s"/>
    <x v="0"/>
    <x v="25"/>
    <m/>
    <x v="1203"/>
    <x v="810"/>
    <x v="18"/>
    <n v="24960"/>
    <n v="6"/>
    <n v="2022"/>
    <x v="0"/>
  </r>
  <r>
    <x v="812"/>
    <n v="562"/>
    <x v="4"/>
    <x v="8"/>
    <n v="26524"/>
    <m/>
    <x v="189"/>
    <x v="1196"/>
    <s v="Réparation"/>
    <x v="1708"/>
    <x v="811"/>
    <x v="18"/>
    <n v="90"/>
    <n v="6"/>
    <n v="2022"/>
    <x v="0"/>
  </r>
  <r>
    <x v="812"/>
    <n v="800"/>
    <x v="1"/>
    <x v="2"/>
    <n v="25503"/>
    <s v="s"/>
    <x v="37"/>
    <x v="972"/>
    <s v="Réglage"/>
    <x v="1204"/>
    <x v="811"/>
    <x v="18"/>
    <n v="120"/>
    <n v="6"/>
    <n v="2022"/>
    <x v="0"/>
  </r>
  <r>
    <x v="812"/>
    <n v="604"/>
    <x v="0"/>
    <x v="22"/>
    <n v="24551"/>
    <s v="s"/>
    <x v="0"/>
    <x v="964"/>
    <s v="Changement"/>
    <x v="220"/>
    <x v="811"/>
    <x v="18"/>
    <n v="60"/>
    <n v="6"/>
    <n v="2022"/>
    <x v="0"/>
  </r>
  <r>
    <x v="812"/>
    <n v="560"/>
    <x v="0"/>
    <x v="0"/>
    <n v="25552"/>
    <s v="s"/>
    <x v="350"/>
    <x v="973"/>
    <s v="Changement"/>
    <x v="1205"/>
    <x v="811"/>
    <x v="18"/>
    <n v="15"/>
    <n v="6"/>
    <n v="2022"/>
    <x v="0"/>
  </r>
  <r>
    <x v="813"/>
    <n v="580"/>
    <x v="0"/>
    <x v="11"/>
    <n v="26525"/>
    <m/>
    <x v="583"/>
    <x v="66"/>
    <s v="Réparation"/>
    <x v="864"/>
    <x v="812"/>
    <x v="18"/>
    <n v="120"/>
    <n v="6"/>
    <n v="2022"/>
    <x v="0"/>
  </r>
  <r>
    <x v="813"/>
    <n v="800"/>
    <x v="1"/>
    <x v="2"/>
    <n v="25504"/>
    <s v="s"/>
    <x v="9"/>
    <x v="974"/>
    <s v="Changement"/>
    <x v="1206"/>
    <x v="812"/>
    <x v="18"/>
    <n v="60"/>
    <n v="6"/>
    <n v="2022"/>
    <x v="0"/>
  </r>
  <r>
    <x v="813"/>
    <n v="700"/>
    <x v="1"/>
    <x v="3"/>
    <n v="25505"/>
    <s v="s"/>
    <x v="24"/>
    <x v="975"/>
    <s v="Rectification"/>
    <x v="1207"/>
    <x v="812"/>
    <x v="18"/>
    <n v="15"/>
    <n v="6"/>
    <n v="2022"/>
    <x v="0"/>
  </r>
  <r>
    <x v="813"/>
    <n v="700"/>
    <x v="1"/>
    <x v="3"/>
    <n v="25506"/>
    <s v="s"/>
    <x v="351"/>
    <x v="976"/>
    <s v="Changement"/>
    <x v="1208"/>
    <x v="812"/>
    <x v="18"/>
    <n v="35"/>
    <n v="6"/>
    <n v="2022"/>
    <x v="0"/>
  </r>
  <r>
    <x v="814"/>
    <n v="700"/>
    <x v="1"/>
    <x v="3"/>
    <n v="26526"/>
    <m/>
    <x v="584"/>
    <x v="1419"/>
    <s v="Réparation"/>
    <x v="1709"/>
    <x v="813"/>
    <x v="18"/>
    <n v="45"/>
    <n v="6"/>
    <n v="2022"/>
    <x v="0"/>
  </r>
  <r>
    <x v="814"/>
    <n v="581"/>
    <x v="0"/>
    <x v="10"/>
    <n v="24504"/>
    <s v="s"/>
    <x v="352"/>
    <x v="977"/>
    <s v="Changement"/>
    <x v="1209"/>
    <x v="813"/>
    <x v="18"/>
    <n v="150"/>
    <n v="6"/>
    <n v="2022"/>
    <x v="0"/>
  </r>
  <r>
    <x v="814"/>
    <n v="571"/>
    <x v="0"/>
    <x v="7"/>
    <n v="24554"/>
    <s v="s"/>
    <x v="353"/>
    <x v="978"/>
    <s v="Changement"/>
    <x v="1210"/>
    <x v="813"/>
    <x v="18"/>
    <n v="45"/>
    <n v="6"/>
    <n v="2022"/>
    <x v="0"/>
  </r>
  <r>
    <x v="814"/>
    <n v="606"/>
    <x v="0"/>
    <x v="17"/>
    <n v="25553"/>
    <s v="s"/>
    <x v="354"/>
    <x v="979"/>
    <s v="Changement"/>
    <x v="1211"/>
    <x v="813"/>
    <x v="18"/>
    <n v="45"/>
    <n v="6"/>
    <n v="2022"/>
    <x v="0"/>
  </r>
  <r>
    <x v="815"/>
    <n v="800"/>
    <x v="1"/>
    <x v="2"/>
    <n v="25507"/>
    <s v="s"/>
    <x v="23"/>
    <x v="980"/>
    <s v="Changement"/>
    <x v="1212"/>
    <x v="814"/>
    <x v="18"/>
    <n v="90"/>
    <n v="6"/>
    <n v="2022"/>
    <x v="0"/>
  </r>
  <r>
    <x v="815"/>
    <n v="700"/>
    <x v="1"/>
    <x v="3"/>
    <n v="25508"/>
    <s v="s"/>
    <x v="355"/>
    <x v="981"/>
    <s v="Changement"/>
    <x v="1213"/>
    <x v="814"/>
    <x v="18"/>
    <n v="45"/>
    <n v="6"/>
    <n v="2022"/>
    <x v="0"/>
  </r>
  <r>
    <x v="815"/>
    <n v="620"/>
    <x v="0"/>
    <x v="26"/>
    <n v="24553"/>
    <s v="s"/>
    <x v="356"/>
    <x v="982"/>
    <s v="Changement"/>
    <x v="1214"/>
    <x v="814"/>
    <x v="18"/>
    <n v="30"/>
    <n v="6"/>
    <n v="2022"/>
    <x v="0"/>
  </r>
  <r>
    <x v="816"/>
    <n v="582"/>
    <x v="0"/>
    <x v="1"/>
    <n v="26532"/>
    <m/>
    <x v="585"/>
    <x v="1420"/>
    <s v="Réparation"/>
    <x v="1710"/>
    <x v="815"/>
    <x v="18"/>
    <n v="240"/>
    <n v="6"/>
    <n v="2022"/>
    <x v="0"/>
  </r>
  <r>
    <x v="816"/>
    <n v="582"/>
    <x v="0"/>
    <x v="1"/>
    <n v="24505"/>
    <s v="s"/>
    <x v="12"/>
    <x v="983"/>
    <s v="Rennovation "/>
    <x v="1215"/>
    <x v="815"/>
    <x v="18"/>
    <m/>
    <n v="6"/>
    <n v="2022"/>
    <x v="0"/>
  </r>
  <r>
    <x v="816"/>
    <n v="565"/>
    <x v="0"/>
    <x v="4"/>
    <n v="25555"/>
    <s v="s"/>
    <x v="356"/>
    <x v="984"/>
    <s v="Changement"/>
    <x v="1216"/>
    <x v="815"/>
    <x v="18"/>
    <n v="60"/>
    <n v="6"/>
    <n v="2022"/>
    <x v="0"/>
  </r>
  <r>
    <x v="817"/>
    <n v="700"/>
    <x v="1"/>
    <x v="3"/>
    <n v="26527"/>
    <m/>
    <x v="49"/>
    <x v="1421"/>
    <s v="Réparation"/>
    <x v="1544"/>
    <x v="816"/>
    <x v="18"/>
    <n v="90"/>
    <n v="6"/>
    <n v="2022"/>
    <x v="0"/>
  </r>
  <r>
    <x v="817"/>
    <n v="534"/>
    <x v="2"/>
    <x v="27"/>
    <n v="26528"/>
    <m/>
    <x v="121"/>
    <x v="1422"/>
    <s v="Réparation"/>
    <x v="1711"/>
    <x v="816"/>
    <x v="18"/>
    <n v="120"/>
    <n v="6"/>
    <n v="2022"/>
    <x v="0"/>
  </r>
  <r>
    <x v="817"/>
    <n v="534"/>
    <x v="2"/>
    <x v="27"/>
    <n v="25509"/>
    <s v="s"/>
    <x v="19"/>
    <x v="985"/>
    <s v="Changement"/>
    <x v="369"/>
    <x v="816"/>
    <x v="18"/>
    <n v="30"/>
    <n v="6"/>
    <n v="2022"/>
    <x v="0"/>
  </r>
  <r>
    <x v="817"/>
    <n v="570"/>
    <x v="0"/>
    <x v="16"/>
    <n v="24555"/>
    <s v="s"/>
    <x v="0"/>
    <x v="986"/>
    <s v="Changement"/>
    <x v="1217"/>
    <x v="816"/>
    <x v="18"/>
    <n v="90"/>
    <n v="6"/>
    <n v="2022"/>
    <x v="0"/>
  </r>
  <r>
    <x v="817"/>
    <n v="570"/>
    <x v="0"/>
    <x v="16"/>
    <n v="24556"/>
    <s v="s"/>
    <x v="0"/>
    <x v="987"/>
    <s v="Changement"/>
    <x v="1218"/>
    <x v="816"/>
    <x v="18"/>
    <n v="30"/>
    <n v="6"/>
    <n v="2022"/>
    <x v="0"/>
  </r>
  <r>
    <x v="818"/>
    <n v="581"/>
    <x v="0"/>
    <x v="10"/>
    <n v="24506"/>
    <s v="s"/>
    <x v="357"/>
    <x v="324"/>
    <s v="Reparation"/>
    <x v="1219"/>
    <x v="817"/>
    <x v="18"/>
    <n v="45"/>
    <n v="6"/>
    <n v="2022"/>
    <x v="0"/>
  </r>
  <r>
    <x v="818"/>
    <n v="582"/>
    <x v="0"/>
    <x v="1"/>
    <n v="24507"/>
    <s v="s"/>
    <x v="126"/>
    <x v="988"/>
    <s v="Changement"/>
    <x v="1220"/>
    <x v="817"/>
    <x v="18"/>
    <n v="30"/>
    <n v="6"/>
    <n v="2022"/>
    <x v="0"/>
  </r>
  <r>
    <x v="818"/>
    <n v="800"/>
    <x v="1"/>
    <x v="2"/>
    <n v="25510"/>
    <s v="s"/>
    <x v="27"/>
    <x v="976"/>
    <s v="Changement"/>
    <x v="1221"/>
    <x v="817"/>
    <x v="18"/>
    <n v="45"/>
    <n v="6"/>
    <n v="2022"/>
    <x v="0"/>
  </r>
  <r>
    <x v="818"/>
    <n v="800"/>
    <x v="1"/>
    <x v="2"/>
    <n v="25511"/>
    <s v="s"/>
    <x v="358"/>
    <x v="989"/>
    <s v="Changement"/>
    <x v="1222"/>
    <x v="817"/>
    <x v="18"/>
    <n v="90"/>
    <n v="6"/>
    <n v="2022"/>
    <x v="0"/>
  </r>
  <r>
    <x v="819"/>
    <n v="560"/>
    <x v="0"/>
    <x v="0"/>
    <n v="25556"/>
    <s v="s"/>
    <x v="326"/>
    <x v="990"/>
    <s v="Changement"/>
    <x v="1223"/>
    <x v="818"/>
    <x v="18"/>
    <n v="180"/>
    <n v="6"/>
    <n v="2022"/>
    <x v="0"/>
  </r>
  <r>
    <x v="820"/>
    <n v="580"/>
    <x v="0"/>
    <x v="11"/>
    <n v="24508"/>
    <s v="s"/>
    <x v="359"/>
    <x v="991"/>
    <s v="Changement"/>
    <x v="1224"/>
    <x v="819"/>
    <x v="18"/>
    <n v="60"/>
    <n v="6"/>
    <n v="2022"/>
    <x v="0"/>
  </r>
  <r>
    <x v="820"/>
    <n v="581"/>
    <x v="0"/>
    <x v="10"/>
    <n v="24509"/>
    <s v="s"/>
    <x v="9"/>
    <x v="992"/>
    <s v="Changement"/>
    <x v="1217"/>
    <x v="819"/>
    <x v="18"/>
    <n v="45"/>
    <n v="6"/>
    <n v="2022"/>
    <x v="0"/>
  </r>
  <r>
    <x v="820"/>
    <n v="700"/>
    <x v="1"/>
    <x v="3"/>
    <n v="25512"/>
    <s v="s"/>
    <x v="9"/>
    <x v="993"/>
    <s v="Changement"/>
    <x v="1218"/>
    <x v="819"/>
    <x v="18"/>
    <n v="60"/>
    <n v="6"/>
    <n v="2022"/>
    <x v="0"/>
  </r>
  <r>
    <x v="820"/>
    <n v="700"/>
    <x v="1"/>
    <x v="3"/>
    <n v="25513"/>
    <s v="s"/>
    <x v="360"/>
    <x v="994"/>
    <s v="Changement"/>
    <x v="1225"/>
    <x v="819"/>
    <x v="18"/>
    <n v="90"/>
    <n v="6"/>
    <n v="2022"/>
    <x v="0"/>
  </r>
  <r>
    <x v="820"/>
    <n v="565"/>
    <x v="0"/>
    <x v="4"/>
    <n v="25557"/>
    <s v="s"/>
    <x v="361"/>
    <x v="995"/>
    <s v="Changement"/>
    <x v="1226"/>
    <x v="819"/>
    <x v="18"/>
    <n v="30"/>
    <n v="6"/>
    <n v="2022"/>
    <x v="0"/>
  </r>
  <r>
    <x v="820"/>
    <n v="590"/>
    <x v="0"/>
    <x v="20"/>
    <m/>
    <s v="s"/>
    <x v="54"/>
    <x v="996"/>
    <s v="Réparation"/>
    <x v="1227"/>
    <x v="819"/>
    <x v="18"/>
    <n v="4800"/>
    <n v="6"/>
    <n v="2022"/>
    <x v="0"/>
  </r>
  <r>
    <x v="821"/>
    <n v="534"/>
    <x v="2"/>
    <x v="27"/>
    <n v="25514"/>
    <s v="s"/>
    <x v="362"/>
    <x v="997"/>
    <s v="Changement"/>
    <x v="1228"/>
    <x v="820"/>
    <x v="18"/>
    <m/>
    <n v="6"/>
    <n v="2022"/>
    <x v="0"/>
  </r>
  <r>
    <x v="822"/>
    <n v="800"/>
    <x v="1"/>
    <x v="2"/>
    <n v="25515"/>
    <s v="s"/>
    <x v="24"/>
    <x v="998"/>
    <s v="Réparation "/>
    <x v="1229"/>
    <x v="821"/>
    <x v="18"/>
    <n v="240"/>
    <n v="6"/>
    <n v="2022"/>
    <x v="0"/>
  </r>
  <r>
    <x v="822"/>
    <n v="582"/>
    <x v="0"/>
    <x v="1"/>
    <n v="15082"/>
    <s v="s"/>
    <x v="220"/>
    <x v="675"/>
    <s v="Réparation"/>
    <x v="1230"/>
    <x v="821"/>
    <x v="18"/>
    <n v="90"/>
    <n v="6"/>
    <n v="2022"/>
    <x v="0"/>
  </r>
  <r>
    <x v="823"/>
    <n v="582"/>
    <x v="0"/>
    <x v="1"/>
    <m/>
    <s v="s"/>
    <x v="363"/>
    <x v="999"/>
    <s v="Réparation"/>
    <x v="1231"/>
    <x v="822"/>
    <x v="18"/>
    <n v="2400"/>
    <n v="6"/>
    <n v="2022"/>
    <x v="0"/>
  </r>
  <r>
    <x v="823"/>
    <n v="565"/>
    <x v="0"/>
    <x v="4"/>
    <m/>
    <s v="s"/>
    <x v="282"/>
    <x v="1000"/>
    <s v="Réparation"/>
    <x v="1232"/>
    <x v="822"/>
    <x v="18"/>
    <n v="960"/>
    <n v="6"/>
    <n v="2022"/>
    <x v="0"/>
  </r>
  <r>
    <x v="824"/>
    <n v="700"/>
    <x v="1"/>
    <x v="3"/>
    <n v="25517"/>
    <s v="s"/>
    <x v="37"/>
    <x v="209"/>
    <s v="Réparation"/>
    <x v="1192"/>
    <x v="823"/>
    <x v="18"/>
    <n v="120"/>
    <n v="6"/>
    <n v="2022"/>
    <x v="0"/>
  </r>
  <r>
    <x v="824"/>
    <n v="700"/>
    <x v="1"/>
    <x v="3"/>
    <n v="25518"/>
    <s v="s"/>
    <x v="37"/>
    <x v="1001"/>
    <s v="Réparation"/>
    <x v="242"/>
    <x v="823"/>
    <x v="18"/>
    <n v="180"/>
    <n v="6"/>
    <n v="2022"/>
    <x v="0"/>
  </r>
  <r>
    <x v="824"/>
    <n v="580"/>
    <x v="0"/>
    <x v="11"/>
    <n v="24514"/>
    <s v="s"/>
    <x v="15"/>
    <x v="181"/>
    <s v="Réparation"/>
    <x v="1233"/>
    <x v="824"/>
    <x v="18"/>
    <n v="1920"/>
    <n v="6"/>
    <n v="2022"/>
    <x v="0"/>
  </r>
  <r>
    <x v="825"/>
    <n v="700"/>
    <x v="1"/>
    <x v="3"/>
    <n v="25519"/>
    <s v="s"/>
    <x v="49"/>
    <x v="1002"/>
    <s v="Réparation"/>
    <x v="1234"/>
    <x v="825"/>
    <x v="18"/>
    <n v="360"/>
    <n v="6"/>
    <n v="2022"/>
    <x v="0"/>
  </r>
  <r>
    <x v="826"/>
    <n v="800"/>
    <x v="1"/>
    <x v="2"/>
    <n v="25520"/>
    <s v="s"/>
    <x v="37"/>
    <x v="1003"/>
    <s v="Réparation"/>
    <x v="1235"/>
    <x v="826"/>
    <x v="123"/>
    <n v="240"/>
    <n v="6"/>
    <n v="2022"/>
    <x v="0"/>
  </r>
  <r>
    <x v="826"/>
    <n v="800"/>
    <x v="1"/>
    <x v="2"/>
    <n v="25521"/>
    <s v="s"/>
    <x v="364"/>
    <x v="1004"/>
    <s v="Réparation"/>
    <x v="1236"/>
    <x v="826"/>
    <x v="18"/>
    <n v="45"/>
    <n v="6"/>
    <n v="2022"/>
    <x v="0"/>
  </r>
  <r>
    <x v="827"/>
    <n v="800"/>
    <x v="1"/>
    <x v="2"/>
    <n v="25522"/>
    <s v="s"/>
    <x v="37"/>
    <x v="500"/>
    <s v="Réparation"/>
    <x v="1237"/>
    <x v="827"/>
    <x v="18"/>
    <n v="1620"/>
    <n v="6"/>
    <n v="2022"/>
    <x v="0"/>
  </r>
  <r>
    <x v="828"/>
    <n v="800"/>
    <x v="1"/>
    <x v="2"/>
    <n v="25527"/>
    <s v="s"/>
    <x v="37"/>
    <x v="1005"/>
    <s v="Réparation"/>
    <x v="1238"/>
    <x v="827"/>
    <x v="18"/>
    <n v="180"/>
    <n v="6"/>
    <n v="2022"/>
    <x v="0"/>
  </r>
  <r>
    <x v="828"/>
    <n v="590"/>
    <x v="0"/>
    <x v="20"/>
    <n v="14955"/>
    <s v="s"/>
    <x v="365"/>
    <x v="1006"/>
    <s v="Réparation"/>
    <x v="1239"/>
    <x v="827"/>
    <x v="18"/>
    <m/>
    <n v="6"/>
    <n v="2022"/>
    <x v="0"/>
  </r>
  <r>
    <x v="829"/>
    <n v="700"/>
    <x v="1"/>
    <x v="3"/>
    <n v="25530"/>
    <s v="s"/>
    <x v="366"/>
    <x v="1007"/>
    <s v="Réparation"/>
    <x v="1240"/>
    <x v="828"/>
    <x v="18"/>
    <n v="30"/>
    <n v="6"/>
    <n v="2022"/>
    <x v="0"/>
  </r>
  <r>
    <x v="830"/>
    <n v="700"/>
    <x v="1"/>
    <x v="3"/>
    <n v="25534"/>
    <s v="s"/>
    <x v="293"/>
    <x v="1008"/>
    <s v="Réparation"/>
    <x v="887"/>
    <x v="829"/>
    <x v="18"/>
    <n v="45"/>
    <n v="6"/>
    <n v="2022"/>
    <x v="0"/>
  </r>
  <r>
    <x v="831"/>
    <n v="700"/>
    <x v="1"/>
    <x v="3"/>
    <m/>
    <s v="s"/>
    <x v="24"/>
    <x v="472"/>
    <s v="Vidange"/>
    <x v="737"/>
    <x v="830"/>
    <x v="18"/>
    <n v="45"/>
    <n v="7"/>
    <n v="2022"/>
    <x v="0"/>
  </r>
  <r>
    <x v="832"/>
    <n v="800"/>
    <x v="1"/>
    <x v="2"/>
    <n v="15905"/>
    <s v="s"/>
    <x v="49"/>
    <x v="1009"/>
    <s v="Rép"/>
    <x v="1241"/>
    <x v="831"/>
    <x v="124"/>
    <n v="90"/>
    <n v="7"/>
    <n v="2022"/>
    <x v="0"/>
  </r>
  <r>
    <x v="833"/>
    <n v="700"/>
    <x v="1"/>
    <x v="3"/>
    <n v="15765"/>
    <s v="s"/>
    <x v="92"/>
    <x v="498"/>
    <s v="Entretien"/>
    <x v="1242"/>
    <x v="832"/>
    <x v="18"/>
    <n v="4320"/>
    <n v="7"/>
    <n v="2022"/>
    <x v="0"/>
  </r>
  <r>
    <x v="834"/>
    <n v="606"/>
    <x v="0"/>
    <x v="17"/>
    <m/>
    <m/>
    <x v="0"/>
    <x v="1423"/>
    <s v="Réparation"/>
    <x v="1712"/>
    <x v="833"/>
    <x v="137"/>
    <m/>
    <n v="1"/>
    <n v="1900"/>
    <x v="0"/>
  </r>
  <r>
    <x v="835"/>
    <n v="565"/>
    <x v="0"/>
    <x v="4"/>
    <s v="M1017926"/>
    <m/>
    <x v="92"/>
    <x v="1424"/>
    <s v="Diagnosit"/>
    <x v="1713"/>
    <x v="834"/>
    <x v="138"/>
    <m/>
    <n v="7"/>
    <n v="2022"/>
    <x v="1"/>
  </r>
  <r>
    <x v="836"/>
    <n v="606"/>
    <x v="0"/>
    <x v="17"/>
    <n v="15509"/>
    <s v="s"/>
    <x v="97"/>
    <x v="99"/>
    <s v="Réparation "/>
    <x v="1178"/>
    <x v="835"/>
    <x v="18"/>
    <n v="480"/>
    <n v="8"/>
    <n v="2022"/>
    <x v="0"/>
  </r>
  <r>
    <x v="836"/>
    <n v="800"/>
    <x v="1"/>
    <x v="2"/>
    <m/>
    <s v="s"/>
    <x v="37"/>
    <x v="472"/>
    <s v="Vidange"/>
    <x v="575"/>
    <x v="836"/>
    <x v="18"/>
    <n v="45"/>
    <n v="8"/>
    <n v="2022"/>
    <x v="0"/>
  </r>
  <r>
    <x v="837"/>
    <n v="565"/>
    <x v="0"/>
    <x v="4"/>
    <n v="15511"/>
    <s v="s"/>
    <x v="160"/>
    <x v="1010"/>
    <s v="Réparation"/>
    <x v="1243"/>
    <x v="835"/>
    <x v="18"/>
    <n v="960"/>
    <n v="8"/>
    <n v="2022"/>
    <x v="0"/>
  </r>
  <r>
    <x v="838"/>
    <n v="565"/>
    <x v="0"/>
    <x v="4"/>
    <n v="15513"/>
    <s v="s"/>
    <x v="282"/>
    <x v="1011"/>
    <s v="Réparation"/>
    <x v="1244"/>
    <x v="837"/>
    <x v="18"/>
    <n v="960"/>
    <n v="8"/>
    <n v="2022"/>
    <x v="0"/>
  </r>
  <r>
    <x v="839"/>
    <n v="568"/>
    <x v="4"/>
    <x v="14"/>
    <n v="15514"/>
    <s v="s"/>
    <x v="367"/>
    <x v="166"/>
    <s v="Répaciotn "/>
    <x v="1245"/>
    <x v="838"/>
    <x v="18"/>
    <n v="1920"/>
    <n v="8"/>
    <n v="2022"/>
    <x v="0"/>
  </r>
  <r>
    <x v="840"/>
    <n v="571"/>
    <x v="0"/>
    <x v="7"/>
    <n v="25314"/>
    <s v="s"/>
    <x v="17"/>
    <x v="1012"/>
    <s v="Réparation"/>
    <x v="1246"/>
    <x v="839"/>
    <x v="18"/>
    <n v="8640"/>
    <n v="8"/>
    <n v="2022"/>
    <x v="0"/>
  </r>
  <r>
    <x v="841"/>
    <n v="700"/>
    <x v="1"/>
    <x v="3"/>
    <n v="15913"/>
    <s v="s"/>
    <x v="72"/>
    <x v="151"/>
    <s v="Réparation "/>
    <x v="1247"/>
    <x v="840"/>
    <x v="18"/>
    <n v="120"/>
    <n v="8"/>
    <n v="2022"/>
    <x v="0"/>
  </r>
  <r>
    <x v="841"/>
    <n v="534"/>
    <x v="2"/>
    <x v="27"/>
    <n v="14402"/>
    <s v="s"/>
    <x v="6"/>
    <x v="1013"/>
    <s v="Réparation"/>
    <x v="792"/>
    <x v="840"/>
    <x v="18"/>
    <n v="240"/>
    <n v="8"/>
    <n v="2022"/>
    <x v="0"/>
  </r>
  <r>
    <x v="842"/>
    <n v="700"/>
    <x v="1"/>
    <x v="3"/>
    <n v="25701"/>
    <s v="s"/>
    <x v="27"/>
    <x v="1014"/>
    <s v="Réparation"/>
    <x v="1248"/>
    <x v="841"/>
    <x v="18"/>
    <n v="60"/>
    <n v="8"/>
    <n v="2022"/>
    <x v="0"/>
  </r>
  <r>
    <x v="842"/>
    <n v="722"/>
    <x v="8"/>
    <x v="39"/>
    <n v="25702"/>
    <s v="s"/>
    <x v="368"/>
    <x v="1015"/>
    <s v="Réparation"/>
    <x v="1249"/>
    <x v="841"/>
    <x v="18"/>
    <m/>
    <n v="8"/>
    <n v="2022"/>
    <x v="0"/>
  </r>
  <r>
    <x v="842"/>
    <n v="561"/>
    <x v="4"/>
    <x v="18"/>
    <n v="25703"/>
    <s v="s"/>
    <x v="188"/>
    <x v="1016"/>
    <s v="Réparation"/>
    <x v="1250"/>
    <x v="841"/>
    <x v="18"/>
    <n v="90"/>
    <n v="8"/>
    <n v="2022"/>
    <x v="0"/>
  </r>
  <r>
    <x v="843"/>
    <n v="800"/>
    <x v="1"/>
    <x v="2"/>
    <n v="25705"/>
    <s v="s"/>
    <x v="49"/>
    <x v="1009"/>
    <s v="Réparation"/>
    <x v="1251"/>
    <x v="842"/>
    <x v="18"/>
    <n v="180"/>
    <n v="8"/>
    <n v="2022"/>
    <x v="0"/>
  </r>
  <r>
    <x v="843"/>
    <n v="571"/>
    <x v="0"/>
    <x v="7"/>
    <n v="25706"/>
    <s v="s"/>
    <x v="0"/>
    <x v="1017"/>
    <s v="Réparation"/>
    <x v="1252"/>
    <x v="842"/>
    <x v="18"/>
    <n v="45"/>
    <n v="8"/>
    <n v="2022"/>
    <x v="0"/>
  </r>
  <r>
    <x v="843"/>
    <n v="565"/>
    <x v="0"/>
    <x v="4"/>
    <n v="25707"/>
    <s v="s"/>
    <x v="369"/>
    <x v="1018"/>
    <s v="Réparation"/>
    <x v="333"/>
    <x v="842"/>
    <x v="125"/>
    <n v="90"/>
    <n v="8"/>
    <n v="2022"/>
    <x v="0"/>
  </r>
  <r>
    <x v="844"/>
    <n v="560"/>
    <x v="0"/>
    <x v="0"/>
    <n v="25709"/>
    <s v="s"/>
    <x v="160"/>
    <x v="748"/>
    <s v="Réparation"/>
    <x v="700"/>
    <x v="843"/>
    <x v="18"/>
    <n v="50"/>
    <n v="8"/>
    <n v="2022"/>
    <x v="0"/>
  </r>
  <r>
    <x v="845"/>
    <n v="700"/>
    <x v="1"/>
    <x v="3"/>
    <n v="25710"/>
    <m/>
    <x v="55"/>
    <x v="473"/>
    <s v="Réparation"/>
    <x v="256"/>
    <x v="844"/>
    <x v="18"/>
    <n v="60"/>
    <n v="8"/>
    <n v="2022"/>
    <x v="0"/>
  </r>
  <r>
    <x v="846"/>
    <n v="560"/>
    <x v="0"/>
    <x v="0"/>
    <n v="25714"/>
    <s v="s"/>
    <x v="30"/>
    <x v="748"/>
    <s v="Réparation"/>
    <x v="1253"/>
    <x v="845"/>
    <x v="18"/>
    <n v="60"/>
    <n v="8"/>
    <n v="2022"/>
    <x v="0"/>
  </r>
  <r>
    <x v="846"/>
    <n v="561"/>
    <x v="4"/>
    <x v="18"/>
    <n v="25715"/>
    <s v="s"/>
    <x v="370"/>
    <x v="1019"/>
    <s v="Réparation"/>
    <x v="1254"/>
    <x v="846"/>
    <x v="18"/>
    <m/>
    <n v="9"/>
    <n v="2022"/>
    <x v="0"/>
  </r>
  <r>
    <x v="847"/>
    <n v="700"/>
    <x v="1"/>
    <x v="3"/>
    <m/>
    <s v="s"/>
    <x v="55"/>
    <x v="472"/>
    <s v="Vidange"/>
    <x v="1255"/>
    <x v="847"/>
    <x v="18"/>
    <n v="120"/>
    <n v="9"/>
    <n v="2022"/>
    <x v="0"/>
  </r>
  <r>
    <x v="847"/>
    <n v="700"/>
    <x v="1"/>
    <x v="3"/>
    <m/>
    <s v="s"/>
    <x v="24"/>
    <x v="472"/>
    <s v="Vidange"/>
    <x v="1256"/>
    <x v="847"/>
    <x v="18"/>
    <n v="45"/>
    <n v="9"/>
    <n v="2022"/>
    <x v="0"/>
  </r>
  <r>
    <x v="848"/>
    <n v="700"/>
    <x v="1"/>
    <x v="3"/>
    <m/>
    <s v="s"/>
    <x v="371"/>
    <x v="472"/>
    <s v="Vidange"/>
    <x v="575"/>
    <x v="848"/>
    <x v="18"/>
    <n v="45"/>
    <n v="9"/>
    <n v="2022"/>
    <x v="0"/>
  </r>
  <r>
    <x v="849"/>
    <n v="800"/>
    <x v="1"/>
    <x v="2"/>
    <m/>
    <s v="s"/>
    <x v="24"/>
    <x v="472"/>
    <s v="Vidange"/>
    <x v="1257"/>
    <x v="849"/>
    <x v="18"/>
    <n v="60"/>
    <n v="9"/>
    <n v="2022"/>
    <x v="0"/>
  </r>
  <r>
    <x v="850"/>
    <n v="590"/>
    <x v="0"/>
    <x v="20"/>
    <n v="25451"/>
    <s v="s"/>
    <x v="137"/>
    <x v="232"/>
    <s v="Réparation"/>
    <x v="1258"/>
    <x v="850"/>
    <x v="18"/>
    <n v="130"/>
    <n v="9"/>
    <n v="2022"/>
    <x v="0"/>
  </r>
  <r>
    <x v="851"/>
    <n v="565"/>
    <x v="0"/>
    <x v="4"/>
    <n v="25493"/>
    <s v="s"/>
    <x v="282"/>
    <x v="1020"/>
    <s v="Réparation"/>
    <x v="1259"/>
    <x v="851"/>
    <x v="18"/>
    <n v="300"/>
    <n v="9"/>
    <n v="2022"/>
    <x v="0"/>
  </r>
  <r>
    <x v="852"/>
    <n v="800"/>
    <x v="1"/>
    <x v="2"/>
    <n v="25453"/>
    <s v="s"/>
    <x v="24"/>
    <x v="1021"/>
    <s v="Réparation"/>
    <x v="1260"/>
    <x v="852"/>
    <x v="18"/>
    <n v="150"/>
    <n v="9"/>
    <n v="2022"/>
    <x v="0"/>
  </r>
  <r>
    <x v="852"/>
    <n v="800"/>
    <x v="1"/>
    <x v="2"/>
    <n v="25456"/>
    <s v="s"/>
    <x v="46"/>
    <x v="1022"/>
    <s v="Réparation"/>
    <x v="362"/>
    <x v="852"/>
    <x v="18"/>
    <n v="30"/>
    <n v="9"/>
    <n v="2022"/>
    <x v="0"/>
  </r>
  <r>
    <x v="853"/>
    <n v="570"/>
    <x v="0"/>
    <x v="16"/>
    <n v="25455"/>
    <s v="s"/>
    <x v="0"/>
    <x v="1023"/>
    <s v="Réparation"/>
    <x v="1261"/>
    <x v="853"/>
    <x v="18"/>
    <n v="90"/>
    <n v="9"/>
    <n v="2022"/>
    <x v="0"/>
  </r>
  <r>
    <x v="853"/>
    <n v="700"/>
    <x v="1"/>
    <x v="3"/>
    <n v="25473"/>
    <s v="s"/>
    <x v="50"/>
    <x v="1024"/>
    <s v="Réparation "/>
    <x v="1262"/>
    <x v="853"/>
    <x v="18"/>
    <n v="150"/>
    <n v="9"/>
    <n v="2022"/>
    <x v="0"/>
  </r>
  <r>
    <x v="853"/>
    <n v="582"/>
    <x v="0"/>
    <x v="1"/>
    <n v="25480"/>
    <s v="s"/>
    <x v="236"/>
    <x v="35"/>
    <s v="Réparation"/>
    <x v="1263"/>
    <x v="853"/>
    <x v="18"/>
    <n v="75"/>
    <n v="9"/>
    <n v="2022"/>
    <x v="0"/>
  </r>
  <r>
    <x v="854"/>
    <n v="606"/>
    <x v="0"/>
    <x v="17"/>
    <n v="25458"/>
    <s v="s"/>
    <x v="17"/>
    <x v="1025"/>
    <s v="Réparation"/>
    <x v="1264"/>
    <x v="854"/>
    <x v="18"/>
    <n v="60"/>
    <n v="9"/>
    <n v="2022"/>
    <x v="0"/>
  </r>
  <r>
    <x v="855"/>
    <n v="800"/>
    <x v="1"/>
    <x v="2"/>
    <n v="25461"/>
    <s v="s"/>
    <x v="195"/>
    <x v="1026"/>
    <s v="Réparation"/>
    <x v="1265"/>
    <x v="855"/>
    <x v="18"/>
    <n v="90"/>
    <n v="9"/>
    <n v="2022"/>
    <x v="0"/>
  </r>
  <r>
    <x v="855"/>
    <n v="590"/>
    <x v="0"/>
    <x v="20"/>
    <n v="25465"/>
    <s v="s"/>
    <x v="372"/>
    <x v="1027"/>
    <s v="Réparation"/>
    <x v="1266"/>
    <x v="855"/>
    <x v="18"/>
    <n v="90"/>
    <n v="9"/>
    <n v="2022"/>
    <x v="0"/>
  </r>
  <r>
    <x v="855"/>
    <n v="571"/>
    <x v="0"/>
    <x v="7"/>
    <n v="25345"/>
    <s v="s"/>
    <x v="17"/>
    <x v="1012"/>
    <s v="Réparation"/>
    <x v="1246"/>
    <x v="855"/>
    <x v="18"/>
    <n v="6240"/>
    <n v="9"/>
    <n v="2022"/>
    <x v="0"/>
  </r>
  <r>
    <x v="856"/>
    <n v="590"/>
    <x v="0"/>
    <x v="20"/>
    <n v="25475"/>
    <s v="s"/>
    <x v="2"/>
    <x v="593"/>
    <s v="Réparation"/>
    <x v="1267"/>
    <x v="856"/>
    <x v="18"/>
    <n v="6720"/>
    <n v="9"/>
    <n v="2022"/>
    <x v="0"/>
  </r>
  <r>
    <x v="856"/>
    <n v="800"/>
    <x v="1"/>
    <x v="2"/>
    <n v="25464"/>
    <s v="s"/>
    <x v="27"/>
    <x v="54"/>
    <s v="Réparation"/>
    <x v="1268"/>
    <x v="857"/>
    <x v="18"/>
    <n v="60"/>
    <n v="9"/>
    <n v="2022"/>
    <x v="0"/>
  </r>
  <r>
    <x v="856"/>
    <n v="800"/>
    <x v="1"/>
    <x v="2"/>
    <n v="25470"/>
    <s v="s"/>
    <x v="373"/>
    <x v="1028"/>
    <s v="Réparation"/>
    <x v="1269"/>
    <x v="857"/>
    <x v="18"/>
    <n v="75"/>
    <n v="9"/>
    <n v="2022"/>
    <x v="0"/>
  </r>
  <r>
    <x v="856"/>
    <n v="570"/>
    <x v="0"/>
    <x v="16"/>
    <n v="25477"/>
    <s v="s"/>
    <x v="140"/>
    <x v="35"/>
    <s v="Réparation"/>
    <x v="1270"/>
    <x v="857"/>
    <x v="18"/>
    <n v="60"/>
    <n v="9"/>
    <n v="2022"/>
    <x v="0"/>
  </r>
  <r>
    <x v="856"/>
    <n v="700"/>
    <x v="1"/>
    <x v="3"/>
    <n v="25483"/>
    <s v="s"/>
    <x v="7"/>
    <x v="184"/>
    <s v="Réparation"/>
    <x v="726"/>
    <x v="857"/>
    <x v="18"/>
    <n v="60"/>
    <n v="9"/>
    <n v="2022"/>
    <x v="0"/>
  </r>
  <r>
    <x v="857"/>
    <n v="800"/>
    <x v="1"/>
    <x v="2"/>
    <n v="25474"/>
    <s v="s"/>
    <x v="27"/>
    <x v="897"/>
    <s v="Réparation"/>
    <x v="1271"/>
    <x v="858"/>
    <x v="18"/>
    <n v="120"/>
    <n v="9"/>
    <n v="2022"/>
    <x v="0"/>
  </r>
  <r>
    <x v="857"/>
    <n v="700"/>
    <x v="1"/>
    <x v="3"/>
    <n v="25478"/>
    <s v="s"/>
    <x v="49"/>
    <x v="1029"/>
    <s v="Réparation"/>
    <x v="1272"/>
    <x v="858"/>
    <x v="18"/>
    <n v="90"/>
    <n v="9"/>
    <n v="2022"/>
    <x v="0"/>
  </r>
  <r>
    <x v="857"/>
    <n v="700"/>
    <x v="1"/>
    <x v="3"/>
    <n v="25496"/>
    <s v="s"/>
    <x v="46"/>
    <x v="1030"/>
    <s v="Réparation"/>
    <x v="99"/>
    <x v="858"/>
    <x v="18"/>
    <n v="120"/>
    <n v="9"/>
    <n v="2022"/>
    <x v="0"/>
  </r>
  <r>
    <x v="857"/>
    <n v="565"/>
    <x v="0"/>
    <x v="4"/>
    <n v="25497"/>
    <s v="s"/>
    <x v="282"/>
    <x v="472"/>
    <s v="Vidange"/>
    <x v="1255"/>
    <x v="858"/>
    <x v="18"/>
    <n v="240"/>
    <n v="9"/>
    <n v="2022"/>
    <x v="0"/>
  </r>
  <r>
    <x v="858"/>
    <n v="584"/>
    <x v="4"/>
    <x v="24"/>
    <n v="25457"/>
    <s v="s"/>
    <x v="308"/>
    <x v="54"/>
    <s v="Réparation"/>
    <x v="280"/>
    <x v="859"/>
    <x v="18"/>
    <n v="240"/>
    <n v="9"/>
    <n v="2022"/>
    <x v="0"/>
  </r>
  <r>
    <x v="858"/>
    <n v="581"/>
    <x v="0"/>
    <x v="10"/>
    <n v="25468"/>
    <s v="s"/>
    <x v="45"/>
    <x v="1031"/>
    <s v="Réparation"/>
    <x v="1273"/>
    <x v="860"/>
    <x v="18"/>
    <n v="60"/>
    <n v="8"/>
    <n v="2022"/>
    <x v="0"/>
  </r>
  <r>
    <x v="858"/>
    <n v="581"/>
    <x v="0"/>
    <x v="10"/>
    <n v="25484"/>
    <s v="s"/>
    <x v="15"/>
    <x v="1032"/>
    <s v="Réparation"/>
    <x v="1274"/>
    <x v="859"/>
    <x v="18"/>
    <n v="90"/>
    <n v="9"/>
    <n v="2022"/>
    <x v="0"/>
  </r>
  <r>
    <x v="859"/>
    <n v="800"/>
    <x v="1"/>
    <x v="2"/>
    <n v="25467"/>
    <s v="s"/>
    <x v="50"/>
    <x v="113"/>
    <s v="Réparation"/>
    <x v="1275"/>
    <x v="861"/>
    <x v="18"/>
    <n v="90"/>
    <n v="9"/>
    <n v="2022"/>
    <x v="0"/>
  </r>
  <r>
    <x v="859"/>
    <n v="570"/>
    <x v="0"/>
    <x v="16"/>
    <n v="25472"/>
    <s v="s"/>
    <x v="374"/>
    <x v="1033"/>
    <s v="Réparation"/>
    <x v="1276"/>
    <x v="861"/>
    <x v="18"/>
    <n v="120"/>
    <n v="9"/>
    <n v="2022"/>
    <x v="0"/>
  </r>
  <r>
    <x v="859"/>
    <n v="565"/>
    <x v="0"/>
    <x v="4"/>
    <n v="25495"/>
    <s v="s"/>
    <x v="375"/>
    <x v="1034"/>
    <s v="Réparation"/>
    <x v="686"/>
    <x v="861"/>
    <x v="18"/>
    <n v="120"/>
    <n v="9"/>
    <n v="2022"/>
    <x v="0"/>
  </r>
  <r>
    <x v="859"/>
    <n v="607"/>
    <x v="0"/>
    <x v="12"/>
    <n v="25355"/>
    <s v="s"/>
    <x v="16"/>
    <x v="1035"/>
    <s v="Réparation"/>
    <x v="1277"/>
    <x v="862"/>
    <x v="126"/>
    <n v="0"/>
    <n v="9"/>
    <n v="2022"/>
    <x v="0"/>
  </r>
  <r>
    <x v="859"/>
    <n v="581"/>
    <x v="0"/>
    <x v="10"/>
    <n v="25356"/>
    <s v="s"/>
    <x v="376"/>
    <x v="217"/>
    <s v="Réparation"/>
    <x v="1278"/>
    <x v="863"/>
    <x v="18"/>
    <n v="0"/>
    <n v="9"/>
    <n v="2022"/>
    <x v="0"/>
  </r>
  <r>
    <x v="859"/>
    <n v="581"/>
    <x v="0"/>
    <x v="10"/>
    <n v="25356"/>
    <s v="s"/>
    <x v="377"/>
    <x v="1036"/>
    <s v="reparation "/>
    <x v="1279"/>
    <x v="863"/>
    <x v="18"/>
    <n v="240"/>
    <n v="9"/>
    <n v="2022"/>
    <x v="0"/>
  </r>
  <r>
    <x v="859"/>
    <n v="582"/>
    <x v="0"/>
    <x v="1"/>
    <n v="25361"/>
    <s v="s"/>
    <x v="378"/>
    <x v="1425"/>
    <s v="reparation "/>
    <x v="1714"/>
    <x v="863"/>
    <x v="18"/>
    <n v="30"/>
    <n v="9"/>
    <n v="2022"/>
    <x v="0"/>
  </r>
  <r>
    <x v="860"/>
    <n v="800"/>
    <x v="1"/>
    <x v="2"/>
    <s v="OMS"/>
    <m/>
    <x v="9"/>
    <x v="1426"/>
    <s v="Entretien"/>
    <x v="1715"/>
    <x v="833"/>
    <x v="139"/>
    <m/>
    <n v="1"/>
    <n v="1900"/>
    <x v="0"/>
  </r>
  <r>
    <x v="860"/>
    <n v="605"/>
    <x v="0"/>
    <x v="13"/>
    <n v="25487"/>
    <s v="s"/>
    <x v="97"/>
    <x v="672"/>
    <s v="Réparation"/>
    <x v="818"/>
    <x v="864"/>
    <x v="18"/>
    <n v="90"/>
    <n v="9"/>
    <n v="2022"/>
    <x v="0"/>
  </r>
  <r>
    <x v="860"/>
    <n v="700"/>
    <x v="1"/>
    <x v="3"/>
    <n v="25488"/>
    <s v="s"/>
    <x v="49"/>
    <x v="1038"/>
    <s v="Réparation"/>
    <x v="1281"/>
    <x v="864"/>
    <x v="18"/>
    <n v="105"/>
    <n v="9"/>
    <n v="2022"/>
    <x v="0"/>
  </r>
  <r>
    <x v="860"/>
    <n v="700"/>
    <x v="1"/>
    <x v="3"/>
    <n v="25354"/>
    <s v="s"/>
    <x v="49"/>
    <x v="1427"/>
    <s v="reparation "/>
    <x v="1716"/>
    <x v="864"/>
    <x v="18"/>
    <n v="30"/>
    <n v="9"/>
    <n v="2022"/>
    <x v="0"/>
  </r>
  <r>
    <x v="861"/>
    <n v="607"/>
    <x v="0"/>
    <x v="12"/>
    <n v="20374"/>
    <m/>
    <x v="78"/>
    <x v="1428"/>
    <s v="Réparation"/>
    <x v="1717"/>
    <x v="865"/>
    <x v="18"/>
    <n v="120"/>
    <n v="1"/>
    <n v="2023"/>
    <x v="0"/>
  </r>
  <r>
    <x v="862"/>
    <n v="800"/>
    <x v="1"/>
    <x v="2"/>
    <n v="20553"/>
    <m/>
    <x v="46"/>
    <x v="937"/>
    <s v="Réparation"/>
    <x v="1718"/>
    <x v="866"/>
    <x v="18"/>
    <n v="240"/>
    <n v="1"/>
    <n v="2023"/>
    <x v="0"/>
  </r>
  <r>
    <x v="863"/>
    <n v="700"/>
    <x v="1"/>
    <x v="3"/>
    <n v="20551"/>
    <m/>
    <x v="49"/>
    <x v="1429"/>
    <s v="Réparation"/>
    <x v="1719"/>
    <x v="867"/>
    <x v="18"/>
    <n v="420"/>
    <n v="1"/>
    <n v="2023"/>
    <x v="0"/>
  </r>
  <r>
    <x v="864"/>
    <n v="700"/>
    <x v="1"/>
    <x v="3"/>
    <n v="20554"/>
    <m/>
    <x v="46"/>
    <x v="1430"/>
    <s v="Réparation"/>
    <x v="1720"/>
    <x v="868"/>
    <x v="18"/>
    <n v="240"/>
    <n v="1"/>
    <n v="2023"/>
    <x v="0"/>
  </r>
  <r>
    <x v="864"/>
    <n v="700"/>
    <x v="1"/>
    <x v="3"/>
    <n v="20557"/>
    <m/>
    <x v="586"/>
    <x v="1431"/>
    <s v="Réparation "/>
    <x v="1721"/>
    <x v="868"/>
    <x v="18"/>
    <n v="120"/>
    <n v="1"/>
    <n v="2023"/>
    <x v="0"/>
  </r>
  <r>
    <x v="865"/>
    <n v="605"/>
    <x v="0"/>
    <x v="13"/>
    <n v="20375"/>
    <m/>
    <x v="78"/>
    <x v="1432"/>
    <s v="Réparation"/>
    <x v="1722"/>
    <x v="869"/>
    <x v="18"/>
    <n v="60"/>
    <n v="1"/>
    <n v="2023"/>
    <x v="0"/>
  </r>
  <r>
    <x v="865"/>
    <n v="607"/>
    <x v="0"/>
    <x v="12"/>
    <n v="20376"/>
    <m/>
    <x v="78"/>
    <x v="1433"/>
    <s v="Réparation"/>
    <x v="1723"/>
    <x v="869"/>
    <x v="18"/>
    <n v="120"/>
    <n v="1"/>
    <n v="2023"/>
    <x v="0"/>
  </r>
  <r>
    <x v="865"/>
    <n v="800"/>
    <x v="1"/>
    <x v="2"/>
    <n v="20555"/>
    <m/>
    <x v="24"/>
    <x v="1434"/>
    <s v="Réparation"/>
    <x v="1724"/>
    <x v="869"/>
    <x v="18"/>
    <n v="2880"/>
    <n v="1"/>
    <n v="2023"/>
    <x v="0"/>
  </r>
  <r>
    <x v="865"/>
    <n v="700"/>
    <x v="1"/>
    <x v="3"/>
    <n v="20558"/>
    <m/>
    <x v="335"/>
    <x v="316"/>
    <s v="Réparation"/>
    <x v="1725"/>
    <x v="869"/>
    <x v="18"/>
    <n v="480"/>
    <n v="1"/>
    <n v="2023"/>
    <x v="0"/>
  </r>
  <r>
    <x v="865"/>
    <n v="800"/>
    <x v="1"/>
    <x v="2"/>
    <n v="20559"/>
    <m/>
    <x v="587"/>
    <x v="1019"/>
    <s v="Réparation"/>
    <x v="770"/>
    <x v="869"/>
    <x v="18"/>
    <n v="90"/>
    <n v="1"/>
    <n v="2023"/>
    <x v="0"/>
  </r>
  <r>
    <x v="866"/>
    <n v="565"/>
    <x v="0"/>
    <x v="4"/>
    <n v="20379"/>
    <m/>
    <x v="282"/>
    <x v="1435"/>
    <s v="Réparation"/>
    <x v="1726"/>
    <x v="870"/>
    <x v="18"/>
    <n v="130"/>
    <n v="1"/>
    <n v="2023"/>
    <x v="0"/>
  </r>
  <r>
    <x v="867"/>
    <n v="605"/>
    <x v="0"/>
    <x v="13"/>
    <n v="20382"/>
    <m/>
    <x v="585"/>
    <x v="1436"/>
    <s v="Réparation"/>
    <x v="1727"/>
    <x v="871"/>
    <x v="18"/>
    <n v="3360"/>
    <n v="1"/>
    <n v="2023"/>
    <x v="0"/>
  </r>
  <r>
    <x v="867"/>
    <n v="606"/>
    <x v="0"/>
    <x v="17"/>
    <n v="20383"/>
    <m/>
    <x v="78"/>
    <x v="1437"/>
    <s v="Réparation"/>
    <x v="657"/>
    <x v="872"/>
    <x v="18"/>
    <n v="60"/>
    <n v="1"/>
    <n v="2023"/>
    <x v="0"/>
  </r>
  <r>
    <x v="868"/>
    <n v="565"/>
    <x v="0"/>
    <x v="4"/>
    <n v="20387"/>
    <m/>
    <x v="10"/>
    <x v="1438"/>
    <s v="Réparation"/>
    <x v="1728"/>
    <x v="873"/>
    <x v="18"/>
    <n v="1440"/>
    <n v="1"/>
    <n v="2023"/>
    <x v="0"/>
  </r>
  <r>
    <x v="869"/>
    <n v="560"/>
    <x v="0"/>
    <x v="0"/>
    <n v="20389"/>
    <m/>
    <x v="0"/>
    <x v="56"/>
    <s v="Réparation"/>
    <x v="0"/>
    <x v="874"/>
    <x v="18"/>
    <n v="60"/>
    <n v="1"/>
    <n v="2023"/>
    <x v="0"/>
  </r>
  <r>
    <x v="870"/>
    <n v="800"/>
    <x v="1"/>
    <x v="2"/>
    <n v="20565"/>
    <m/>
    <x v="46"/>
    <x v="1439"/>
    <s v="Réparation"/>
    <x v="1729"/>
    <x v="875"/>
    <x v="18"/>
    <n v="480"/>
    <n v="2"/>
    <n v="2023"/>
    <x v="0"/>
  </r>
  <r>
    <x v="871"/>
    <n v="800"/>
    <x v="1"/>
    <x v="2"/>
    <n v="20566"/>
    <m/>
    <x v="588"/>
    <x v="1019"/>
    <s v="Réparation"/>
    <x v="770"/>
    <x v="876"/>
    <x v="18"/>
    <n v="180"/>
    <n v="2"/>
    <n v="2023"/>
    <x v="0"/>
  </r>
  <r>
    <x v="872"/>
    <n v="700"/>
    <x v="1"/>
    <x v="3"/>
    <n v="20568"/>
    <m/>
    <x v="46"/>
    <x v="1440"/>
    <s v="Réparation"/>
    <x v="1730"/>
    <x v="877"/>
    <x v="18"/>
    <n v="180"/>
    <n v="2"/>
    <n v="2023"/>
    <x v="0"/>
  </r>
  <r>
    <x v="873"/>
    <n v="565"/>
    <x v="0"/>
    <x v="4"/>
    <n v="16905"/>
    <m/>
    <x v="589"/>
    <x v="66"/>
    <s v="Réparation"/>
    <x v="864"/>
    <x v="878"/>
    <x v="18"/>
    <n v="120"/>
    <n v="2"/>
    <n v="2023"/>
    <x v="0"/>
  </r>
  <r>
    <x v="873"/>
    <n v="590"/>
    <x v="0"/>
    <x v="20"/>
    <n v="16906"/>
    <m/>
    <x v="590"/>
    <x v="1441"/>
    <s v="Réparation"/>
    <x v="1731"/>
    <x v="878"/>
    <x v="18"/>
    <n v="60"/>
    <n v="2"/>
    <n v="2023"/>
    <x v="0"/>
  </r>
  <r>
    <x v="873"/>
    <n v="590"/>
    <x v="0"/>
    <x v="20"/>
    <n v="16907"/>
    <m/>
    <x v="220"/>
    <x v="1442"/>
    <s v="Réparation"/>
    <x v="1732"/>
    <x v="879"/>
    <x v="18"/>
    <n v="60"/>
    <n v="2"/>
    <n v="2023"/>
    <x v="0"/>
  </r>
  <r>
    <x v="873"/>
    <n v="565"/>
    <x v="0"/>
    <x v="4"/>
    <n v="16908"/>
    <m/>
    <x v="57"/>
    <x v="1443"/>
    <s v="Réparation"/>
    <x v="572"/>
    <x v="878"/>
    <x v="18"/>
    <n v="120"/>
    <n v="2"/>
    <n v="2023"/>
    <x v="0"/>
  </r>
  <r>
    <x v="874"/>
    <n v="582"/>
    <x v="0"/>
    <x v="1"/>
    <n v="16911"/>
    <m/>
    <x v="87"/>
    <x v="1444"/>
    <s v="Réparation"/>
    <x v="1733"/>
    <x v="880"/>
    <x v="18"/>
    <n v="480"/>
    <n v="2"/>
    <n v="2023"/>
    <x v="0"/>
  </r>
  <r>
    <x v="874"/>
    <n v="800"/>
    <x v="1"/>
    <x v="2"/>
    <n v="20569"/>
    <m/>
    <x v="37"/>
    <x v="1445"/>
    <s v="Répartion"/>
    <x v="1722"/>
    <x v="880"/>
    <x v="18"/>
    <n v="1440"/>
    <n v="2"/>
    <n v="2023"/>
    <x v="0"/>
  </r>
  <r>
    <x v="875"/>
    <n v="800"/>
    <x v="1"/>
    <x v="2"/>
    <n v="20570"/>
    <m/>
    <x v="46"/>
    <x v="1446"/>
    <s v="Réparation"/>
    <x v="1734"/>
    <x v="881"/>
    <x v="18"/>
    <n v="960"/>
    <n v="2"/>
    <n v="2023"/>
    <x v="0"/>
  </r>
  <r>
    <x v="876"/>
    <n v="581"/>
    <x v="0"/>
    <x v="10"/>
    <n v="16915"/>
    <m/>
    <x v="87"/>
    <x v="66"/>
    <s v="Réparation"/>
    <x v="1735"/>
    <x v="882"/>
    <x v="18"/>
    <n v="180"/>
    <n v="2"/>
    <n v="2023"/>
    <x v="0"/>
  </r>
  <r>
    <x v="877"/>
    <n v="700"/>
    <x v="1"/>
    <x v="3"/>
    <n v="20571"/>
    <m/>
    <x v="70"/>
    <x v="1447"/>
    <s v="Réparation"/>
    <x v="1736"/>
    <x v="883"/>
    <x v="18"/>
    <n v="360"/>
    <n v="2"/>
    <n v="2023"/>
    <x v="0"/>
  </r>
  <r>
    <x v="878"/>
    <n v="700"/>
    <x v="1"/>
    <x v="3"/>
    <n v="20572"/>
    <m/>
    <x v="591"/>
    <x v="1429"/>
    <s v="Réparation"/>
    <x v="1737"/>
    <x v="884"/>
    <x v="18"/>
    <n v="240"/>
    <n v="2"/>
    <n v="2023"/>
    <x v="0"/>
  </r>
  <r>
    <x v="878"/>
    <n v="800"/>
    <x v="1"/>
    <x v="2"/>
    <n v="20573"/>
    <m/>
    <x v="37"/>
    <x v="1448"/>
    <s v="Réparation"/>
    <x v="1738"/>
    <x v="884"/>
    <x v="18"/>
    <n v="180"/>
    <n v="2"/>
    <n v="2023"/>
    <x v="0"/>
  </r>
  <r>
    <x v="879"/>
    <n v="800"/>
    <x v="1"/>
    <x v="2"/>
    <n v="20574"/>
    <m/>
    <x v="37"/>
    <x v="1449"/>
    <s v="Réparation"/>
    <x v="1739"/>
    <x v="885"/>
    <x v="18"/>
    <n v="480"/>
    <n v="2"/>
    <n v="2023"/>
    <x v="0"/>
  </r>
  <r>
    <x v="880"/>
    <n v="700"/>
    <x v="1"/>
    <x v="3"/>
    <n v="20575"/>
    <m/>
    <x v="2"/>
    <x v="329"/>
    <s v="Réparation"/>
    <x v="1740"/>
    <x v="886"/>
    <x v="18"/>
    <n v="120"/>
    <n v="3"/>
    <n v="2023"/>
    <x v="0"/>
  </r>
  <r>
    <x v="881"/>
    <n v="582"/>
    <x v="0"/>
    <x v="1"/>
    <n v="16932"/>
    <m/>
    <x v="189"/>
    <x v="1450"/>
    <s v="Réparation"/>
    <x v="1741"/>
    <x v="887"/>
    <x v="18"/>
    <n v="1440"/>
    <n v="3"/>
    <n v="2023"/>
    <x v="0"/>
  </r>
  <r>
    <x v="881"/>
    <n v="700"/>
    <x v="1"/>
    <x v="3"/>
    <n v="20576"/>
    <m/>
    <x v="60"/>
    <x v="1451"/>
    <s v="Réparation"/>
    <x v="1742"/>
    <x v="888"/>
    <x v="18"/>
    <n v="240"/>
    <n v="3"/>
    <n v="2023"/>
    <x v="0"/>
  </r>
  <r>
    <x v="881"/>
    <n v="800"/>
    <x v="1"/>
    <x v="2"/>
    <n v="20577"/>
    <m/>
    <x v="37"/>
    <x v="209"/>
    <s v="Réparation"/>
    <x v="1743"/>
    <x v="888"/>
    <x v="18"/>
    <n v="240"/>
    <n v="3"/>
    <n v="2023"/>
    <x v="0"/>
  </r>
  <r>
    <x v="882"/>
    <n v="581"/>
    <x v="0"/>
    <x v="10"/>
    <n v="16933"/>
    <m/>
    <x v="15"/>
    <x v="66"/>
    <s v="Réparation"/>
    <x v="1744"/>
    <x v="889"/>
    <x v="18"/>
    <n v="60"/>
    <n v="3"/>
    <n v="2023"/>
    <x v="0"/>
  </r>
  <r>
    <x v="883"/>
    <n v="800"/>
    <x v="1"/>
    <x v="2"/>
    <n v="20578"/>
    <m/>
    <x v="27"/>
    <x v="1452"/>
    <s v="Réparation"/>
    <x v="1664"/>
    <x v="890"/>
    <x v="18"/>
    <n v="120"/>
    <n v="3"/>
    <n v="2023"/>
    <x v="0"/>
  </r>
  <r>
    <x v="883"/>
    <n v="606"/>
    <x v="0"/>
    <x v="17"/>
    <n v="16935"/>
    <m/>
    <x v="585"/>
    <x v="631"/>
    <s v="Réparation"/>
    <x v="1745"/>
    <x v="890"/>
    <x v="18"/>
    <n v="90"/>
    <n v="3"/>
    <n v="2023"/>
    <x v="0"/>
  </r>
  <r>
    <x v="883"/>
    <n v="560"/>
    <x v="0"/>
    <x v="0"/>
    <n v="16936"/>
    <m/>
    <x v="592"/>
    <x v="1453"/>
    <s v="Réparation "/>
    <x v="1746"/>
    <x v="887"/>
    <x v="18"/>
    <n v="1920"/>
    <n v="3"/>
    <n v="2023"/>
    <x v="0"/>
  </r>
  <r>
    <x v="883"/>
    <n v="606"/>
    <x v="0"/>
    <x v="17"/>
    <n v="16935"/>
    <m/>
    <x v="0"/>
    <x v="631"/>
    <s v="Réparation"/>
    <x v="864"/>
    <x v="890"/>
    <x v="18"/>
    <n v="240"/>
    <n v="3"/>
    <n v="2023"/>
    <x v="0"/>
  </r>
  <r>
    <x v="883"/>
    <n v="560"/>
    <x v="0"/>
    <x v="0"/>
    <n v="16936"/>
    <m/>
    <x v="57"/>
    <x v="109"/>
    <s v="Réparation"/>
    <x v="1747"/>
    <x v="890"/>
    <x v="18"/>
    <n v="45"/>
    <n v="3"/>
    <n v="2023"/>
    <x v="0"/>
  </r>
  <r>
    <x v="884"/>
    <n v="580"/>
    <x v="0"/>
    <x v="11"/>
    <n v="16941"/>
    <m/>
    <x v="87"/>
    <x v="1034"/>
    <s v="Réparation"/>
    <x v="664"/>
    <x v="891"/>
    <x v="18"/>
    <n v="480"/>
    <n v="3"/>
    <n v="2023"/>
    <x v="0"/>
  </r>
  <r>
    <x v="884"/>
    <n v="581"/>
    <x v="0"/>
    <x v="10"/>
    <n v="16942"/>
    <m/>
    <x v="15"/>
    <x v="66"/>
    <s v="Réparation"/>
    <x v="1744"/>
    <x v="891"/>
    <x v="18"/>
    <n v="240"/>
    <n v="3"/>
    <n v="2023"/>
    <x v="0"/>
  </r>
  <r>
    <x v="884"/>
    <n v="607"/>
    <x v="0"/>
    <x v="12"/>
    <n v="16939"/>
    <m/>
    <x v="0"/>
    <x v="1454"/>
    <s v="Réparation"/>
    <x v="1748"/>
    <x v="891"/>
    <x v="18"/>
    <n v="60"/>
    <n v="3"/>
    <n v="2023"/>
    <x v="0"/>
  </r>
  <r>
    <x v="885"/>
    <n v="565"/>
    <x v="0"/>
    <x v="4"/>
    <n v="16943"/>
    <m/>
    <x v="282"/>
    <x v="1455"/>
    <s v="Réparation"/>
    <x v="1749"/>
    <x v="887"/>
    <x v="18"/>
    <m/>
    <n v="3"/>
    <n v="2023"/>
    <x v="0"/>
  </r>
  <r>
    <x v="886"/>
    <n v="800"/>
    <x v="1"/>
    <x v="2"/>
    <n v="29517"/>
    <m/>
    <x v="37"/>
    <x v="1187"/>
    <s v="Réparation"/>
    <x v="1750"/>
    <x v="892"/>
    <x v="18"/>
    <n v="120"/>
    <n v="3"/>
    <n v="2023"/>
    <x v="0"/>
  </r>
  <r>
    <x v="887"/>
    <n v="800"/>
    <x v="1"/>
    <x v="2"/>
    <n v="29506"/>
    <m/>
    <x v="37"/>
    <x v="1456"/>
    <s v="Réparation"/>
    <x v="1751"/>
    <x v="893"/>
    <x v="18"/>
    <n v="1440"/>
    <n v="3"/>
    <n v="2023"/>
    <x v="0"/>
  </r>
  <r>
    <x v="887"/>
    <n v="533"/>
    <x v="2"/>
    <x v="5"/>
    <n v="16357"/>
    <m/>
    <x v="593"/>
    <x v="329"/>
    <s v="Réparation"/>
    <x v="1752"/>
    <x v="894"/>
    <x v="18"/>
    <n v="240"/>
    <n v="3"/>
    <n v="2023"/>
    <x v="0"/>
  </r>
  <r>
    <x v="888"/>
    <n v="800"/>
    <x v="1"/>
    <x v="2"/>
    <n v="29515"/>
    <m/>
    <x v="37"/>
    <x v="181"/>
    <s v="Réparation"/>
    <x v="1753"/>
    <x v="895"/>
    <x v="18"/>
    <n v="420"/>
    <n v="3"/>
    <n v="2023"/>
    <x v="0"/>
  </r>
  <r>
    <x v="889"/>
    <n v="700"/>
    <x v="1"/>
    <x v="3"/>
    <n v="29518"/>
    <m/>
    <x v="49"/>
    <x v="1457"/>
    <s v="Réparation"/>
    <x v="1754"/>
    <x v="896"/>
    <x v="18"/>
    <n v="120"/>
    <n v="3"/>
    <n v="2023"/>
    <x v="0"/>
  </r>
  <r>
    <x v="889"/>
    <n v="534"/>
    <x v="2"/>
    <x v="27"/>
    <n v="16548"/>
    <m/>
    <x v="24"/>
    <x v="593"/>
    <s v="Réparaition"/>
    <x v="1755"/>
    <x v="896"/>
    <x v="18"/>
    <n v="90"/>
    <n v="3"/>
    <n v="2023"/>
    <x v="0"/>
  </r>
  <r>
    <x v="890"/>
    <n v="700"/>
    <x v="1"/>
    <x v="3"/>
    <n v="29519"/>
    <m/>
    <x v="184"/>
    <x v="603"/>
    <s v="Réparation "/>
    <x v="1756"/>
    <x v="897"/>
    <x v="18"/>
    <n v="240"/>
    <n v="3"/>
    <n v="2023"/>
    <x v="0"/>
  </r>
  <r>
    <x v="891"/>
    <n v="565"/>
    <x v="0"/>
    <x v="4"/>
    <n v="16943"/>
    <m/>
    <x v="92"/>
    <x v="1458"/>
    <s v="Réparation"/>
    <x v="1757"/>
    <x v="898"/>
    <x v="18"/>
    <n v="3360"/>
    <n v="3"/>
    <n v="2023"/>
    <x v="0"/>
  </r>
  <r>
    <x v="892"/>
    <n v="800"/>
    <x v="1"/>
    <x v="2"/>
    <n v="29520"/>
    <m/>
    <x v="70"/>
    <x v="1459"/>
    <s v="Réparation"/>
    <x v="1758"/>
    <x v="899"/>
    <x v="18"/>
    <n v="60"/>
    <n v="3"/>
    <n v="2023"/>
    <x v="0"/>
  </r>
  <r>
    <x v="893"/>
    <n v="700"/>
    <x v="1"/>
    <x v="3"/>
    <n v="29516"/>
    <m/>
    <x v="70"/>
    <x v="1430"/>
    <s v="Réparation"/>
    <x v="1759"/>
    <x v="900"/>
    <x v="18"/>
    <n v="450"/>
    <n v="3"/>
    <n v="2023"/>
    <x v="0"/>
  </r>
  <r>
    <x v="893"/>
    <n v="700"/>
    <x v="1"/>
    <x v="3"/>
    <n v="29523"/>
    <m/>
    <x v="69"/>
    <x v="524"/>
    <s v="Réparation "/>
    <x v="1760"/>
    <x v="900"/>
    <x v="18"/>
    <n v="60"/>
    <n v="3"/>
    <n v="2023"/>
    <x v="0"/>
  </r>
  <r>
    <x v="894"/>
    <n v="700"/>
    <x v="1"/>
    <x v="3"/>
    <n v="29522"/>
    <m/>
    <x v="114"/>
    <x v="1460"/>
    <s v="Réparation"/>
    <x v="1720"/>
    <x v="901"/>
    <x v="18"/>
    <n v="180"/>
    <n v="3"/>
    <n v="2023"/>
    <x v="0"/>
  </r>
  <r>
    <x v="895"/>
    <n v="700"/>
    <x v="1"/>
    <x v="3"/>
    <n v="29524"/>
    <m/>
    <x v="7"/>
    <x v="1461"/>
    <s v="Réparation"/>
    <x v="1761"/>
    <x v="898"/>
    <x v="18"/>
    <n v="180"/>
    <n v="3"/>
    <n v="2023"/>
    <x v="0"/>
  </r>
  <r>
    <x v="896"/>
    <n v="800"/>
    <x v="1"/>
    <x v="2"/>
    <n v="29521"/>
    <m/>
    <x v="37"/>
    <x v="1187"/>
    <s v="Réparation"/>
    <x v="1762"/>
    <x v="902"/>
    <x v="18"/>
    <n v="570"/>
    <n v="3"/>
    <n v="2023"/>
    <x v="0"/>
  </r>
  <r>
    <x v="897"/>
    <n v="605"/>
    <x v="0"/>
    <x v="13"/>
    <n v="26673"/>
    <m/>
    <x v="17"/>
    <x v="1462"/>
    <s v="Réparation"/>
    <x v="1763"/>
    <x v="903"/>
    <x v="18"/>
    <n v="120"/>
    <n v="4"/>
    <n v="2023"/>
    <x v="0"/>
  </r>
  <r>
    <x v="898"/>
    <n v="568"/>
    <x v="4"/>
    <x v="14"/>
    <n v="29601"/>
    <m/>
    <x v="367"/>
    <x v="1463"/>
    <s v="Réparation"/>
    <x v="1764"/>
    <x v="904"/>
    <x v="18"/>
    <n v="120"/>
    <n v="4"/>
    <n v="2023"/>
    <x v="0"/>
  </r>
  <r>
    <x v="899"/>
    <n v="700"/>
    <x v="1"/>
    <x v="3"/>
    <n v="29527"/>
    <m/>
    <x v="594"/>
    <x v="1464"/>
    <s v="Réparation"/>
    <x v="1765"/>
    <x v="905"/>
    <x v="18"/>
    <n v="120"/>
    <n v="4"/>
    <n v="2023"/>
    <x v="0"/>
  </r>
  <r>
    <x v="900"/>
    <n v="700"/>
    <x v="1"/>
    <x v="3"/>
    <n v="29525"/>
    <m/>
    <x v="595"/>
    <x v="1465"/>
    <s v="Réparation"/>
    <x v="1766"/>
    <x v="906"/>
    <x v="18"/>
    <n v="120"/>
    <n v="4"/>
    <n v="2023"/>
    <x v="0"/>
  </r>
  <r>
    <x v="900"/>
    <n v="560"/>
    <x v="0"/>
    <x v="0"/>
    <n v="26674"/>
    <m/>
    <x v="57"/>
    <x v="1466"/>
    <s v="Réparation"/>
    <x v="1515"/>
    <x v="906"/>
    <x v="18"/>
    <n v="60"/>
    <n v="4"/>
    <n v="2023"/>
    <x v="0"/>
  </r>
  <r>
    <x v="901"/>
    <n v="580"/>
    <x v="0"/>
    <x v="11"/>
    <n v="29909"/>
    <m/>
    <x v="17"/>
    <x v="1467"/>
    <s v="Réparation"/>
    <x v="1704"/>
    <x v="907"/>
    <x v="18"/>
    <n v="120"/>
    <n v="4"/>
    <n v="2023"/>
    <x v="0"/>
  </r>
  <r>
    <x v="901"/>
    <n v="561"/>
    <x v="4"/>
    <x v="18"/>
    <n v="29602"/>
    <m/>
    <x v="596"/>
    <x v="861"/>
    <s v="Réparation"/>
    <x v="1767"/>
    <x v="908"/>
    <x v="18"/>
    <n v="40"/>
    <n v="4"/>
    <n v="2023"/>
    <x v="0"/>
  </r>
  <r>
    <x v="902"/>
    <n v="560"/>
    <x v="0"/>
    <x v="0"/>
    <n v="26671"/>
    <m/>
    <x v="57"/>
    <x v="1468"/>
    <s v="Réparation"/>
    <x v="1768"/>
    <x v="907"/>
    <x v="18"/>
    <n v="10"/>
    <n v="4"/>
    <n v="2023"/>
    <x v="0"/>
  </r>
  <r>
    <x v="903"/>
    <n v="583"/>
    <x v="4"/>
    <x v="21"/>
    <n v="29910"/>
    <m/>
    <x v="6"/>
    <x v="1469"/>
    <s v="Réparation"/>
    <x v="1769"/>
    <x v="909"/>
    <x v="18"/>
    <n v="75"/>
    <n v="4"/>
    <n v="2023"/>
    <x v="0"/>
  </r>
  <r>
    <x v="904"/>
    <n v="582"/>
    <x v="0"/>
    <x v="1"/>
    <n v="29911"/>
    <m/>
    <x v="15"/>
    <x v="145"/>
    <s v="Réparation"/>
    <x v="1704"/>
    <x v="910"/>
    <x v="18"/>
    <n v="240"/>
    <n v="4"/>
    <n v="2023"/>
    <x v="0"/>
  </r>
  <r>
    <x v="904"/>
    <n v="582"/>
    <x v="0"/>
    <x v="1"/>
    <n v="29930"/>
    <m/>
    <x v="17"/>
    <x v="1470"/>
    <s v="Réparation"/>
    <x v="1770"/>
    <x v="911"/>
    <x v="18"/>
    <n v="90"/>
    <n v="5"/>
    <n v="2023"/>
    <x v="0"/>
  </r>
  <r>
    <x v="905"/>
    <n v="582"/>
    <x v="0"/>
    <x v="1"/>
    <n v="29913"/>
    <m/>
    <x v="15"/>
    <x v="1471"/>
    <s v="Répration"/>
    <x v="1771"/>
    <x v="912"/>
    <x v="18"/>
    <n v="180"/>
    <n v="4"/>
    <n v="2023"/>
    <x v="0"/>
  </r>
  <r>
    <x v="906"/>
    <n v="583"/>
    <x v="4"/>
    <x v="21"/>
    <n v="29912"/>
    <m/>
    <x v="6"/>
    <x v="1469"/>
    <s v="Réparation"/>
    <x v="1769"/>
    <x v="913"/>
    <x v="18"/>
    <n v="45"/>
    <n v="4"/>
    <n v="2023"/>
    <x v="0"/>
  </r>
  <r>
    <x v="907"/>
    <n v="583"/>
    <x v="4"/>
    <x v="21"/>
    <n v="29914"/>
    <m/>
    <x v="6"/>
    <x v="1095"/>
    <s v="Réparation"/>
    <x v="1772"/>
    <x v="914"/>
    <x v="18"/>
    <n v="120"/>
    <n v="4"/>
    <n v="2023"/>
    <x v="0"/>
  </r>
  <r>
    <x v="907"/>
    <n v="565"/>
    <x v="0"/>
    <x v="4"/>
    <n v="29604"/>
    <m/>
    <x v="597"/>
    <x v="1472"/>
    <s v="Réparation"/>
    <x v="1773"/>
    <x v="914"/>
    <x v="18"/>
    <n v="180"/>
    <n v="4"/>
    <n v="2023"/>
    <x v="0"/>
  </r>
  <r>
    <x v="908"/>
    <n v="609"/>
    <x v="0"/>
    <x v="41"/>
    <n v="29603"/>
    <m/>
    <x v="0"/>
    <x v="1473"/>
    <s v="Réparation"/>
    <x v="1774"/>
    <x v="915"/>
    <x v="18"/>
    <n v="2400"/>
    <n v="4"/>
    <n v="2023"/>
    <x v="0"/>
  </r>
  <r>
    <x v="909"/>
    <n v="565"/>
    <x v="0"/>
    <x v="4"/>
    <n v="29605"/>
    <m/>
    <x v="589"/>
    <x v="1474"/>
    <s v="Réparation"/>
    <x v="1775"/>
    <x v="916"/>
    <x v="18"/>
    <n v="120"/>
    <n v="4"/>
    <n v="2023"/>
    <x v="0"/>
  </r>
  <r>
    <x v="909"/>
    <n v="565"/>
    <x v="0"/>
    <x v="4"/>
    <n v="29606"/>
    <m/>
    <x v="66"/>
    <x v="1475"/>
    <s v="Réparation"/>
    <x v="1776"/>
    <x v="916"/>
    <x v="18"/>
    <n v="90"/>
    <n v="4"/>
    <n v="2023"/>
    <x v="0"/>
  </r>
  <r>
    <x v="910"/>
    <n v="580"/>
    <x v="0"/>
    <x v="11"/>
    <n v="29919"/>
    <m/>
    <x v="598"/>
    <x v="1476"/>
    <s v="Réparation"/>
    <x v="1777"/>
    <x v="917"/>
    <x v="18"/>
    <n v="180"/>
    <n v="4"/>
    <n v="2023"/>
    <x v="0"/>
  </r>
  <r>
    <x v="911"/>
    <n v="605"/>
    <x v="0"/>
    <x v="13"/>
    <n v="29607"/>
    <m/>
    <x v="17"/>
    <x v="1477"/>
    <s v="Réparation"/>
    <x v="1778"/>
    <x v="918"/>
    <x v="18"/>
    <n v="120"/>
    <n v="4"/>
    <n v="2023"/>
    <x v="0"/>
  </r>
  <r>
    <x v="912"/>
    <n v="607"/>
    <x v="0"/>
    <x v="12"/>
    <n v="29608"/>
    <m/>
    <x v="0"/>
    <x v="374"/>
    <s v="Réparation"/>
    <x v="1779"/>
    <x v="919"/>
    <x v="18"/>
    <n v="2400"/>
    <n v="4"/>
    <n v="2023"/>
    <x v="0"/>
  </r>
  <r>
    <x v="913"/>
    <n v="580"/>
    <x v="0"/>
    <x v="11"/>
    <n v="29921"/>
    <m/>
    <x v="87"/>
    <x v="1034"/>
    <s v="Réparation"/>
    <x v="1706"/>
    <x v="920"/>
    <x v="18"/>
    <n v="480"/>
    <n v="4"/>
    <n v="2023"/>
    <x v="0"/>
  </r>
  <r>
    <x v="913"/>
    <n v="565"/>
    <x v="0"/>
    <x v="4"/>
    <n v="29610"/>
    <m/>
    <x v="599"/>
    <x v="1478"/>
    <s v="Réparation"/>
    <x v="1780"/>
    <x v="920"/>
    <x v="18"/>
    <n v="40"/>
    <n v="4"/>
    <n v="2023"/>
    <x v="0"/>
  </r>
  <r>
    <x v="913"/>
    <n v="605"/>
    <x v="0"/>
    <x v="13"/>
    <n v="29611"/>
    <m/>
    <x v="17"/>
    <x v="1473"/>
    <s v="Réparation"/>
    <x v="1781"/>
    <x v="920"/>
    <x v="18"/>
    <n v="60"/>
    <n v="4"/>
    <n v="2023"/>
    <x v="0"/>
  </r>
  <r>
    <x v="914"/>
    <n v="800"/>
    <x v="1"/>
    <x v="2"/>
    <n v="29529"/>
    <m/>
    <x v="37"/>
    <x v="1479"/>
    <s v="Réparation"/>
    <x v="1782"/>
    <x v="921"/>
    <x v="18"/>
    <n v="2880"/>
    <n v="4"/>
    <n v="2023"/>
    <x v="0"/>
  </r>
  <r>
    <x v="915"/>
    <n v="580"/>
    <x v="0"/>
    <x v="11"/>
    <n v="29923"/>
    <m/>
    <x v="87"/>
    <x v="1480"/>
    <s v="Réparation"/>
    <x v="1783"/>
    <x v="922"/>
    <x v="18"/>
    <n v="180"/>
    <n v="4"/>
    <n v="2023"/>
    <x v="0"/>
  </r>
  <r>
    <x v="916"/>
    <n v="581"/>
    <x v="0"/>
    <x v="10"/>
    <n v="29926"/>
    <m/>
    <x v="15"/>
    <x v="1481"/>
    <s v="Réparation "/>
    <x v="1784"/>
    <x v="923"/>
    <x v="18"/>
    <n v="285"/>
    <n v="5"/>
    <n v="2023"/>
    <x v="0"/>
  </r>
  <r>
    <x v="917"/>
    <n v="607"/>
    <x v="0"/>
    <x v="12"/>
    <n v="29613"/>
    <m/>
    <x v="600"/>
    <x v="1482"/>
    <s v="Réparation"/>
    <x v="1785"/>
    <x v="924"/>
    <x v="18"/>
    <n v="45"/>
    <n v="5"/>
    <n v="2023"/>
    <x v="0"/>
  </r>
  <r>
    <x v="918"/>
    <n v="580"/>
    <x v="0"/>
    <x v="11"/>
    <n v="29928"/>
    <m/>
    <x v="220"/>
    <x v="511"/>
    <s v="Réparation"/>
    <x v="1786"/>
    <x v="925"/>
    <x v="18"/>
    <n v="150"/>
    <n v="5"/>
    <n v="2023"/>
    <x v="0"/>
  </r>
  <r>
    <x v="919"/>
    <n v="607"/>
    <x v="0"/>
    <x v="12"/>
    <n v="29614"/>
    <m/>
    <x v="601"/>
    <x v="1483"/>
    <s v="Réparation "/>
    <x v="1787"/>
    <x v="926"/>
    <x v="18"/>
    <n v="30"/>
    <n v="5"/>
    <n v="2023"/>
    <x v="0"/>
  </r>
  <r>
    <x v="920"/>
    <n v="534"/>
    <x v="2"/>
    <x v="27"/>
    <n v="29617"/>
    <m/>
    <x v="567"/>
    <x v="1095"/>
    <s v="Réparation"/>
    <x v="1788"/>
    <x v="911"/>
    <x v="18"/>
    <n v="120"/>
    <n v="5"/>
    <n v="2023"/>
    <x v="0"/>
  </r>
  <r>
    <x v="921"/>
    <n v="700"/>
    <x v="1"/>
    <x v="3"/>
    <n v="29532"/>
    <m/>
    <x v="27"/>
    <x v="87"/>
    <s v="Réparation"/>
    <x v="1789"/>
    <x v="927"/>
    <x v="18"/>
    <n v="120"/>
    <n v="5"/>
    <n v="2023"/>
    <x v="0"/>
  </r>
  <r>
    <x v="921"/>
    <n v="605"/>
    <x v="0"/>
    <x v="13"/>
    <n v="29625"/>
    <m/>
    <x v="0"/>
    <x v="1473"/>
    <s v="Réparation"/>
    <x v="1790"/>
    <x v="927"/>
    <x v="18"/>
    <n v="70"/>
    <n v="5"/>
    <n v="2023"/>
    <x v="0"/>
  </r>
  <r>
    <x v="921"/>
    <n v="565"/>
    <x v="0"/>
    <x v="4"/>
    <n v="29626"/>
    <m/>
    <x v="57"/>
    <x v="1484"/>
    <s v="Réparation"/>
    <x v="1791"/>
    <x v="927"/>
    <x v="18"/>
    <n v="30"/>
    <n v="5"/>
    <n v="2023"/>
    <x v="0"/>
  </r>
  <r>
    <x v="922"/>
    <n v="582"/>
    <x v="0"/>
    <x v="1"/>
    <n v="29931"/>
    <m/>
    <x v="296"/>
    <x v="1485"/>
    <s v="Réparation"/>
    <x v="1792"/>
    <x v="928"/>
    <x v="18"/>
    <m/>
    <n v="5"/>
    <n v="2023"/>
    <x v="0"/>
  </r>
  <r>
    <x v="923"/>
    <n v="800"/>
    <x v="1"/>
    <x v="2"/>
    <n v="29531"/>
    <m/>
    <x v="37"/>
    <x v="1486"/>
    <s v="Réparation"/>
    <x v="1793"/>
    <x v="929"/>
    <x v="18"/>
    <n v="960"/>
    <n v="5"/>
    <n v="2023"/>
    <x v="0"/>
  </r>
  <r>
    <x v="924"/>
    <n v="571"/>
    <x v="0"/>
    <x v="7"/>
    <n v="29629"/>
    <m/>
    <x v="57"/>
    <x v="1487"/>
    <s v="Réparation"/>
    <x v="1794"/>
    <x v="930"/>
    <x v="18"/>
    <n v="120"/>
    <n v="5"/>
    <n v="2023"/>
    <x v="0"/>
  </r>
  <r>
    <x v="925"/>
    <n v="700"/>
    <x v="1"/>
    <x v="3"/>
    <n v="29535"/>
    <m/>
    <x v="27"/>
    <x v="1488"/>
    <s v="Réparation"/>
    <x v="1795"/>
    <x v="931"/>
    <x v="18"/>
    <n v="180"/>
    <n v="5"/>
    <n v="2023"/>
    <x v="0"/>
  </r>
  <r>
    <x v="925"/>
    <n v="700"/>
    <x v="1"/>
    <x v="3"/>
    <n v="29536"/>
    <m/>
    <x v="24"/>
    <x v="1489"/>
    <s v="Réparation"/>
    <x v="1796"/>
    <x v="931"/>
    <x v="18"/>
    <n v="60"/>
    <n v="5"/>
    <n v="2023"/>
    <x v="0"/>
  </r>
  <r>
    <x v="926"/>
    <n v="582"/>
    <x v="0"/>
    <x v="1"/>
    <n v="29934"/>
    <m/>
    <x v="164"/>
    <x v="1034"/>
    <s v="Réparation"/>
    <x v="664"/>
    <x v="932"/>
    <x v="18"/>
    <n v="300"/>
    <n v="5"/>
    <n v="2023"/>
    <x v="0"/>
  </r>
  <r>
    <x v="927"/>
    <n v="609"/>
    <x v="0"/>
    <x v="41"/>
    <n v="29802"/>
    <m/>
    <x v="97"/>
    <x v="217"/>
    <s v="Réparation"/>
    <x v="1774"/>
    <x v="933"/>
    <x v="18"/>
    <n v="300"/>
    <n v="5"/>
    <n v="2023"/>
    <x v="0"/>
  </r>
  <r>
    <x v="928"/>
    <n v="580"/>
    <x v="0"/>
    <x v="11"/>
    <n v="29935"/>
    <m/>
    <x v="220"/>
    <x v="1206"/>
    <s v="Réparation"/>
    <x v="1797"/>
    <x v="934"/>
    <x v="18"/>
    <n v="480"/>
    <n v="5"/>
    <n v="2023"/>
    <x v="0"/>
  </r>
  <r>
    <x v="929"/>
    <n v="605"/>
    <x v="0"/>
    <x v="13"/>
    <n v="29805"/>
    <m/>
    <x v="17"/>
    <x v="1490"/>
    <s v="Réparation"/>
    <x v="1798"/>
    <x v="935"/>
    <x v="18"/>
    <n v="60"/>
    <n v="5"/>
    <n v="2023"/>
    <x v="0"/>
  </r>
  <r>
    <x v="930"/>
    <n v="605"/>
    <x v="0"/>
    <x v="13"/>
    <n v="29806"/>
    <m/>
    <x v="17"/>
    <x v="1491"/>
    <s v="Réparation"/>
    <x v="1798"/>
    <x v="936"/>
    <x v="18"/>
    <n v="20"/>
    <n v="5"/>
    <n v="2023"/>
    <x v="0"/>
  </r>
  <r>
    <x v="931"/>
    <n v="800"/>
    <x v="1"/>
    <x v="2"/>
    <n v="29539"/>
    <m/>
    <x v="373"/>
    <x v="1492"/>
    <s v="Réparation"/>
    <x v="1799"/>
    <x v="937"/>
    <x v="18"/>
    <n v="150"/>
    <n v="5"/>
    <n v="2023"/>
    <x v="0"/>
  </r>
  <r>
    <x v="931"/>
    <n v="562"/>
    <x v="4"/>
    <x v="8"/>
    <n v="29807"/>
    <m/>
    <x v="599"/>
    <x v="897"/>
    <s v="Réparation"/>
    <x v="1800"/>
    <x v="937"/>
    <x v="18"/>
    <n v="120"/>
    <n v="5"/>
    <n v="2023"/>
    <x v="0"/>
  </r>
  <r>
    <x v="932"/>
    <n v="700"/>
    <x v="1"/>
    <x v="3"/>
    <n v="29540"/>
    <m/>
    <x v="114"/>
    <x v="1493"/>
    <s v="Réparation"/>
    <x v="1801"/>
    <x v="938"/>
    <x v="18"/>
    <n v="60"/>
    <n v="5"/>
    <n v="2023"/>
    <x v="0"/>
  </r>
  <r>
    <x v="932"/>
    <n v="700"/>
    <x v="1"/>
    <x v="3"/>
    <n v="29541"/>
    <m/>
    <x v="60"/>
    <x v="122"/>
    <s v="Réparation"/>
    <x v="1802"/>
    <x v="938"/>
    <x v="18"/>
    <n v="60"/>
    <n v="5"/>
    <n v="2023"/>
    <x v="0"/>
  </r>
  <r>
    <x v="933"/>
    <n v="700"/>
    <x v="1"/>
    <x v="3"/>
    <n v="29542"/>
    <m/>
    <x v="602"/>
    <x v="1019"/>
    <s v="Réparation"/>
    <x v="1803"/>
    <x v="939"/>
    <x v="18"/>
    <n v="120"/>
    <n v="6"/>
    <n v="2023"/>
    <x v="0"/>
  </r>
  <r>
    <x v="933"/>
    <n v="606"/>
    <x v="0"/>
    <x v="17"/>
    <n v="29809"/>
    <m/>
    <x v="192"/>
    <x v="1494"/>
    <s v="Réparation"/>
    <x v="1787"/>
    <x v="939"/>
    <x v="18"/>
    <n v="60"/>
    <n v="6"/>
    <n v="2023"/>
    <x v="0"/>
  </r>
  <r>
    <x v="933"/>
    <n v="582"/>
    <x v="0"/>
    <x v="1"/>
    <m/>
    <m/>
    <x v="12"/>
    <x v="1495"/>
    <s v="Réparation"/>
    <x v="1804"/>
    <x v="940"/>
    <x v="18"/>
    <n v="12480"/>
    <n v="6"/>
    <n v="2023"/>
    <x v="0"/>
  </r>
  <r>
    <x v="934"/>
    <n v="700"/>
    <x v="1"/>
    <x v="3"/>
    <n v="29543"/>
    <m/>
    <x v="8"/>
    <x v="1496"/>
    <s v="Réparation"/>
    <x v="1805"/>
    <x v="941"/>
    <x v="18"/>
    <n v="45"/>
    <n v="6"/>
    <n v="2023"/>
    <x v="0"/>
  </r>
  <r>
    <x v="935"/>
    <n v="700"/>
    <x v="1"/>
    <x v="3"/>
    <n v="29545"/>
    <m/>
    <x v="49"/>
    <x v="1497"/>
    <s v="Réparation"/>
    <x v="1806"/>
    <x v="942"/>
    <x v="18"/>
    <n v="90"/>
    <n v="6"/>
    <n v="2023"/>
    <x v="0"/>
  </r>
  <r>
    <x v="936"/>
    <n v="590"/>
    <x v="0"/>
    <x v="20"/>
    <n v="29960"/>
    <m/>
    <x v="12"/>
    <x v="0"/>
    <m/>
    <x v="99"/>
    <x v="833"/>
    <x v="18"/>
    <m/>
    <n v="1"/>
    <n v="1900"/>
    <x v="0"/>
  </r>
  <r>
    <x v="937"/>
    <n v="700"/>
    <x v="1"/>
    <x v="3"/>
    <n v="29546"/>
    <m/>
    <x v="49"/>
    <x v="1498"/>
    <s v="Réparation"/>
    <x v="1807"/>
    <x v="943"/>
    <x v="18"/>
    <n v="30"/>
    <n v="6"/>
    <n v="2023"/>
    <x v="0"/>
  </r>
  <r>
    <x v="938"/>
    <n v="800"/>
    <x v="1"/>
    <x v="2"/>
    <n v="29547"/>
    <m/>
    <x v="49"/>
    <x v="1407"/>
    <s v="Réparation"/>
    <x v="1808"/>
    <x v="944"/>
    <x v="18"/>
    <n v="100"/>
    <n v="6"/>
    <n v="2023"/>
    <x v="0"/>
  </r>
  <r>
    <x v="939"/>
    <n v="800"/>
    <x v="1"/>
    <x v="2"/>
    <n v="29549"/>
    <m/>
    <x v="24"/>
    <x v="1499"/>
    <s v="Réparation"/>
    <x v="1809"/>
    <x v="945"/>
    <x v="18"/>
    <n v="40"/>
    <n v="6"/>
    <n v="2023"/>
    <x v="0"/>
  </r>
  <r>
    <x v="940"/>
    <n v="560"/>
    <x v="0"/>
    <x v="0"/>
    <n v="29814"/>
    <m/>
    <x v="282"/>
    <x v="1500"/>
    <s v="Réparation"/>
    <x v="1810"/>
    <x v="946"/>
    <x v="18"/>
    <n v="30"/>
    <n v="6"/>
    <n v="2023"/>
    <x v="0"/>
  </r>
  <r>
    <x v="941"/>
    <n v="565"/>
    <x v="0"/>
    <x v="4"/>
    <n v="29815"/>
    <m/>
    <x v="282"/>
    <x v="321"/>
    <s v="Réparation"/>
    <x v="1811"/>
    <x v="947"/>
    <x v="18"/>
    <n v="120"/>
    <n v="6"/>
    <n v="2023"/>
    <x v="0"/>
  </r>
  <r>
    <x v="942"/>
    <n v="800"/>
    <x v="1"/>
    <x v="2"/>
    <n v="26351"/>
    <m/>
    <x v="114"/>
    <x v="1501"/>
    <s v="Réparation"/>
    <x v="726"/>
    <x v="948"/>
    <x v="18"/>
    <n v="60"/>
    <n v="6"/>
    <n v="2023"/>
    <x v="0"/>
  </r>
  <r>
    <x v="943"/>
    <n v="800"/>
    <x v="1"/>
    <x v="2"/>
    <n v="26352"/>
    <m/>
    <x v="27"/>
    <x v="1502"/>
    <s v="Réparation"/>
    <x v="770"/>
    <x v="949"/>
    <x v="18"/>
    <n v="220"/>
    <n v="6"/>
    <n v="2023"/>
    <x v="0"/>
  </r>
  <r>
    <x v="943"/>
    <n v="533"/>
    <x v="2"/>
    <x v="5"/>
    <n v="29817"/>
    <m/>
    <x v="24"/>
    <x v="1190"/>
    <s v="Réparation"/>
    <x v="1812"/>
    <x v="949"/>
    <x v="18"/>
    <n v="120"/>
    <n v="6"/>
    <n v="2023"/>
    <x v="0"/>
  </r>
  <r>
    <x v="944"/>
    <n v="700"/>
    <x v="1"/>
    <x v="3"/>
    <n v="26354"/>
    <m/>
    <x v="254"/>
    <x v="166"/>
    <s v="Réparation "/>
    <x v="1813"/>
    <x v="950"/>
    <x v="18"/>
    <n v="90"/>
    <n v="6"/>
    <n v="2023"/>
    <x v="0"/>
  </r>
  <r>
    <x v="944"/>
    <n v="620"/>
    <x v="0"/>
    <x v="26"/>
    <n v="29819"/>
    <m/>
    <x v="603"/>
    <x v="1503"/>
    <s v="Réparation"/>
    <x v="1814"/>
    <x v="951"/>
    <x v="18"/>
    <n v="480"/>
    <n v="6"/>
    <n v="2023"/>
    <x v="0"/>
  </r>
  <r>
    <x v="945"/>
    <n v="800"/>
    <x v="1"/>
    <x v="2"/>
    <n v="26358"/>
    <m/>
    <x v="37"/>
    <x v="1504"/>
    <s v="Réparation"/>
    <x v="1815"/>
    <x v="952"/>
    <x v="18"/>
    <n v="120"/>
    <n v="6"/>
    <n v="2023"/>
    <x v="0"/>
  </r>
  <r>
    <x v="946"/>
    <n v="700"/>
    <x v="1"/>
    <x v="3"/>
    <n v="26359"/>
    <m/>
    <x v="70"/>
    <x v="818"/>
    <s v="Réparation"/>
    <x v="1720"/>
    <x v="953"/>
    <x v="18"/>
    <n v="90"/>
    <n v="6"/>
    <n v="2023"/>
    <x v="0"/>
  </r>
  <r>
    <x v="946"/>
    <n v="700"/>
    <x v="1"/>
    <x v="3"/>
    <n v="26360"/>
    <m/>
    <x v="70"/>
    <x v="1446"/>
    <s v="Réparation"/>
    <x v="1816"/>
    <x v="953"/>
    <x v="18"/>
    <n v="780"/>
    <n v="6"/>
    <n v="2023"/>
    <x v="0"/>
  </r>
  <r>
    <x v="947"/>
    <n v="582"/>
    <x v="0"/>
    <x v="1"/>
    <m/>
    <m/>
    <x v="12"/>
    <x v="1495"/>
    <s v="Réparation"/>
    <x v="1804"/>
    <x v="954"/>
    <x v="18"/>
    <n v="12480"/>
    <n v="7"/>
    <n v="2023"/>
    <x v="0"/>
  </r>
  <r>
    <x v="948"/>
    <n v="700"/>
    <x v="1"/>
    <x v="3"/>
    <n v="26361"/>
    <m/>
    <x v="92"/>
    <x v="500"/>
    <s v="Réparation"/>
    <x v="1817"/>
    <x v="955"/>
    <x v="18"/>
    <n v="4800"/>
    <n v="7"/>
    <n v="2023"/>
    <x v="0"/>
  </r>
  <r>
    <x v="949"/>
    <n v="800"/>
    <x v="1"/>
    <x v="2"/>
    <n v="26363"/>
    <m/>
    <x v="604"/>
    <x v="1505"/>
    <s v="Réparation"/>
    <x v="815"/>
    <x v="956"/>
    <x v="18"/>
    <n v="45"/>
    <n v="7"/>
    <n v="2023"/>
    <x v="0"/>
  </r>
  <r>
    <x v="950"/>
    <n v="800"/>
    <x v="1"/>
    <x v="2"/>
    <n v="26364"/>
    <m/>
    <x v="605"/>
    <x v="1506"/>
    <s v="Réparation"/>
    <x v="1818"/>
    <x v="957"/>
    <x v="18"/>
    <n v="80"/>
    <n v="7"/>
    <n v="2023"/>
    <x v="0"/>
  </r>
  <r>
    <x v="950"/>
    <n v="700"/>
    <x v="1"/>
    <x v="3"/>
    <n v="26365"/>
    <m/>
    <x v="24"/>
    <x v="1507"/>
    <s v="Réparation"/>
    <x v="1819"/>
    <x v="957"/>
    <x v="18"/>
    <n v="210"/>
    <n v="7"/>
    <n v="2023"/>
    <x v="0"/>
  </r>
  <r>
    <x v="950"/>
    <n v="565"/>
    <x v="0"/>
    <x v="4"/>
    <n v="29821"/>
    <m/>
    <x v="160"/>
    <x v="1508"/>
    <s v="Réparation"/>
    <x v="1820"/>
    <x v="957"/>
    <x v="18"/>
    <n v="120"/>
    <n v="7"/>
    <n v="2023"/>
    <x v="0"/>
  </r>
  <r>
    <x v="951"/>
    <n v="800"/>
    <x v="1"/>
    <x v="2"/>
    <n v="26367"/>
    <m/>
    <x v="606"/>
    <x v="1509"/>
    <s v="Réparation "/>
    <x v="1821"/>
    <x v="958"/>
    <x v="18"/>
    <n v="120"/>
    <n v="7"/>
    <n v="2023"/>
    <x v="0"/>
  </r>
  <r>
    <x v="951"/>
    <n v="700"/>
    <x v="1"/>
    <x v="3"/>
    <n v="26368"/>
    <m/>
    <x v="23"/>
    <x v="1510"/>
    <s v="Réparation"/>
    <x v="1822"/>
    <x v="958"/>
    <x v="18"/>
    <n v="300"/>
    <n v="7"/>
    <n v="2023"/>
    <x v="0"/>
  </r>
  <r>
    <x v="952"/>
    <n v="700"/>
    <x v="1"/>
    <x v="3"/>
    <n v="26370"/>
    <m/>
    <x v="48"/>
    <x v="122"/>
    <s v="Réparation"/>
    <x v="1823"/>
    <x v="959"/>
    <x v="18"/>
    <n v="120"/>
    <n v="7"/>
    <n v="2023"/>
    <x v="0"/>
  </r>
  <r>
    <x v="953"/>
    <n v="800"/>
    <x v="1"/>
    <x v="2"/>
    <n v="26369"/>
    <m/>
    <x v="48"/>
    <x v="1511"/>
    <s v="Réparation"/>
    <x v="1824"/>
    <x v="960"/>
    <x v="18"/>
    <n v="90"/>
    <n v="7"/>
    <n v="2023"/>
    <x v="0"/>
  </r>
  <r>
    <x v="954"/>
    <n v="700"/>
    <x v="1"/>
    <x v="3"/>
    <n v="26371"/>
    <m/>
    <x v="37"/>
    <x v="1512"/>
    <s v="Réparation"/>
    <x v="1825"/>
    <x v="961"/>
    <x v="18"/>
    <n v="360"/>
    <n v="7"/>
    <n v="2023"/>
    <x v="0"/>
  </r>
  <r>
    <x v="955"/>
    <n v="800"/>
    <x v="1"/>
    <x v="2"/>
    <n v="26373"/>
    <m/>
    <x v="338"/>
    <x v="685"/>
    <s v="Réparatio"/>
    <x v="1826"/>
    <x v="962"/>
    <x v="18"/>
    <n v="40"/>
    <n v="7"/>
    <n v="2023"/>
    <x v="0"/>
  </r>
  <r>
    <x v="956"/>
    <n v="700"/>
    <x v="1"/>
    <x v="3"/>
    <n v="26374"/>
    <m/>
    <x v="48"/>
    <x v="1513"/>
    <s v="réparation"/>
    <x v="1827"/>
    <x v="963"/>
    <x v="18"/>
    <n v="60"/>
    <n v="7"/>
    <n v="2023"/>
    <x v="0"/>
  </r>
  <r>
    <x v="957"/>
    <n v="700"/>
    <x v="1"/>
    <x v="3"/>
    <n v="26376"/>
    <m/>
    <x v="228"/>
    <x v="675"/>
    <s v="Réparation"/>
    <x v="1828"/>
    <x v="964"/>
    <x v="18"/>
    <n v="220"/>
    <n v="7"/>
    <n v="2023"/>
    <x v="0"/>
  </r>
  <r>
    <x v="958"/>
    <n v="700"/>
    <x v="1"/>
    <x v="3"/>
    <n v="26379"/>
    <m/>
    <x v="48"/>
    <x v="1514"/>
    <s v="Réparation"/>
    <x v="1829"/>
    <x v="965"/>
    <x v="18"/>
    <n v="120"/>
    <n v="7"/>
    <n v="2023"/>
    <x v="0"/>
  </r>
  <r>
    <x v="959"/>
    <n v="800"/>
    <x v="1"/>
    <x v="2"/>
    <n v="26380"/>
    <m/>
    <x v="607"/>
    <x v="1515"/>
    <s v="Réparation"/>
    <x v="1830"/>
    <x v="966"/>
    <x v="18"/>
    <n v="90"/>
    <n v="7"/>
    <n v="2023"/>
    <x v="0"/>
  </r>
  <r>
    <x v="959"/>
    <n v="800"/>
    <x v="1"/>
    <x v="2"/>
    <n v="26381"/>
    <m/>
    <x v="69"/>
    <x v="1516"/>
    <s v="Réparation"/>
    <x v="1831"/>
    <x v="967"/>
    <x v="18"/>
    <n v="90"/>
    <n v="7"/>
    <n v="2023"/>
    <x v="0"/>
  </r>
  <r>
    <x v="960"/>
    <n v="800"/>
    <x v="1"/>
    <x v="2"/>
    <n v="26388"/>
    <m/>
    <x v="37"/>
    <x v="311"/>
    <s v="Réparation"/>
    <x v="1832"/>
    <x v="968"/>
    <x v="18"/>
    <n v="180"/>
    <n v="7"/>
    <n v="2023"/>
    <x v="0"/>
  </r>
  <r>
    <x v="961"/>
    <n v="700"/>
    <x v="1"/>
    <x v="3"/>
    <n v="26389"/>
    <m/>
    <x v="27"/>
    <x v="1517"/>
    <s v="Réparation"/>
    <x v="1833"/>
    <x v="954"/>
    <x v="18"/>
    <n v="300"/>
    <n v="7"/>
    <n v="2023"/>
    <x v="0"/>
  </r>
  <r>
    <x v="962"/>
    <n v="565"/>
    <x v="0"/>
    <x v="4"/>
    <n v="29825"/>
    <m/>
    <x v="66"/>
    <x v="1518"/>
    <s v="Réparation"/>
    <x v="321"/>
    <x v="969"/>
    <x v="18"/>
    <n v="60"/>
    <n v="8"/>
    <n v="2023"/>
    <x v="0"/>
  </r>
  <r>
    <x v="962"/>
    <n v="582"/>
    <x v="0"/>
    <x v="1"/>
    <m/>
    <m/>
    <x v="12"/>
    <x v="1495"/>
    <s v="Réparation"/>
    <x v="1804"/>
    <x v="970"/>
    <x v="18"/>
    <n v="12480"/>
    <n v="8"/>
    <n v="2023"/>
    <x v="0"/>
  </r>
  <r>
    <x v="962"/>
    <n v="800"/>
    <x v="1"/>
    <x v="2"/>
    <n v="26390"/>
    <m/>
    <x v="24"/>
    <x v="1519"/>
    <s v="Réparation"/>
    <x v="1834"/>
    <x v="969"/>
    <x v="18"/>
    <n v="90"/>
    <n v="8"/>
    <n v="2023"/>
    <x v="0"/>
  </r>
  <r>
    <x v="962"/>
    <n v="700"/>
    <x v="1"/>
    <x v="3"/>
    <n v="26391"/>
    <m/>
    <x v="608"/>
    <x v="1407"/>
    <s v="Réparation "/>
    <x v="1808"/>
    <x v="969"/>
    <x v="18"/>
    <n v="120"/>
    <n v="8"/>
    <n v="2023"/>
    <x v="0"/>
  </r>
  <r>
    <x v="963"/>
    <n v="700"/>
    <x v="1"/>
    <x v="3"/>
    <n v="26392"/>
    <m/>
    <x v="27"/>
    <x v="1150"/>
    <s v="Réparation"/>
    <x v="1835"/>
    <x v="971"/>
    <x v="18"/>
    <n v="30"/>
    <n v="8"/>
    <n v="2023"/>
    <x v="0"/>
  </r>
  <r>
    <x v="964"/>
    <n v="590"/>
    <x v="0"/>
    <x v="20"/>
    <n v="30405"/>
    <m/>
    <x v="17"/>
    <x v="120"/>
    <s v="Réparation"/>
    <x v="1836"/>
    <x v="972"/>
    <x v="18"/>
    <n v="90"/>
    <n v="8"/>
    <n v="2023"/>
    <x v="0"/>
  </r>
  <r>
    <x v="965"/>
    <n v="590"/>
    <x v="0"/>
    <x v="20"/>
    <n v="30408"/>
    <m/>
    <x v="609"/>
    <x v="1508"/>
    <s v="Réparation"/>
    <x v="1837"/>
    <x v="973"/>
    <x v="18"/>
    <n v="120"/>
    <n v="8"/>
    <n v="2023"/>
    <x v="0"/>
  </r>
  <r>
    <x v="965"/>
    <n v="700"/>
    <x v="1"/>
    <x v="3"/>
    <n v="28393"/>
    <m/>
    <x v="24"/>
    <x v="1507"/>
    <s v="Réparartion"/>
    <x v="1838"/>
    <x v="973"/>
    <x v="18"/>
    <n v="90"/>
    <n v="8"/>
    <n v="2023"/>
    <x v="0"/>
  </r>
  <r>
    <x v="966"/>
    <n v="700"/>
    <x v="1"/>
    <x v="3"/>
    <n v="26394"/>
    <m/>
    <x v="48"/>
    <x v="1520"/>
    <s v="Réparation"/>
    <x v="1839"/>
    <x v="974"/>
    <x v="18"/>
    <n v="40"/>
    <n v="8"/>
    <n v="2023"/>
    <x v="0"/>
  </r>
  <r>
    <x v="966"/>
    <n v="700"/>
    <x v="1"/>
    <x v="3"/>
    <n v="26395"/>
    <m/>
    <x v="7"/>
    <x v="1521"/>
    <s v="Réparation"/>
    <x v="1756"/>
    <x v="974"/>
    <x v="18"/>
    <n v="120"/>
    <n v="8"/>
    <n v="2023"/>
    <x v="0"/>
  </r>
  <r>
    <x v="967"/>
    <n v="700"/>
    <x v="1"/>
    <x v="3"/>
    <n v="26396"/>
    <m/>
    <x v="49"/>
    <x v="1522"/>
    <s v="Réparation"/>
    <x v="1840"/>
    <x v="975"/>
    <x v="18"/>
    <n v="240"/>
    <n v="8"/>
    <n v="2023"/>
    <x v="0"/>
  </r>
  <r>
    <x v="968"/>
    <n v="800"/>
    <x v="1"/>
    <x v="2"/>
    <n v="26397"/>
    <m/>
    <x v="24"/>
    <x v="1523"/>
    <s v="Réparation"/>
    <x v="1841"/>
    <x v="976"/>
    <x v="18"/>
    <n v="3840"/>
    <n v="8"/>
    <n v="2023"/>
    <x v="0"/>
  </r>
  <r>
    <x v="969"/>
    <n v="700"/>
    <x v="1"/>
    <x v="3"/>
    <n v="26398"/>
    <m/>
    <x v="114"/>
    <x v="1524"/>
    <s v="Réparation"/>
    <x v="1842"/>
    <x v="977"/>
    <x v="18"/>
    <n v="90"/>
    <n v="8"/>
    <n v="2023"/>
    <x v="0"/>
  </r>
  <r>
    <x v="970"/>
    <n v="581"/>
    <x v="0"/>
    <x v="10"/>
    <n v="30412"/>
    <m/>
    <x v="2"/>
    <x v="1525"/>
    <s v="Réparation"/>
    <x v="1843"/>
    <x v="978"/>
    <x v="18"/>
    <n v="80"/>
    <n v="8"/>
    <n v="2023"/>
    <x v="0"/>
  </r>
  <r>
    <x v="970"/>
    <n v="590"/>
    <x v="0"/>
    <x v="20"/>
    <n v="30413"/>
    <m/>
    <x v="87"/>
    <x v="1526"/>
    <s v="Réparation"/>
    <x v="1844"/>
    <x v="978"/>
    <x v="18"/>
    <n v="2400"/>
    <n v="8"/>
    <n v="2023"/>
    <x v="0"/>
  </r>
  <r>
    <x v="970"/>
    <n v="800"/>
    <x v="1"/>
    <x v="2"/>
    <n v="26399"/>
    <m/>
    <x v="24"/>
    <x v="1527"/>
    <s v="Réparation"/>
    <x v="1845"/>
    <x v="978"/>
    <x v="18"/>
    <n v="120"/>
    <n v="8"/>
    <n v="2023"/>
    <x v="0"/>
  </r>
  <r>
    <x v="971"/>
    <n v="800"/>
    <x v="1"/>
    <x v="2"/>
    <n v="26403"/>
    <m/>
    <x v="60"/>
    <x v="87"/>
    <s v="Réparation"/>
    <x v="1846"/>
    <x v="979"/>
    <x v="18"/>
    <n v="150"/>
    <n v="8"/>
    <n v="2023"/>
    <x v="0"/>
  </r>
  <r>
    <x v="972"/>
    <n v="700"/>
    <x v="1"/>
    <x v="3"/>
    <n v="26404"/>
    <m/>
    <x v="55"/>
    <x v="1528"/>
    <s v="Réparationa"/>
    <x v="1847"/>
    <x v="980"/>
    <x v="18"/>
    <n v="180"/>
    <n v="8"/>
    <n v="2023"/>
    <x v="0"/>
  </r>
  <r>
    <x v="972"/>
    <n v="800"/>
    <x v="1"/>
    <x v="2"/>
    <n v="26405"/>
    <m/>
    <x v="49"/>
    <x v="1529"/>
    <s v="Réparation "/>
    <x v="1848"/>
    <x v="980"/>
    <x v="18"/>
    <n v="90"/>
    <n v="8"/>
    <n v="2023"/>
    <x v="0"/>
  </r>
  <r>
    <x v="973"/>
    <n v="800"/>
    <x v="1"/>
    <x v="2"/>
    <n v="26406"/>
    <m/>
    <x v="23"/>
    <x v="1530"/>
    <s v="Réparation "/>
    <x v="1849"/>
    <x v="981"/>
    <x v="18"/>
    <n v="60"/>
    <n v="8"/>
    <n v="2023"/>
    <x v="0"/>
  </r>
  <r>
    <x v="973"/>
    <n v="800"/>
    <x v="1"/>
    <x v="2"/>
    <n v="26407"/>
    <m/>
    <x v="24"/>
    <x v="1531"/>
    <m/>
    <x v="1850"/>
    <x v="981"/>
    <x v="18"/>
    <n v="120"/>
    <n v="8"/>
    <n v="2023"/>
    <x v="0"/>
  </r>
  <r>
    <x v="974"/>
    <n v="590"/>
    <x v="0"/>
    <x v="20"/>
    <n v="30414"/>
    <m/>
    <x v="87"/>
    <x v="77"/>
    <s v="Réparaition"/>
    <x v="1851"/>
    <x v="982"/>
    <x v="18"/>
    <n v="330"/>
    <n v="8"/>
    <n v="2023"/>
    <x v="0"/>
  </r>
  <r>
    <x v="975"/>
    <n v="590"/>
    <x v="0"/>
    <x v="20"/>
    <n v="30416"/>
    <m/>
    <x v="17"/>
    <x v="1470"/>
    <s v="Réparation"/>
    <x v="1852"/>
    <x v="983"/>
    <x v="18"/>
    <n v="75"/>
    <n v="8"/>
    <n v="2023"/>
    <x v="0"/>
  </r>
  <r>
    <x v="976"/>
    <n v="581"/>
    <x v="0"/>
    <x v="10"/>
    <n v="30418"/>
    <m/>
    <x v="15"/>
    <x v="1532"/>
    <s v="Réparation"/>
    <x v="1853"/>
    <x v="984"/>
    <x v="18"/>
    <n v="180"/>
    <n v="9"/>
    <n v="2023"/>
    <x v="0"/>
  </r>
  <r>
    <x v="977"/>
    <n v="700"/>
    <x v="1"/>
    <x v="3"/>
    <n v="26410"/>
    <m/>
    <x v="23"/>
    <x v="1533"/>
    <m/>
    <x v="1854"/>
    <x v="985"/>
    <x v="18"/>
    <n v="90"/>
    <n v="9"/>
    <n v="2023"/>
    <x v="0"/>
  </r>
  <r>
    <x v="977"/>
    <n v="700"/>
    <x v="1"/>
    <x v="3"/>
    <n v="26411"/>
    <m/>
    <x v="49"/>
    <x v="1206"/>
    <m/>
    <x v="1808"/>
    <x v="985"/>
    <x v="18"/>
    <n v="90"/>
    <n v="9"/>
    <n v="2023"/>
    <x v="0"/>
  </r>
  <r>
    <x v="978"/>
    <n v="605"/>
    <x v="0"/>
    <x v="13"/>
    <n v="30357"/>
    <m/>
    <x v="0"/>
    <x v="1346"/>
    <m/>
    <x v="1855"/>
    <x v="986"/>
    <x v="18"/>
    <n v="2400"/>
    <n v="9"/>
    <n v="2023"/>
    <x v="0"/>
  </r>
  <r>
    <x v="979"/>
    <n v="700"/>
    <x v="1"/>
    <x v="3"/>
    <n v="26413"/>
    <m/>
    <x v="2"/>
    <x v="1534"/>
    <m/>
    <x v="1856"/>
    <x v="987"/>
    <x v="18"/>
    <n v="60"/>
    <n v="9"/>
    <n v="2023"/>
    <x v="0"/>
  </r>
  <r>
    <x v="980"/>
    <n v="700"/>
    <x v="1"/>
    <x v="3"/>
    <n v="26414"/>
    <m/>
    <x v="49"/>
    <x v="1535"/>
    <m/>
    <x v="1857"/>
    <x v="988"/>
    <x v="18"/>
    <n v="540"/>
    <n v="9"/>
    <n v="2023"/>
    <x v="0"/>
  </r>
  <r>
    <x v="981"/>
    <n v="800"/>
    <x v="1"/>
    <x v="2"/>
    <n v="26415"/>
    <m/>
    <x v="37"/>
    <x v="72"/>
    <m/>
    <x v="1858"/>
    <x v="989"/>
    <x v="18"/>
    <n v="120"/>
    <n v="9"/>
    <n v="2023"/>
    <x v="0"/>
  </r>
  <r>
    <x v="982"/>
    <n v="800"/>
    <x v="1"/>
    <x v="2"/>
    <n v="26416"/>
    <m/>
    <x v="99"/>
    <x v="473"/>
    <m/>
    <x v="1743"/>
    <x v="990"/>
    <x v="18"/>
    <n v="120"/>
    <n v="9"/>
    <n v="2023"/>
    <x v="0"/>
  </r>
  <r>
    <x v="983"/>
    <n v="590"/>
    <x v="0"/>
    <x v="20"/>
    <m/>
    <m/>
    <x v="12"/>
    <x v="0"/>
    <m/>
    <x v="99"/>
    <x v="833"/>
    <x v="18"/>
    <m/>
    <n v="1"/>
    <n v="1900"/>
    <x v="0"/>
  </r>
  <r>
    <x v="983"/>
    <n v="580"/>
    <x v="0"/>
    <x v="11"/>
    <n v="30420"/>
    <m/>
    <x v="87"/>
    <x v="1034"/>
    <m/>
    <x v="1859"/>
    <x v="991"/>
    <x v="18"/>
    <n v="420"/>
    <n v="9"/>
    <n v="2023"/>
    <x v="0"/>
  </r>
  <r>
    <x v="984"/>
    <n v="700"/>
    <x v="1"/>
    <x v="3"/>
    <n v="26417"/>
    <m/>
    <x v="69"/>
    <x v="1536"/>
    <m/>
    <x v="1860"/>
    <x v="992"/>
    <x v="18"/>
    <n v="280"/>
    <n v="8"/>
    <n v="2023"/>
    <x v="0"/>
  </r>
  <r>
    <x v="984"/>
    <n v="581"/>
    <x v="0"/>
    <x v="10"/>
    <n v="30421"/>
    <m/>
    <x v="15"/>
    <x v="1537"/>
    <m/>
    <x v="1861"/>
    <x v="993"/>
    <x v="18"/>
    <n v="581"/>
    <n v="9"/>
    <n v="2023"/>
    <x v="0"/>
  </r>
  <r>
    <x v="985"/>
    <n v="607"/>
    <x v="0"/>
    <x v="12"/>
    <n v="30361"/>
    <m/>
    <x v="0"/>
    <x v="122"/>
    <m/>
    <x v="1862"/>
    <x v="994"/>
    <x v="18"/>
    <n v="60"/>
    <n v="9"/>
    <n v="2023"/>
    <x v="0"/>
  </r>
  <r>
    <x v="986"/>
    <n v="700"/>
    <x v="1"/>
    <x v="3"/>
    <n v="26418"/>
    <m/>
    <x v="48"/>
    <x v="1517"/>
    <m/>
    <x v="1863"/>
    <x v="995"/>
    <x v="18"/>
    <n v="150"/>
    <n v="9"/>
    <n v="2023"/>
    <x v="0"/>
  </r>
  <r>
    <x v="986"/>
    <n v="590"/>
    <x v="0"/>
    <x v="20"/>
    <n v="30423"/>
    <m/>
    <x v="11"/>
    <x v="1538"/>
    <m/>
    <x v="1675"/>
    <x v="995"/>
    <x v="18"/>
    <n v="60"/>
    <n v="9"/>
    <n v="2023"/>
    <x v="0"/>
  </r>
  <r>
    <x v="986"/>
    <n v="607"/>
    <x v="0"/>
    <x v="12"/>
    <n v="30351"/>
    <m/>
    <x v="0"/>
    <x v="1539"/>
    <m/>
    <x v="1864"/>
    <x v="995"/>
    <x v="18"/>
    <n v="480"/>
    <n v="9"/>
    <n v="2023"/>
    <x v="0"/>
  </r>
  <r>
    <x v="987"/>
    <n v="581"/>
    <x v="0"/>
    <x v="10"/>
    <n v="30424"/>
    <m/>
    <x v="610"/>
    <x v="1540"/>
    <m/>
    <x v="1865"/>
    <x v="996"/>
    <x v="18"/>
    <n v="20"/>
    <n v="9"/>
    <n v="2023"/>
    <x v="0"/>
  </r>
  <r>
    <x v="987"/>
    <n v="581"/>
    <x v="0"/>
    <x v="10"/>
    <n v="30426"/>
    <m/>
    <x v="94"/>
    <x v="1541"/>
    <m/>
    <x v="1866"/>
    <x v="996"/>
    <x v="18"/>
    <n v="120"/>
    <n v="9"/>
    <n v="2023"/>
    <x v="0"/>
  </r>
  <r>
    <x v="988"/>
    <n v="800"/>
    <x v="1"/>
    <x v="2"/>
    <n v="26420"/>
    <m/>
    <x v="7"/>
    <x v="1542"/>
    <m/>
    <x v="1867"/>
    <x v="997"/>
    <x v="18"/>
    <n v="30"/>
    <n v="9"/>
    <n v="2023"/>
    <x v="0"/>
  </r>
  <r>
    <x v="989"/>
    <n v="571"/>
    <x v="0"/>
    <x v="7"/>
    <n v="30362"/>
    <m/>
    <x v="160"/>
    <x v="1543"/>
    <m/>
    <x v="1868"/>
    <x v="998"/>
    <x v="18"/>
    <n v="480"/>
    <n v="10"/>
    <n v="2023"/>
    <x v="0"/>
  </r>
  <r>
    <x v="990"/>
    <n v="571"/>
    <x v="0"/>
    <x v="7"/>
    <n v="30363"/>
    <m/>
    <x v="611"/>
    <x v="1496"/>
    <m/>
    <x v="1826"/>
    <x v="999"/>
    <x v="18"/>
    <n v="180"/>
    <n v="10"/>
    <n v="2023"/>
    <x v="0"/>
  </r>
  <r>
    <x v="990"/>
    <n v="560"/>
    <x v="0"/>
    <x v="0"/>
    <n v="30364"/>
    <m/>
    <x v="434"/>
    <x v="1544"/>
    <m/>
    <x v="1869"/>
    <x v="999"/>
    <x v="18"/>
    <n v="60"/>
    <n v="10"/>
    <n v="2023"/>
    <x v="0"/>
  </r>
  <r>
    <x v="991"/>
    <n v="534"/>
    <x v="2"/>
    <x v="27"/>
    <n v="30365"/>
    <m/>
    <x v="567"/>
    <x v="1545"/>
    <m/>
    <x v="1870"/>
    <x v="1000"/>
    <x v="18"/>
    <n v="180"/>
    <n v="10"/>
    <n v="2023"/>
    <x v="0"/>
  </r>
  <r>
    <x v="992"/>
    <n v="620"/>
    <x v="0"/>
    <x v="26"/>
    <n v="30367"/>
    <m/>
    <x v="612"/>
    <x v="1546"/>
    <m/>
    <x v="1871"/>
    <x v="1001"/>
    <x v="18"/>
    <n v="480"/>
    <n v="10"/>
    <n v="2023"/>
    <x v="0"/>
  </r>
  <r>
    <x v="993"/>
    <n v="590"/>
    <x v="0"/>
    <x v="20"/>
    <n v="30261"/>
    <m/>
    <x v="87"/>
    <x v="77"/>
    <m/>
    <x v="664"/>
    <x v="1002"/>
    <x v="18"/>
    <n v="300"/>
    <n v="11"/>
    <n v="2023"/>
    <x v="0"/>
  </r>
  <r>
    <x v="994"/>
    <n v="581"/>
    <x v="0"/>
    <x v="10"/>
    <n v="30262"/>
    <m/>
    <x v="9"/>
    <x v="1547"/>
    <m/>
    <x v="1872"/>
    <x v="1003"/>
    <x v="18"/>
    <m/>
    <n v="11"/>
    <n v="2023"/>
    <x v="0"/>
  </r>
  <r>
    <x v="994"/>
    <n v="800"/>
    <x v="1"/>
    <x v="2"/>
    <n v="26440"/>
    <m/>
    <x v="9"/>
    <x v="1548"/>
    <m/>
    <x v="1534"/>
    <x v="1003"/>
    <x v="18"/>
    <n v="180"/>
    <n v="11"/>
    <n v="2023"/>
    <x v="0"/>
  </r>
  <r>
    <x v="995"/>
    <n v="700"/>
    <x v="1"/>
    <x v="3"/>
    <n v="26441"/>
    <m/>
    <x v="203"/>
    <x v="1549"/>
    <m/>
    <x v="1756"/>
    <x v="1004"/>
    <x v="18"/>
    <n v="180"/>
    <n v="11"/>
    <n v="2023"/>
    <x v="0"/>
  </r>
  <r>
    <x v="996"/>
    <n v="700"/>
    <x v="1"/>
    <x v="3"/>
    <n v="26442"/>
    <m/>
    <x v="27"/>
    <x v="1550"/>
    <m/>
    <x v="1873"/>
    <x v="1005"/>
    <x v="18"/>
    <n v="780"/>
    <n v="11"/>
    <n v="2023"/>
    <x v="0"/>
  </r>
  <r>
    <x v="997"/>
    <n v="590"/>
    <x v="0"/>
    <x v="20"/>
    <n v="30264"/>
    <m/>
    <x v="126"/>
    <x v="217"/>
    <m/>
    <x v="1549"/>
    <x v="1006"/>
    <x v="18"/>
    <n v="100"/>
    <n v="11"/>
    <n v="2023"/>
    <x v="0"/>
  </r>
  <r>
    <x v="997"/>
    <n v="590"/>
    <x v="0"/>
    <x v="20"/>
    <n v="30265"/>
    <m/>
    <x v="281"/>
    <x v="1551"/>
    <m/>
    <x v="1685"/>
    <x v="1006"/>
    <x v="18"/>
    <m/>
    <n v="11"/>
    <n v="2023"/>
    <x v="0"/>
  </r>
  <r>
    <x v="998"/>
    <n v="590"/>
    <x v="0"/>
    <x v="20"/>
    <n v="30266"/>
    <m/>
    <x v="223"/>
    <x v="217"/>
    <m/>
    <x v="1874"/>
    <x v="1007"/>
    <x v="18"/>
    <n v="180"/>
    <n v="11"/>
    <n v="2023"/>
    <x v="0"/>
  </r>
  <r>
    <x v="999"/>
    <n v="590"/>
    <x v="0"/>
    <x v="20"/>
    <n v="30268"/>
    <m/>
    <x v="75"/>
    <x v="77"/>
    <m/>
    <x v="1875"/>
    <x v="1008"/>
    <x v="18"/>
    <n v="240"/>
    <n v="11"/>
    <n v="2023"/>
    <x v="0"/>
  </r>
  <r>
    <x v="1000"/>
    <n v="590"/>
    <x v="0"/>
    <x v="20"/>
    <n v="30271"/>
    <m/>
    <x v="17"/>
    <x v="1552"/>
    <m/>
    <x v="1874"/>
    <x v="1009"/>
    <x v="18"/>
    <n v="120"/>
    <n v="11"/>
    <n v="2023"/>
    <x v="0"/>
  </r>
  <r>
    <x v="1001"/>
    <n v="581"/>
    <x v="0"/>
    <x v="10"/>
    <n v="30275"/>
    <m/>
    <x v="295"/>
    <x v="1351"/>
    <m/>
    <x v="1874"/>
    <x v="1010"/>
    <x v="18"/>
    <n v="120"/>
    <n v="11"/>
    <n v="2023"/>
    <x v="0"/>
  </r>
  <r>
    <x v="1001"/>
    <n v="700"/>
    <x v="1"/>
    <x v="3"/>
    <n v="30051"/>
    <m/>
    <x v="24"/>
    <x v="1553"/>
    <m/>
    <x v="1876"/>
    <x v="1010"/>
    <x v="18"/>
    <n v="90"/>
    <n v="11"/>
    <n v="2023"/>
    <x v="0"/>
  </r>
  <r>
    <x v="1002"/>
    <n v="700"/>
    <x v="1"/>
    <x v="3"/>
    <n v="30053"/>
    <m/>
    <x v="174"/>
    <x v="270"/>
    <m/>
    <x v="185"/>
    <x v="1011"/>
    <x v="18"/>
    <n v="90"/>
    <n v="11"/>
    <n v="2023"/>
    <x v="0"/>
  </r>
  <r>
    <x v="1003"/>
    <n v="580"/>
    <x v="0"/>
    <x v="11"/>
    <n v="30282"/>
    <m/>
    <x v="613"/>
    <x v="501"/>
    <m/>
    <x v="716"/>
    <x v="1012"/>
    <x v="18"/>
    <n v="420"/>
    <n v="11"/>
    <n v="2023"/>
    <x v="0"/>
  </r>
  <r>
    <x v="1004"/>
    <n v="581"/>
    <x v="0"/>
    <x v="10"/>
    <n v="30285"/>
    <m/>
    <x v="17"/>
    <x v="1554"/>
    <m/>
    <x v="1704"/>
    <x v="1013"/>
    <x v="18"/>
    <n v="35"/>
    <n v="11"/>
    <n v="2023"/>
    <x v="0"/>
  </r>
  <r>
    <x v="1005"/>
    <n v="700"/>
    <x v="1"/>
    <x v="3"/>
    <n v="30054"/>
    <m/>
    <x v="23"/>
    <x v="1555"/>
    <m/>
    <x v="1877"/>
    <x v="1014"/>
    <x v="18"/>
    <n v="120"/>
    <n v="11"/>
    <n v="2023"/>
    <x v="0"/>
  </r>
  <r>
    <x v="1006"/>
    <n v="590"/>
    <x v="0"/>
    <x v="20"/>
    <n v="30289"/>
    <m/>
    <x v="87"/>
    <x v="501"/>
    <m/>
    <x v="1875"/>
    <x v="1015"/>
    <x v="18"/>
    <n v="300"/>
    <n v="11"/>
    <n v="2023"/>
    <x v="0"/>
  </r>
  <r>
    <x v="1007"/>
    <n v="700"/>
    <x v="1"/>
    <x v="3"/>
    <n v="30055"/>
    <m/>
    <x v="37"/>
    <x v="1556"/>
    <m/>
    <x v="1878"/>
    <x v="1016"/>
    <x v="18"/>
    <n v="90"/>
    <n v="12"/>
    <n v="2023"/>
    <x v="0"/>
  </r>
  <r>
    <x v="1007"/>
    <n v="582"/>
    <x v="0"/>
    <x v="1"/>
    <s v="Cielec"/>
    <m/>
    <x v="614"/>
    <x v="1436"/>
    <m/>
    <x v="1879"/>
    <x v="1017"/>
    <x v="18"/>
    <n v="6240"/>
    <n v="12"/>
    <n v="2023"/>
    <x v="2"/>
  </r>
  <r>
    <x v="1008"/>
    <n v="800"/>
    <x v="1"/>
    <x v="2"/>
    <n v="30056"/>
    <m/>
    <x v="335"/>
    <x v="937"/>
    <m/>
    <x v="1725"/>
    <x v="1018"/>
    <x v="18"/>
    <n v="180"/>
    <n v="12"/>
    <n v="2023"/>
    <x v="0"/>
  </r>
  <r>
    <x v="1009"/>
    <n v="700"/>
    <x v="1"/>
    <x v="3"/>
    <n v="30057"/>
    <m/>
    <x v="24"/>
    <x v="1557"/>
    <m/>
    <x v="1880"/>
    <x v="1019"/>
    <x v="18"/>
    <n v="50"/>
    <n v="12"/>
    <n v="2023"/>
    <x v="0"/>
  </r>
  <r>
    <x v="1010"/>
    <n v="700"/>
    <x v="1"/>
    <x v="3"/>
    <n v="30058"/>
    <m/>
    <x v="499"/>
    <x v="1558"/>
    <m/>
    <x v="1881"/>
    <x v="1020"/>
    <x v="18"/>
    <n v="120"/>
    <n v="12"/>
    <n v="2023"/>
    <x v="0"/>
  </r>
  <r>
    <x v="1011"/>
    <n v="700"/>
    <x v="1"/>
    <x v="3"/>
    <n v="30060"/>
    <m/>
    <x v="9"/>
    <x v="1559"/>
    <m/>
    <x v="1878"/>
    <x v="1021"/>
    <x v="18"/>
    <n v="60"/>
    <n v="12"/>
    <n v="2023"/>
    <x v="0"/>
  </r>
  <r>
    <x v="1011"/>
    <n v="800"/>
    <x v="1"/>
    <x v="2"/>
    <n v="30061"/>
    <m/>
    <x v="24"/>
    <x v="1560"/>
    <m/>
    <x v="1882"/>
    <x v="1021"/>
    <x v="18"/>
    <n v="90"/>
    <n v="12"/>
    <n v="2023"/>
    <x v="0"/>
  </r>
  <r>
    <x v="1011"/>
    <n v="700"/>
    <x v="1"/>
    <x v="3"/>
    <n v="30059"/>
    <m/>
    <x v="24"/>
    <x v="1561"/>
    <m/>
    <x v="1883"/>
    <x v="1021"/>
    <x v="18"/>
    <n v="120"/>
    <n v="12"/>
    <n v="2023"/>
    <x v="0"/>
  </r>
  <r>
    <x v="998"/>
    <n v="571"/>
    <x v="0"/>
    <x v="7"/>
    <n v="30369"/>
    <m/>
    <x v="615"/>
    <x v="1562"/>
    <m/>
    <x v="1884"/>
    <x v="1007"/>
    <x v="18"/>
    <n v="180"/>
    <n v="11"/>
    <n v="2023"/>
    <x v="0"/>
  </r>
  <r>
    <x v="1012"/>
    <n v="560"/>
    <x v="0"/>
    <x v="0"/>
    <n v="30371"/>
    <m/>
    <x v="57"/>
    <x v="1563"/>
    <m/>
    <x v="1885"/>
    <x v="1022"/>
    <x v="18"/>
    <n v="210"/>
    <n v="10"/>
    <n v="2023"/>
    <x v="0"/>
  </r>
  <r>
    <x v="1013"/>
    <n v="607"/>
    <x v="0"/>
    <x v="12"/>
    <n v="30375"/>
    <m/>
    <x v="17"/>
    <x v="1564"/>
    <m/>
    <x v="1439"/>
    <x v="1023"/>
    <x v="18"/>
    <n v="60"/>
    <n v="10"/>
    <n v="2023"/>
    <x v="0"/>
  </r>
  <r>
    <x v="1012"/>
    <n v="560"/>
    <x v="0"/>
    <x v="0"/>
    <n v="30376"/>
    <m/>
    <x v="232"/>
    <x v="1565"/>
    <m/>
    <x v="1886"/>
    <x v="1022"/>
    <x v="18"/>
    <n v="120"/>
    <n v="10"/>
    <n v="2023"/>
    <x v="0"/>
  </r>
  <r>
    <x v="993"/>
    <n v="609"/>
    <x v="0"/>
    <x v="41"/>
    <n v="30377"/>
    <m/>
    <x v="17"/>
    <x v="1296"/>
    <m/>
    <x v="1887"/>
    <x v="1002"/>
    <x v="18"/>
    <n v="90"/>
    <n v="11"/>
    <n v="2023"/>
    <x v="0"/>
  </r>
  <r>
    <x v="1014"/>
    <n v="565"/>
    <x v="0"/>
    <x v="4"/>
    <n v="30382"/>
    <m/>
    <x v="57"/>
    <x v="1566"/>
    <m/>
    <x v="1888"/>
    <x v="1024"/>
    <x v="18"/>
    <n v="30"/>
    <n v="11"/>
    <n v="2023"/>
    <x v="0"/>
  </r>
  <r>
    <x v="1011"/>
    <n v="700"/>
    <x v="1"/>
    <x v="3"/>
    <n v="30063"/>
    <m/>
    <x v="49"/>
    <x v="1567"/>
    <m/>
    <x v="1610"/>
    <x v="1021"/>
    <x v="18"/>
    <n v="60"/>
    <n v="12"/>
    <n v="2023"/>
    <x v="0"/>
  </r>
  <r>
    <x v="1011"/>
    <n v="565"/>
    <x v="0"/>
    <x v="4"/>
    <n v="30101"/>
    <m/>
    <x v="282"/>
    <x v="1568"/>
    <m/>
    <x v="1889"/>
    <x v="1021"/>
    <x v="18"/>
    <n v="160"/>
    <n v="12"/>
    <n v="2023"/>
    <x v="0"/>
  </r>
  <r>
    <x v="1015"/>
    <n v="700"/>
    <x v="1"/>
    <x v="3"/>
    <n v="30064"/>
    <m/>
    <x v="184"/>
    <x v="1569"/>
    <m/>
    <x v="1890"/>
    <x v="1025"/>
    <x v="18"/>
    <n v="240"/>
    <n v="12"/>
    <n v="2023"/>
    <x v="0"/>
  </r>
  <r>
    <x v="1016"/>
    <n v="606"/>
    <x v="0"/>
    <x v="17"/>
    <n v="30106"/>
    <m/>
    <x v="198"/>
    <x v="1570"/>
    <m/>
    <x v="1254"/>
    <x v="1026"/>
    <x v="18"/>
    <n v="2880"/>
    <n v="12"/>
    <n v="2023"/>
    <x v="0"/>
  </r>
  <r>
    <x v="1017"/>
    <n v="700"/>
    <x v="1"/>
    <x v="3"/>
    <n v="30065"/>
    <m/>
    <x v="69"/>
    <x v="1571"/>
    <m/>
    <x v="1891"/>
    <x v="1027"/>
    <x v="18"/>
    <n v="270"/>
    <n v="12"/>
    <n v="2023"/>
    <x v="0"/>
  </r>
  <r>
    <x v="1017"/>
    <n v="565"/>
    <x v="0"/>
    <x v="4"/>
    <n v="30109"/>
    <m/>
    <x v="57"/>
    <x v="55"/>
    <m/>
    <x v="1649"/>
    <x v="1027"/>
    <x v="18"/>
    <n v="30"/>
    <n v="12"/>
    <n v="2023"/>
    <x v="0"/>
  </r>
  <r>
    <x v="1018"/>
    <n v="565"/>
    <x v="0"/>
    <x v="4"/>
    <n v="30111"/>
    <m/>
    <x v="616"/>
    <x v="321"/>
    <m/>
    <x v="1892"/>
    <x v="1028"/>
    <x v="18"/>
    <n v="120"/>
    <n v="12"/>
    <n v="2023"/>
    <x v="0"/>
  </r>
  <r>
    <x v="977"/>
    <n v="800"/>
    <x v="1"/>
    <x v="2"/>
    <n v="26421"/>
    <m/>
    <x v="46"/>
    <x v="1572"/>
    <m/>
    <x v="1893"/>
    <x v="985"/>
    <x v="18"/>
    <n v="50"/>
    <n v="9"/>
    <n v="2023"/>
    <x v="0"/>
  </r>
  <r>
    <x v="1019"/>
    <n v="700"/>
    <x v="1"/>
    <x v="3"/>
    <n v="26423"/>
    <m/>
    <x v="37"/>
    <x v="1573"/>
    <m/>
    <x v="1894"/>
    <x v="1029"/>
    <x v="18"/>
    <n v="960"/>
    <n v="9"/>
    <n v="2023"/>
    <x v="0"/>
  </r>
  <r>
    <x v="1020"/>
    <n v="800"/>
    <x v="1"/>
    <x v="2"/>
    <n v="26424"/>
    <m/>
    <x v="177"/>
    <x v="1574"/>
    <m/>
    <x v="1895"/>
    <x v="1030"/>
    <x v="18"/>
    <n v="240"/>
    <n v="10"/>
    <n v="2023"/>
    <x v="0"/>
  </r>
  <r>
    <x v="1021"/>
    <n v="800"/>
    <x v="1"/>
    <x v="2"/>
    <n v="26425"/>
    <m/>
    <x v="46"/>
    <x v="1575"/>
    <m/>
    <x v="1896"/>
    <x v="1031"/>
    <x v="18"/>
    <n v="1200"/>
    <n v="10"/>
    <n v="2023"/>
    <x v="0"/>
  </r>
  <r>
    <x v="1022"/>
    <n v="700"/>
    <x v="1"/>
    <x v="3"/>
    <n v="26426"/>
    <m/>
    <x v="37"/>
    <x v="1576"/>
    <m/>
    <x v="1897"/>
    <x v="1031"/>
    <x v="18"/>
    <n v="270"/>
    <n v="10"/>
    <n v="2023"/>
    <x v="0"/>
  </r>
  <r>
    <x v="1023"/>
    <n v="700"/>
    <x v="1"/>
    <x v="3"/>
    <n v="26427"/>
    <m/>
    <x v="69"/>
    <x v="1577"/>
    <m/>
    <x v="1898"/>
    <x v="1032"/>
    <x v="18"/>
    <n v="40"/>
    <n v="10"/>
    <n v="2023"/>
    <x v="0"/>
  </r>
  <r>
    <x v="1024"/>
    <n v="800"/>
    <x v="1"/>
    <x v="2"/>
    <n v="26428"/>
    <m/>
    <x v="37"/>
    <x v="1578"/>
    <m/>
    <x v="1899"/>
    <x v="1033"/>
    <x v="18"/>
    <n v="240"/>
    <n v="10"/>
    <n v="2023"/>
    <x v="0"/>
  </r>
  <r>
    <x v="1024"/>
    <n v="700"/>
    <x v="1"/>
    <x v="3"/>
    <n v="26429"/>
    <m/>
    <x v="37"/>
    <x v="1579"/>
    <m/>
    <x v="1900"/>
    <x v="1033"/>
    <x v="18"/>
    <n v="180"/>
    <n v="10"/>
    <n v="2023"/>
    <x v="0"/>
  </r>
  <r>
    <x v="990"/>
    <n v="700"/>
    <x v="1"/>
    <x v="3"/>
    <n v="26430"/>
    <m/>
    <x v="49"/>
    <x v="1580"/>
    <m/>
    <x v="1720"/>
    <x v="999"/>
    <x v="18"/>
    <n v="90"/>
    <n v="10"/>
    <n v="2023"/>
    <x v="0"/>
  </r>
  <r>
    <x v="1025"/>
    <n v="800"/>
    <x v="1"/>
    <x v="2"/>
    <n v="26431"/>
    <m/>
    <x v="24"/>
    <x v="1581"/>
    <m/>
    <x v="1901"/>
    <x v="1034"/>
    <x v="18"/>
    <n v="120"/>
    <n v="10"/>
    <n v="2023"/>
    <x v="0"/>
  </r>
  <r>
    <x v="1026"/>
    <n v="700"/>
    <x v="1"/>
    <x v="3"/>
    <n v="26432"/>
    <m/>
    <x v="24"/>
    <x v="1582"/>
    <m/>
    <x v="1239"/>
    <x v="1035"/>
    <x v="18"/>
    <n v="30"/>
    <n v="10"/>
    <n v="2023"/>
    <x v="0"/>
  </r>
  <r>
    <x v="1027"/>
    <n v="700"/>
    <x v="1"/>
    <x v="3"/>
    <n v="26433"/>
    <m/>
    <x v="114"/>
    <x v="1583"/>
    <m/>
    <x v="1902"/>
    <x v="1036"/>
    <x v="18"/>
    <n v="480"/>
    <n v="10"/>
    <n v="2023"/>
    <x v="0"/>
  </r>
  <r>
    <x v="1028"/>
    <n v="700"/>
    <x v="1"/>
    <x v="3"/>
    <n v="26434"/>
    <m/>
    <x v="37"/>
    <x v="1584"/>
    <m/>
    <x v="1903"/>
    <x v="1037"/>
    <x v="18"/>
    <n v="90"/>
    <n v="9"/>
    <n v="2023"/>
    <x v="0"/>
  </r>
  <r>
    <x v="1029"/>
    <n v="800"/>
    <x v="1"/>
    <x v="2"/>
    <n v="26435"/>
    <m/>
    <x v="46"/>
    <x v="1585"/>
    <m/>
    <x v="1808"/>
    <x v="1038"/>
    <x v="18"/>
    <n v="180"/>
    <n v="10"/>
    <n v="2023"/>
    <x v="0"/>
  </r>
  <r>
    <x v="1030"/>
    <n v="700"/>
    <x v="1"/>
    <x v="3"/>
    <n v="26438"/>
    <m/>
    <x v="27"/>
    <x v="1586"/>
    <m/>
    <x v="1904"/>
    <x v="1039"/>
    <x v="18"/>
    <n v="240"/>
    <n v="10"/>
    <n v="2023"/>
    <x v="0"/>
  </r>
  <r>
    <x v="1018"/>
    <n v="620"/>
    <x v="0"/>
    <x v="26"/>
    <s v="EVG"/>
    <m/>
    <x v="57"/>
    <x v="1587"/>
    <m/>
    <x v="1905"/>
    <x v="1040"/>
    <x v="18"/>
    <n v="1920"/>
    <n v="12"/>
    <n v="2023"/>
    <x v="0"/>
  </r>
  <r>
    <x v="1031"/>
    <n v="700"/>
    <x v="1"/>
    <x v="3"/>
    <n v="30067"/>
    <m/>
    <x v="46"/>
    <x v="1588"/>
    <m/>
    <x v="1906"/>
    <x v="1041"/>
    <x v="18"/>
    <n v="180"/>
    <n v="12"/>
    <n v="2023"/>
    <x v="0"/>
  </r>
  <r>
    <x v="1032"/>
    <n v="700"/>
    <x v="1"/>
    <x v="3"/>
    <n v="30068"/>
    <m/>
    <x v="617"/>
    <x v="969"/>
    <m/>
    <x v="1907"/>
    <x v="1042"/>
    <x v="18"/>
    <n v="30"/>
    <n v="12"/>
    <n v="2023"/>
    <x v="0"/>
  </r>
  <r>
    <x v="1033"/>
    <n v="800"/>
    <x v="1"/>
    <x v="2"/>
    <n v="30069"/>
    <m/>
    <x v="51"/>
    <x v="1589"/>
    <m/>
    <x v="1908"/>
    <x v="1040"/>
    <x v="18"/>
    <n v="180"/>
    <n v="12"/>
    <n v="2023"/>
    <x v="0"/>
  </r>
  <r>
    <x v="1034"/>
    <n v="700"/>
    <x v="1"/>
    <x v="3"/>
    <n v="30070"/>
    <m/>
    <x v="23"/>
    <x v="86"/>
    <m/>
    <x v="1909"/>
    <x v="1043"/>
    <x v="18"/>
    <n v="30"/>
    <n v="12"/>
    <n v="2023"/>
    <x v="0"/>
  </r>
  <r>
    <x v="1034"/>
    <n v="607"/>
    <x v="0"/>
    <x v="12"/>
    <n v="30114"/>
    <m/>
    <x v="97"/>
    <x v="1590"/>
    <m/>
    <x v="1910"/>
    <x v="1043"/>
    <x v="18"/>
    <n v="420"/>
    <n v="12"/>
    <n v="2023"/>
    <x v="0"/>
  </r>
  <r>
    <x v="1035"/>
    <n v="560"/>
    <x v="0"/>
    <x v="0"/>
    <n v="30116"/>
    <m/>
    <x v="232"/>
    <x v="1591"/>
    <m/>
    <x v="1911"/>
    <x v="1044"/>
    <x v="18"/>
    <n v="150"/>
    <n v="1"/>
    <n v="2024"/>
    <x v="0"/>
  </r>
  <r>
    <x v="1036"/>
    <n v="800"/>
    <x v="1"/>
    <x v="2"/>
    <n v="30072"/>
    <m/>
    <x v="24"/>
    <x v="469"/>
    <m/>
    <x v="1912"/>
    <x v="1045"/>
    <x v="18"/>
    <n v="240"/>
    <n v="12"/>
    <n v="2023"/>
    <x v="0"/>
  </r>
  <r>
    <x v="1037"/>
    <n v="607"/>
    <x v="0"/>
    <x v="12"/>
    <n v="30115"/>
    <m/>
    <x v="17"/>
    <x v="357"/>
    <m/>
    <x v="1913"/>
    <x v="1046"/>
    <x v="18"/>
    <n v="120"/>
    <n v="12"/>
    <n v="2023"/>
    <x v="0"/>
  </r>
  <r>
    <x v="993"/>
    <n v="582"/>
    <x v="0"/>
    <x v="1"/>
    <m/>
    <m/>
    <x v="576"/>
    <x v="1436"/>
    <m/>
    <x v="1914"/>
    <x v="1015"/>
    <x v="18"/>
    <n v="12480"/>
    <n v="11"/>
    <n v="2023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59">
  <r>
    <d v="2019-01-31T00:00:00"/>
    <x v="0"/>
    <x v="0"/>
    <x v="0"/>
    <m/>
    <m/>
    <s v="Cisaille"/>
    <m/>
    <s v="Réglage"/>
    <s v="Réglage de la pression de l'air pour l'ajustement des cames de la cisaille"/>
    <d v="2019-01-31T00:00:00"/>
    <s v="Came ajustée_x000a_Machine opérationelle"/>
    <m/>
    <x v="0"/>
    <x v="0"/>
    <m/>
  </r>
  <r>
    <d v="2019-01-31T00:00:00"/>
    <x v="1"/>
    <x v="0"/>
    <x v="1"/>
    <m/>
    <m/>
    <s v="Cassette PR 3,20"/>
    <m/>
    <s v="Réparation"/>
    <s v="Nettoyage, démontage de la cassette  3,20 - changement des roulement endommagés"/>
    <d v="2019-01-31T00:00:00"/>
    <s v="Cassette opérationnelle"/>
    <m/>
    <x v="0"/>
    <x v="0"/>
    <m/>
  </r>
  <r>
    <d v="2019-01-31T00:00:00"/>
    <x v="2"/>
    <x v="1"/>
    <x v="2"/>
    <m/>
    <m/>
    <s v="Groupe hydraulique"/>
    <m/>
    <s v="Contrôle"/>
    <s v="Rajout d'huile hydraulique "/>
    <d v="2019-01-31T00:00:00"/>
    <s v="Niveau d'huile corrigé"/>
    <m/>
    <x v="0"/>
    <x v="0"/>
    <m/>
  </r>
  <r>
    <d v="2019-01-31T00:00:00"/>
    <x v="3"/>
    <x v="1"/>
    <x v="3"/>
    <m/>
    <m/>
    <s v="Eclairage"/>
    <m/>
    <s v="Réparation"/>
    <s v="Détection du court circuit au niveau du circuit d'alimentation des ampoules se situant au dessus du malaxeur, changement des fils endommagé."/>
    <d v="2019-01-31T00:00:00"/>
    <s v="Eclairage en bon état"/>
    <m/>
    <x v="0"/>
    <x v="0"/>
    <m/>
  </r>
  <r>
    <d v="2019-01-31T00:00:00"/>
    <x v="4"/>
    <x v="0"/>
    <x v="4"/>
    <m/>
    <m/>
    <s v="Electrodes"/>
    <m/>
    <s v="Confection"/>
    <s v="Découpe +perçage des électrode en cuivre"/>
    <d v="2019-01-31T00:00:00"/>
    <s v="Préparation de 14 électrodes en cuivre prêtes à l'emploi"/>
    <m/>
    <x v="0"/>
    <x v="0"/>
    <m/>
  </r>
  <r>
    <d v="2019-01-31T00:00:00"/>
    <x v="5"/>
    <x v="2"/>
    <x v="5"/>
    <m/>
    <m/>
    <s v="Mélangeur"/>
    <m/>
    <s v="Vidange"/>
    <s v="Vidange du réducteur du mélangeur "/>
    <d v="2019-01-31T00:00:00"/>
    <s v="Réducteur vidangé"/>
    <m/>
    <x v="0"/>
    <x v="0"/>
    <m/>
  </r>
  <r>
    <d v="2019-01-31T00:00:00"/>
    <x v="6"/>
    <x v="3"/>
    <x v="6"/>
    <m/>
    <m/>
    <s v="Treuil principal"/>
    <m/>
    <m/>
    <s v="Diagnostic : Mesure d'isolement +mesure de continuité du motofrein montée descente"/>
    <d v="2019-01-31T00:00:00"/>
    <s v="Enroulement de la bobine du frein coupé_x000a_- Démontage prévu: 01/02/2019 + Transmission vers CEDP pour réparation"/>
    <m/>
    <x v="0"/>
    <x v="0"/>
    <m/>
  </r>
  <r>
    <d v="2019-02-01T00:00:00"/>
    <x v="7"/>
    <x v="0"/>
    <x v="7"/>
    <m/>
    <m/>
    <s v="Cisaille"/>
    <m/>
    <s v="Réparation"/>
    <s v="Elimination d'une fuite d'huile au niveau de la cisaille : changement d'un flexible hydraulique"/>
    <d v="2019-02-01T00:00:00"/>
    <s v="Fuite éliminée"/>
    <m/>
    <x v="1"/>
    <x v="0"/>
    <m/>
  </r>
  <r>
    <d v="2019-02-01T00:00:00"/>
    <x v="7"/>
    <x v="0"/>
    <x v="7"/>
    <m/>
    <m/>
    <s v="Electrodes"/>
    <m/>
    <s v="Confection"/>
    <s v="Découpe + surfaçage des électrodes en cuivre"/>
    <d v="2019-02-01T00:00:00"/>
    <s v="Préparation de 20 éléctrodes en cuivres"/>
    <m/>
    <x v="1"/>
    <x v="0"/>
    <m/>
  </r>
  <r>
    <d v="2019-02-01T00:00:00"/>
    <x v="3"/>
    <x v="1"/>
    <x v="3"/>
    <m/>
    <m/>
    <s v="Moule"/>
    <m/>
    <s v="Réparation"/>
    <s v="Changement du vérin du moule ( le premier avait une fuite au niveau du raccord)"/>
    <d v="2019-02-01T00:00:00"/>
    <s v="Fuite éliminée _x000a_Vérin monté"/>
    <m/>
    <x v="1"/>
    <x v="0"/>
    <m/>
  </r>
  <r>
    <d v="2019-02-01T00:00:00"/>
    <x v="2"/>
    <x v="1"/>
    <x v="2"/>
    <m/>
    <m/>
    <s v="Descenseur"/>
    <m/>
    <s v="Contrôle"/>
    <s v="Tension des chaines du descenseur"/>
    <d v="2019-02-01T00:00:00"/>
    <s v="Chaines tendue"/>
    <m/>
    <x v="1"/>
    <x v="0"/>
    <m/>
  </r>
  <r>
    <d v="2019-02-01T00:00:00"/>
    <x v="2"/>
    <x v="1"/>
    <x v="2"/>
    <m/>
    <m/>
    <s v="Cercleuse"/>
    <m/>
    <s v="Contrôle"/>
    <s v="Soufflage des cercleuses et nettoyage de la tete chauffante "/>
    <d v="2019-02-01T00:00:00"/>
    <s v="Cercleuse opérationnelle "/>
    <m/>
    <x v="1"/>
    <x v="0"/>
    <m/>
  </r>
  <r>
    <d v="2019-02-01T00:00:00"/>
    <x v="8"/>
    <x v="4"/>
    <x v="8"/>
    <m/>
    <m/>
    <s v="Alimentation générale"/>
    <m/>
    <s v="Réparation"/>
    <s v="Réarmement du disjoncteur général ( le disjoncteur est tombé à cause d'une collision entre deux ponts roulants)"/>
    <d v="2019-02-01T00:00:00"/>
    <s v="Disjoncteur réarmé - pont roulant opérationnel"/>
    <m/>
    <x v="1"/>
    <x v="0"/>
    <m/>
  </r>
  <r>
    <d v="2019-02-01T00:00:00"/>
    <x v="4"/>
    <x v="0"/>
    <x v="4"/>
    <m/>
    <m/>
    <s v="Circuit de refroidissement"/>
    <m/>
    <s v="Réparation"/>
    <s v="Changement d'un flexible de refroidissement"/>
    <d v="2019-02-01T00:00:00"/>
    <s v="Circuit de refroidissement en bon état"/>
    <m/>
    <x v="1"/>
    <x v="0"/>
    <m/>
  </r>
  <r>
    <d v="2019-02-01T00:00:00"/>
    <x v="9"/>
    <x v="5"/>
    <x v="9"/>
    <m/>
    <m/>
    <m/>
    <m/>
    <s v="Vidange"/>
    <s v="Vidange de la fosse séptique"/>
    <d v="2019-02-01T00:00:00"/>
    <s v="Fosse séptique vidangée_x000a_La taille de la fosse est très petite environ 10 metre cube"/>
    <m/>
    <x v="1"/>
    <x v="0"/>
    <m/>
  </r>
  <r>
    <d v="2019-02-04T00:00:00"/>
    <x v="2"/>
    <x v="1"/>
    <x v="2"/>
    <m/>
    <m/>
    <s v="Silo à ciment"/>
    <m/>
    <s v="Réparation"/>
    <s v="Montage des pièces du réducteur des vis à ciment"/>
    <d v="2019-02-04T00:00:00"/>
    <s v="Réducteur opérationel prêt à l'emploie"/>
    <m/>
    <x v="1"/>
    <x v="0"/>
    <m/>
  </r>
  <r>
    <d v="2019-02-04T00:00:00"/>
    <x v="6"/>
    <x v="3"/>
    <x v="6"/>
    <m/>
    <m/>
    <s v="Treuil principal"/>
    <m/>
    <s v="Démontage"/>
    <s v="Démontage du frein endommagé de la grue à tour"/>
    <d v="2019-02-04T00:00:00"/>
    <s v="Attente CEDP pour réparation"/>
    <m/>
    <x v="1"/>
    <x v="0"/>
    <m/>
  </r>
  <r>
    <d v="2019-02-04T00:00:00"/>
    <x v="10"/>
    <x v="0"/>
    <x v="10"/>
    <m/>
    <m/>
    <s v="Cassette PR 8"/>
    <m/>
    <s v="Réparation"/>
    <s v="Changement de 6 roulement 32008 partie crantée + Zoomage"/>
    <d v="2019-02-04T00:00:00"/>
    <s v="Cassette opérationelle"/>
    <m/>
    <x v="1"/>
    <x v="0"/>
    <m/>
  </r>
  <r>
    <d v="2019-02-04T00:00:00"/>
    <x v="11"/>
    <x v="0"/>
    <x v="11"/>
    <m/>
    <m/>
    <s v="Bobinoir"/>
    <m/>
    <s v="Réparation"/>
    <s v="Changement des boulons de fixation du bobinoir ( boulons endomagés)"/>
    <d v="2019-02-04T00:00:00"/>
    <m/>
    <m/>
    <x v="1"/>
    <x v="0"/>
    <m/>
  </r>
  <r>
    <d v="2019-02-04T00:00:00"/>
    <x v="5"/>
    <x v="2"/>
    <x v="5"/>
    <m/>
    <m/>
    <s v="Mélangeur"/>
    <m/>
    <s v="Contrôle"/>
    <s v="Elimination d'une fuite au niveau du réducteur  du mélangeur"/>
    <d v="2019-02-04T00:00:00"/>
    <s v="Fuite éliminée _x000a_-Bruit anormal au niveau du réducteur_x000a_Prévoir un arrêt pour vérification du réducteur"/>
    <m/>
    <x v="1"/>
    <x v="0"/>
    <m/>
  </r>
  <r>
    <d v="2019-02-04T00:00:00"/>
    <x v="12"/>
    <x v="0"/>
    <x v="12"/>
    <m/>
    <m/>
    <s v="Devidoir"/>
    <m/>
    <s v="Réglage"/>
    <s v="Réglage du potentiométre du devidoir + changement des silents blocs du danseur"/>
    <d v="2019-02-04T00:00:00"/>
    <s v="Machine opérationelle"/>
    <m/>
    <x v="1"/>
    <x v="0"/>
    <m/>
  </r>
  <r>
    <d v="2019-02-04T00:00:00"/>
    <x v="13"/>
    <x v="0"/>
    <x v="13"/>
    <m/>
    <m/>
    <s v="Guide fil"/>
    <m/>
    <s v="Réglage"/>
    <s v="Dressage des barres du guides fils"/>
    <d v="2019-02-04T00:00:00"/>
    <s v="Machine opérationelle"/>
    <m/>
    <x v="1"/>
    <x v="0"/>
    <m/>
  </r>
  <r>
    <d v="2019-02-04T00:00:00"/>
    <x v="14"/>
    <x v="4"/>
    <x v="14"/>
    <m/>
    <m/>
    <s v="Moteur de levage"/>
    <m/>
    <s v="Réparation"/>
    <s v="Montage du frein (Monté-Descente)"/>
    <d v="2019-02-04T00:00:00"/>
    <s v="Pont roulant opérationel"/>
    <m/>
    <x v="1"/>
    <x v="0"/>
    <m/>
  </r>
  <r>
    <d v="2019-02-05T00:00:00"/>
    <x v="7"/>
    <x v="0"/>
    <x v="7"/>
    <m/>
    <m/>
    <s v="Electrodes"/>
    <m/>
    <s v="Confection"/>
    <s v="Découpe électrodes en cuivre"/>
    <d v="2019-02-05T00:00:00"/>
    <s v="10 électrodes prêtes pour le surfaçage"/>
    <m/>
    <x v="1"/>
    <x v="0"/>
    <m/>
  </r>
  <r>
    <d v="2019-02-05T00:00:00"/>
    <x v="0"/>
    <x v="0"/>
    <x v="0"/>
    <m/>
    <m/>
    <s v="Circuit de refroidissement"/>
    <m/>
    <s v="Réparation"/>
    <s v="Changement d'un flexible de refroidissement"/>
    <d v="2019-02-05T00:00:00"/>
    <s v="RAS"/>
    <m/>
    <x v="1"/>
    <x v="0"/>
    <m/>
  </r>
  <r>
    <d v="2019-02-05T00:00:00"/>
    <x v="3"/>
    <x v="1"/>
    <x v="3"/>
    <m/>
    <m/>
    <s v="Moule"/>
    <m/>
    <s v="Réparation"/>
    <s v="Changement des nécessaires du vérin du moule"/>
    <d v="2019-02-05T00:00:00"/>
    <s v="Vérin prêt à l'emploi"/>
    <m/>
    <x v="1"/>
    <x v="0"/>
    <m/>
  </r>
  <r>
    <d v="2019-02-05T00:00:00"/>
    <x v="8"/>
    <x v="4"/>
    <x v="8"/>
    <m/>
    <m/>
    <s v="Alimentation générale"/>
    <m/>
    <s v="Réparation"/>
    <s v="Réparation du circuit électrique de commande"/>
    <d v="2019-02-05T00:00:00"/>
    <s v="Pont roulant opérationel"/>
    <m/>
    <x v="1"/>
    <x v="0"/>
    <m/>
  </r>
  <r>
    <d v="2019-02-05T00:00:00"/>
    <x v="11"/>
    <x v="0"/>
    <x v="11"/>
    <m/>
    <m/>
    <s v="Circuit de refroidissement"/>
    <m/>
    <s v="Réparation"/>
    <s v="Débouchage du circuit de refroidissement du cabestan"/>
    <d v="2019-02-05T00:00:00"/>
    <s v="Intervention d'un plombier nécessaire (prévu le 07/02/2019)"/>
    <m/>
    <x v="1"/>
    <x v="0"/>
    <m/>
  </r>
  <r>
    <d v="2019-02-05T00:00:00"/>
    <x v="10"/>
    <x v="0"/>
    <x v="10"/>
    <m/>
    <m/>
    <s v="Cassette PR 8"/>
    <m/>
    <s v="Réparation"/>
    <s v="Débouchage du circtuit de refroidissement de la cassette PR8"/>
    <d v="2019-02-05T00:00:00"/>
    <s v="Cassette opérationnelle"/>
    <m/>
    <x v="1"/>
    <x v="0"/>
    <m/>
  </r>
  <r>
    <d v="2019-02-05T00:00:00"/>
    <x v="15"/>
    <x v="5"/>
    <x v="15"/>
    <m/>
    <m/>
    <m/>
    <m/>
    <s v="Rénovation"/>
    <s v="Début des travaux de changement des plaques translucides "/>
    <d v="2019-02-05T00:00:00"/>
    <s v="Travaux en cours"/>
    <m/>
    <x v="1"/>
    <x v="0"/>
    <m/>
  </r>
  <r>
    <d v="2019-02-06T00:00:00"/>
    <x v="13"/>
    <x v="0"/>
    <x v="13"/>
    <m/>
    <m/>
    <s v="Vibreur"/>
    <m/>
    <s v="Réparation"/>
    <s v="Extraction d'une vis + taraudage du support du vibreur"/>
    <d v="2019-02-06T00:00:00"/>
    <s v="Machine opérationelle"/>
    <m/>
    <x v="1"/>
    <x v="0"/>
    <m/>
  </r>
  <r>
    <d v="2019-02-06T00:00:00"/>
    <x v="4"/>
    <x v="0"/>
    <x v="4"/>
    <m/>
    <m/>
    <s v="Table élévatrice"/>
    <m/>
    <s v="Réparation"/>
    <s v="Changement d'un pignon tendeur de la chaine de la table élévatrice"/>
    <d v="2019-02-06T00:00:00"/>
    <s v="Machine opérationelle"/>
    <m/>
    <x v="1"/>
    <x v="0"/>
    <m/>
  </r>
  <r>
    <d v="2019-02-06T00:00:00"/>
    <x v="10"/>
    <x v="0"/>
    <x v="10"/>
    <m/>
    <m/>
    <s v="Cassette PR 10"/>
    <m/>
    <s v="Réparation"/>
    <s v="Changement de 6 roulement  partie crantée de la cassette PR10"/>
    <d v="2019-02-06T00:00:00"/>
    <s v="Cassette opérationnelle"/>
    <m/>
    <x v="1"/>
    <x v="0"/>
    <m/>
  </r>
  <r>
    <d v="2019-02-06T00:00:00"/>
    <x v="5"/>
    <x v="2"/>
    <x v="5"/>
    <m/>
    <m/>
    <s v="Mélangeur"/>
    <m/>
    <s v="Réparation"/>
    <s v="Changement des roulements du réducteur du mélangeur + Changement des roulement du support de pales + Vidange du réducteur"/>
    <d v="2019-02-06T00:00:00"/>
    <s v="Travaux en cours - Disponibilité de la machine prévu le 07/02/2019 à 10H"/>
    <m/>
    <x v="1"/>
    <x v="0"/>
    <m/>
  </r>
  <r>
    <d v="2019-02-06T00:00:00"/>
    <x v="0"/>
    <x v="0"/>
    <x v="0"/>
    <m/>
    <m/>
    <s v="Bloc de soudure"/>
    <m/>
    <s v="Réparation"/>
    <s v="Perçage + taraudage du support de fixation des électrodes du sabot de soudage"/>
    <d v="2019-02-06T00:00:00"/>
    <s v="Sabot opérationnel"/>
    <m/>
    <x v="1"/>
    <x v="0"/>
    <m/>
  </r>
  <r>
    <d v="2019-02-06T00:00:00"/>
    <x v="0"/>
    <x v="0"/>
    <x v="0"/>
    <m/>
    <m/>
    <s v="Circuit de refroidissement"/>
    <m/>
    <s v="Changement"/>
    <s v="Changement d'un flexible de refroidissement endommagé"/>
    <d v="2019-02-06T00:00:00"/>
    <s v="Circuit RAS"/>
    <m/>
    <x v="1"/>
    <x v="0"/>
    <m/>
  </r>
  <r>
    <d v="2019-02-06T00:00:00"/>
    <x v="2"/>
    <x v="1"/>
    <x v="2"/>
    <m/>
    <m/>
    <s v="Pilon"/>
    <m/>
    <s v="Réparation"/>
    <s v="Changement de l'axe de fixation du vérin du pilon"/>
    <d v="2019-02-06T00:00:00"/>
    <s v="Machine opérationnelle"/>
    <m/>
    <x v="1"/>
    <x v="0"/>
    <m/>
  </r>
  <r>
    <d v="2019-02-07T00:00:00"/>
    <x v="4"/>
    <x v="0"/>
    <x v="4"/>
    <m/>
    <m/>
    <s v="Table élévatrice"/>
    <m/>
    <s v="Réparation"/>
    <s v="Montage de la vis sans fin + l'écrou en bronze de la table élévatrice "/>
    <d v="2019-02-07T00:00:00"/>
    <s v="Machine opérationnelle"/>
    <m/>
    <x v="1"/>
    <x v="0"/>
    <m/>
  </r>
  <r>
    <d v="2019-02-07T00:00:00"/>
    <x v="7"/>
    <x v="0"/>
    <x v="7"/>
    <m/>
    <m/>
    <s v="Cisaille"/>
    <m/>
    <s v="Réparation"/>
    <s v="Perçage + taraudage du support de fixation des distributeurs pneumatiques de la cisaille"/>
    <d v="2019-02-07T00:00:00"/>
    <s v="Machine OP"/>
    <m/>
    <x v="1"/>
    <x v="0"/>
    <m/>
  </r>
  <r>
    <d v="2019-02-07T00:00:00"/>
    <x v="5"/>
    <x v="2"/>
    <x v="5"/>
    <m/>
    <m/>
    <s v="Mélangeur"/>
    <m/>
    <s v="Réparation"/>
    <s v="Fin des travaux au niveau du mélangeur"/>
    <d v="2019-02-07T00:00:00"/>
    <s v="Machine OP"/>
    <m/>
    <x v="1"/>
    <x v="0"/>
    <m/>
  </r>
  <r>
    <d v="2019-02-07T00:00:00"/>
    <x v="3"/>
    <x v="1"/>
    <x v="3"/>
    <m/>
    <m/>
    <s v="Malaxeur"/>
    <m/>
    <s v="Changement"/>
    <s v="Changement des pales de pates du malaxeur"/>
    <d v="2019-02-07T00:00:00"/>
    <s v="Machine OP"/>
    <m/>
    <x v="1"/>
    <x v="0"/>
    <m/>
  </r>
  <r>
    <d v="2019-02-07T00:00:00"/>
    <x v="3"/>
    <x v="1"/>
    <x v="3"/>
    <m/>
    <m/>
    <s v="Sortie presse"/>
    <m/>
    <s v="Réparation"/>
    <s v="Soudage des courroies thermosoudables sortie presse +  Montage"/>
    <d v="2019-02-07T00:00:00"/>
    <s v="Machine OP"/>
    <m/>
    <x v="1"/>
    <x v="0"/>
    <m/>
  </r>
  <r>
    <d v="2019-02-07T00:00:00"/>
    <x v="1"/>
    <x v="0"/>
    <x v="1"/>
    <m/>
    <m/>
    <s v="Cabestan n°4"/>
    <m/>
    <s v="Réparation"/>
    <s v="Début des travaux sur le moteur du cabestan n°4"/>
    <d v="2019-02-07T00:00:00"/>
    <s v="Jeu au niveau de la poulie du moteur - usure de l'arbre moteur probable - Démontage en cours"/>
    <m/>
    <x v="1"/>
    <x v="0"/>
    <m/>
  </r>
  <r>
    <d v="2019-02-07T00:00:00"/>
    <x v="11"/>
    <x v="0"/>
    <x v="11"/>
    <m/>
    <m/>
    <s v="Circuit de refroidissement"/>
    <m/>
    <s v="Dépannage"/>
    <s v="intervention du plombier pour le débouchage du circuit de refroidissement du cabestan"/>
    <d v="2019-02-07T00:00:00"/>
    <s v="circuit provisoirement débouché - Changement de la canalisation prévu ( selon la disponibilité du plombier) "/>
    <m/>
    <x v="1"/>
    <x v="0"/>
    <m/>
  </r>
  <r>
    <d v="2019-02-08T00:00:00"/>
    <x v="2"/>
    <x v="1"/>
    <x v="2"/>
    <m/>
    <m/>
    <s v="Pince"/>
    <m/>
    <s v="Réparation"/>
    <s v="Changement du moteur monté descente de la pince"/>
    <d v="2019-02-08T00:00:00"/>
    <s v="Moteur monté provisoirement en attendant l'achat d'un moteur plus compatible (achat prévu le 09/02/2019)"/>
    <m/>
    <x v="1"/>
    <x v="0"/>
    <m/>
  </r>
  <r>
    <d v="2019-02-08T00:00:00"/>
    <x v="3"/>
    <x v="1"/>
    <x v="3"/>
    <m/>
    <m/>
    <s v="Adjuvant"/>
    <m/>
    <s v="Purge"/>
    <s v="Purge du circuit d'alimentation de l'adjuvant"/>
    <d v="2019-02-08T00:00:00"/>
    <s v="Circuit purgé machine opérationnelle"/>
    <m/>
    <x v="1"/>
    <x v="0"/>
    <m/>
  </r>
  <r>
    <d v="2019-02-08T00:00:00"/>
    <x v="16"/>
    <x v="0"/>
    <x v="16"/>
    <m/>
    <m/>
    <s v="Circuit d'air comprimé"/>
    <m/>
    <s v="Réparation"/>
    <s v="Réparation de l'electrovanne de distibution de l'air comprimé"/>
    <d v="2019-02-08T00:00:00"/>
    <s v="Circuit RAS"/>
    <m/>
    <x v="1"/>
    <x v="0"/>
    <m/>
  </r>
  <r>
    <d v="2019-02-08T00:00:00"/>
    <x v="16"/>
    <x v="0"/>
    <x v="16"/>
    <m/>
    <m/>
    <s v="Cisaille"/>
    <m/>
    <s v="Réparation"/>
    <s v="Changement des joints interne du vérin pneumatique de mouvement de la cisaille"/>
    <d v="2019-02-08T00:00:00"/>
    <s v="RAS"/>
    <m/>
    <x v="1"/>
    <x v="0"/>
    <m/>
  </r>
  <r>
    <d v="2019-02-08T00:00:00"/>
    <x v="17"/>
    <x v="0"/>
    <x v="17"/>
    <m/>
    <m/>
    <s v="Devidoir"/>
    <m/>
    <s v="Réparation"/>
    <s v="Changement D'une prise rapide pneumatique du dévidoir"/>
    <d v="2019-02-08T00:00:00"/>
    <s v="RAS"/>
    <m/>
    <x v="1"/>
    <x v="0"/>
    <m/>
  </r>
  <r>
    <d v="2019-02-09T00:00:00"/>
    <x v="2"/>
    <x v="1"/>
    <x v="2"/>
    <m/>
    <m/>
    <s v="Sortie presse"/>
    <m/>
    <s v="Réparation"/>
    <s v="Soudage des courroies thermosoudables sortie presse +  Montage"/>
    <d v="2019-02-09T00:00:00"/>
    <s v="RAS"/>
    <m/>
    <x v="1"/>
    <x v="0"/>
    <m/>
  </r>
  <r>
    <d v="2019-02-09T00:00:00"/>
    <x v="2"/>
    <x v="1"/>
    <x v="2"/>
    <m/>
    <m/>
    <s v="Pince"/>
    <m/>
    <s v="Réparation"/>
    <s v="Montage du moteur monté descente de la pince marque neri motori "/>
    <d v="2019-02-09T00:00:00"/>
    <s v="Machine opérationnelle nécessité de commander un moteur de marque ABB conformément à la conception initiale du constructeur"/>
    <m/>
    <x v="1"/>
    <x v="0"/>
    <m/>
  </r>
  <r>
    <d v="2019-02-09T00:00:00"/>
    <x v="3"/>
    <x v="1"/>
    <x v="3"/>
    <m/>
    <m/>
    <s v="Pilon"/>
    <m/>
    <s v="Contrôle"/>
    <s v="Changement du flexible hydraulique du pilon suite à une fuite au niveau du sertissage de celui-ci"/>
    <d v="2019-02-09T00:00:00"/>
    <s v="Fuite éliminée "/>
    <m/>
    <x v="1"/>
    <x v="0"/>
    <m/>
  </r>
  <r>
    <d v="2019-02-09T00:00:00"/>
    <x v="4"/>
    <x v="0"/>
    <x v="4"/>
    <m/>
    <m/>
    <s v="Lance trame"/>
    <m/>
    <s v="Diagnostic"/>
    <s v="Recherche de  l'anomalie qui cause la décéleration du moteur d'amenée des fils de trame"/>
    <d v="2019-02-09T00:00:00"/>
    <s v="Fils d'alimentation comprimés par le chassis de la machine, attente de résultat après liberation de ceux-ci"/>
    <m/>
    <x v="1"/>
    <x v="0"/>
    <m/>
  </r>
  <r>
    <d v="2019-02-09T00:00:00"/>
    <x v="14"/>
    <x v="4"/>
    <x v="14"/>
    <m/>
    <m/>
    <s v="Moteur de levage"/>
    <m/>
    <s v="Démontage"/>
    <s v="Démontage du frein monté descente cramé"/>
    <d v="2019-02-09T00:00:00"/>
    <s v="Réclamation prévu le lundi 11/02/2019 au près de CEDP pour explication le frein en question a été monté le 04/02/2019"/>
    <m/>
    <x v="1"/>
    <x v="0"/>
    <m/>
  </r>
  <r>
    <d v="2019-02-09T00:00:00"/>
    <x v="1"/>
    <x v="0"/>
    <x v="1"/>
    <m/>
    <m/>
    <s v="Cabestan n°4"/>
    <m/>
    <s v="Réparation"/>
    <s v="Poulie et disque d'embrayage mis à dispostion du tourneur pour réparation"/>
    <d v="2019-02-09T00:00:00"/>
    <s v="En attente de livraison relance 11/02/2019"/>
    <m/>
    <x v="1"/>
    <x v="0"/>
    <m/>
  </r>
  <r>
    <d v="2019-02-11T00:00:00"/>
    <x v="3"/>
    <x v="1"/>
    <x v="3"/>
    <m/>
    <m/>
    <s v="Sortie presse"/>
    <m/>
    <s v="Préparation"/>
    <s v="Soudage des courroies thermosoudables sortie presse "/>
    <d v="2019-02-11T00:00:00"/>
    <s v="2 Courroies disponibles en stock"/>
    <m/>
    <x v="1"/>
    <x v="0"/>
    <m/>
  </r>
  <r>
    <d v="2019-02-11T00:00:00"/>
    <x v="3"/>
    <x v="1"/>
    <x v="3"/>
    <m/>
    <m/>
    <s v="Moule"/>
    <m/>
    <s v="Réparation"/>
    <s v="Extraction des vis des cales de guidage du moule + montage de vis neuves"/>
    <d v="2019-02-11T00:00:00"/>
    <s v="RAS"/>
    <m/>
    <x v="1"/>
    <x v="0"/>
    <m/>
  </r>
  <r>
    <d v="2019-02-11T00:00:00"/>
    <x v="18"/>
    <x v="4"/>
    <x v="18"/>
    <m/>
    <m/>
    <s v="Alimentation générale"/>
    <m/>
    <s v="Réparation"/>
    <s v="Réarmement du disjoncteur général"/>
    <d v="2019-02-11T00:00:00"/>
    <s v="RAS"/>
    <m/>
    <x v="1"/>
    <x v="0"/>
    <m/>
  </r>
  <r>
    <d v="2019-02-11T00:00:00"/>
    <x v="19"/>
    <x v="0"/>
    <x v="19"/>
    <m/>
    <m/>
    <s v="Moteur tir fil"/>
    <m/>
    <s v="Réparation"/>
    <s v="Isolation de fils électriques"/>
    <d v="2019-02-11T00:00:00"/>
    <s v="RAS"/>
    <m/>
    <x v="1"/>
    <x v="0"/>
    <m/>
  </r>
  <r>
    <d v="2019-02-11T00:00:00"/>
    <x v="20"/>
    <x v="0"/>
    <x v="20"/>
    <m/>
    <m/>
    <s v="Poste de soudage"/>
    <m/>
    <s v="Réparation"/>
    <s v="Changement d'un commutateur"/>
    <d v="2019-02-11T00:00:00"/>
    <s v="Poste de soudage opérationnel"/>
    <m/>
    <x v="1"/>
    <x v="0"/>
    <m/>
  </r>
  <r>
    <d v="2019-02-11T00:00:00"/>
    <x v="21"/>
    <x v="4"/>
    <x v="21"/>
    <m/>
    <m/>
    <s v="Moteur de levage"/>
    <m/>
    <s v="Réparation"/>
    <s v="Elimination d'un manque de phase"/>
    <d v="2019-02-11T00:00:00"/>
    <s v="Pont roulant opérationel"/>
    <m/>
    <x v="1"/>
    <x v="0"/>
    <m/>
  </r>
  <r>
    <d v="2019-02-11T00:00:00"/>
    <x v="4"/>
    <x v="0"/>
    <x v="4"/>
    <m/>
    <m/>
    <s v="Transformateur n°6"/>
    <m/>
    <s v="Réparation"/>
    <s v="Changement du transformateur de soudage n°6"/>
    <d v="2019-02-11T00:00:00"/>
    <s v="Machine opérationnelle"/>
    <m/>
    <x v="1"/>
    <x v="0"/>
    <m/>
  </r>
  <r>
    <d v="2019-02-11T00:00:00"/>
    <x v="7"/>
    <x v="0"/>
    <x v="7"/>
    <m/>
    <m/>
    <s v="Electrodes"/>
    <m/>
    <s v="Confection"/>
    <s v="Confection de 4 electrodes PN1"/>
    <d v="2019-02-11T00:00:00"/>
    <s v="4 électrodes disponibles en stock"/>
    <m/>
    <x v="1"/>
    <x v="0"/>
    <m/>
  </r>
  <r>
    <d v="2019-02-11T00:00:00"/>
    <x v="0"/>
    <x v="0"/>
    <x v="0"/>
    <m/>
    <m/>
    <s v="Bloc de soudure"/>
    <m/>
    <s v="Réparation"/>
    <s v="Changement d'un cable de soudage du porte électrode"/>
    <d v="2019-02-11T00:00:00"/>
    <s v="RAS"/>
    <m/>
    <x v="1"/>
    <x v="0"/>
    <m/>
  </r>
  <r>
    <d v="2019-02-11T00:00:00"/>
    <x v="4"/>
    <x v="0"/>
    <x v="4"/>
    <m/>
    <m/>
    <s v="Bloc de soudure"/>
    <m/>
    <s v="Réparation"/>
    <s v="Perçage taraudage porte électrode"/>
    <d v="2019-02-11T00:00:00"/>
    <s v="RAS"/>
    <m/>
    <x v="1"/>
    <x v="0"/>
    <m/>
  </r>
  <r>
    <d v="2019-02-11T00:00:00"/>
    <x v="1"/>
    <x v="0"/>
    <x v="1"/>
    <m/>
    <m/>
    <s v="Pompe à graisse"/>
    <m/>
    <s v="Contrôle"/>
    <s v="Entretien de la pompe à graisse"/>
    <d v="2019-02-11T00:00:00"/>
    <s v="RAS"/>
    <m/>
    <x v="1"/>
    <x v="0"/>
    <m/>
  </r>
  <r>
    <d v="2019-02-11T00:00:00"/>
    <x v="1"/>
    <x v="0"/>
    <x v="1"/>
    <m/>
    <m/>
    <s v="Cassete PR3,40"/>
    <m/>
    <s v="Diagnostic"/>
    <s v="Démontage de la cassette 3,40 "/>
    <d v="2019-02-11T00:00:00"/>
    <s v="Réparation prévu le 12/02/2019"/>
    <m/>
    <x v="1"/>
    <x v="0"/>
    <m/>
  </r>
  <r>
    <d v="2019-02-11T00:00:00"/>
    <x v="1"/>
    <x v="0"/>
    <x v="1"/>
    <m/>
    <m/>
    <s v="Cabestan n°4"/>
    <m/>
    <s v="Réparation"/>
    <s v="Montage de la poulie + disque de frein + courroie + tension des courroie du moteur du cabestan n°4"/>
    <d v="2019-02-11T00:00:00"/>
    <s v="Machine opérationnelle"/>
    <m/>
    <x v="1"/>
    <x v="0"/>
    <m/>
  </r>
  <r>
    <d v="2019-02-12T00:00:00"/>
    <x v="22"/>
    <x v="0"/>
    <x v="22"/>
    <m/>
    <m/>
    <s v="Table guide fil"/>
    <m/>
    <s v="Réparation"/>
    <s v="Remise à niveau de la table"/>
    <d v="2019-02-12T00:00:00"/>
    <s v="Machine opérationnelle"/>
    <m/>
    <x v="1"/>
    <x v="0"/>
    <m/>
  </r>
  <r>
    <d v="2019-02-12T00:00:00"/>
    <x v="4"/>
    <x v="0"/>
    <x v="4"/>
    <m/>
    <m/>
    <s v="Bloc de soudure"/>
    <m/>
    <s v="Réparation"/>
    <s v="Extraction d'une vis + taraudage M12 au niveau du bloc"/>
    <d v="2019-02-12T00:00:00"/>
    <s v="Machine opérationnelle"/>
    <m/>
    <x v="1"/>
    <x v="0"/>
    <m/>
  </r>
  <r>
    <d v="2019-02-12T00:00:00"/>
    <x v="4"/>
    <x v="0"/>
    <x v="4"/>
    <m/>
    <m/>
    <s v="Electrodes"/>
    <m/>
    <s v="Confection"/>
    <s v="Confection de 22 électrode en cuivre "/>
    <d v="2019-02-12T00:00:00"/>
    <s v="22 électrodes disponibles"/>
    <m/>
    <x v="1"/>
    <x v="0"/>
    <m/>
  </r>
  <r>
    <d v="2019-02-12T00:00:00"/>
    <x v="0"/>
    <x v="0"/>
    <x v="0"/>
    <m/>
    <m/>
    <s v="Bloc de soudure"/>
    <m/>
    <s v="Rectification"/>
    <s v="Réctification de 4 sabot porte électrode"/>
    <d v="2019-02-12T00:00:00"/>
    <s v="Sabots réctifiés"/>
    <m/>
    <x v="1"/>
    <x v="0"/>
    <m/>
  </r>
  <r>
    <d v="2019-02-12T00:00:00"/>
    <x v="3"/>
    <x v="1"/>
    <x v="3"/>
    <m/>
    <m/>
    <s v="Table vibrante"/>
    <m/>
    <s v="Réparation"/>
    <s v="Isolation du cable d'alimentation du moteur de la table vibrante ( élimination d'un court circuit)"/>
    <d v="2019-02-12T00:00:00"/>
    <s v="Machine opérationnelle"/>
    <m/>
    <x v="1"/>
    <x v="0"/>
    <m/>
  </r>
  <r>
    <d v="2019-02-12T00:00:00"/>
    <x v="2"/>
    <x v="1"/>
    <x v="2"/>
    <m/>
    <m/>
    <s v="Table vibrante"/>
    <m/>
    <s v="Changement"/>
    <s v="Changement de la tôle de la table vibrante"/>
    <d v="2019-02-12T00:00:00"/>
    <s v="Machine OP"/>
    <m/>
    <x v="1"/>
    <x v="0"/>
    <m/>
  </r>
  <r>
    <d v="2019-02-12T00:00:00"/>
    <x v="2"/>
    <x v="1"/>
    <x v="2"/>
    <m/>
    <m/>
    <s v="Enrouleur"/>
    <m/>
    <s v="Changement"/>
    <s v="Changement de la porte de l'enrouleur"/>
    <d v="2019-02-12T00:00:00"/>
    <s v="Machine OP"/>
    <m/>
    <x v="1"/>
    <x v="0"/>
    <m/>
  </r>
  <r>
    <d v="2019-02-12T00:00:00"/>
    <x v="10"/>
    <x v="0"/>
    <x v="10"/>
    <m/>
    <m/>
    <s v="Armoire électrique"/>
    <m/>
    <s v="Réparation"/>
    <s v="Changement d'un relais à broche de mise en marche des variateurs"/>
    <d v="2019-02-12T00:00:00"/>
    <s v="Machine opérationnelle"/>
    <m/>
    <x v="1"/>
    <x v="0"/>
    <m/>
  </r>
  <r>
    <d v="2019-02-12T00:00:00"/>
    <x v="1"/>
    <x v="0"/>
    <x v="1"/>
    <m/>
    <m/>
    <s v="Cassette PR3,40"/>
    <m/>
    <m/>
    <s v="Changement de 4 roulement 32008 "/>
    <d v="2019-02-12T00:00:00"/>
    <s v="Cassette opérationnelle"/>
    <m/>
    <x v="1"/>
    <x v="0"/>
    <m/>
  </r>
  <r>
    <d v="2019-02-13T00:00:00"/>
    <x v="4"/>
    <x v="0"/>
    <x v="4"/>
    <m/>
    <m/>
    <s v="Bloc de soudure"/>
    <m/>
    <s v="Réparation"/>
    <s v="Extraction d'une vis + taraudage M12 au niveau du bloc"/>
    <d v="2019-02-13T00:00:00"/>
    <s v="Machine opérationnelle"/>
    <m/>
    <x v="1"/>
    <x v="0"/>
    <m/>
  </r>
  <r>
    <d v="2019-02-13T00:00:00"/>
    <x v="13"/>
    <x v="0"/>
    <x v="13"/>
    <m/>
    <m/>
    <s v="Guide fil"/>
    <m/>
    <s v="Réparation"/>
    <s v="Changement des silents blocs de la barre"/>
    <d v="2019-02-13T00:00:00"/>
    <s v="Machine opérationnelle"/>
    <m/>
    <x v="1"/>
    <x v="0"/>
    <m/>
  </r>
  <r>
    <d v="2019-02-13T00:00:00"/>
    <x v="0"/>
    <x v="0"/>
    <x v="0"/>
    <m/>
    <m/>
    <s v="Bloc de soudure"/>
    <m/>
    <s v="Réparation"/>
    <s v="Réctification de 2 sabots porte électrode"/>
    <d v="2019-02-13T00:00:00"/>
    <s v="Machine opérationnelle"/>
    <m/>
    <x v="1"/>
    <x v="0"/>
    <m/>
  </r>
  <r>
    <d v="2019-02-13T00:00:00"/>
    <x v="14"/>
    <x v="4"/>
    <x v="14"/>
    <m/>
    <m/>
    <s v="Moteur de levage"/>
    <m/>
    <s v="Montage"/>
    <s v="Montage du frein (Monté-Descente)"/>
    <d v="2019-02-13T00:00:00"/>
    <s v="RAS"/>
    <m/>
    <x v="1"/>
    <x v="0"/>
    <m/>
  </r>
  <r>
    <d v="2019-02-13T00:00:00"/>
    <x v="1"/>
    <x v="0"/>
    <x v="1"/>
    <m/>
    <m/>
    <s v="Cassette PR3,20"/>
    <m/>
    <s v="Contrôle"/>
    <s v="Changement d'un flexible de graissage"/>
    <d v="2019-02-13T00:00:00"/>
    <s v="RAS"/>
    <m/>
    <x v="1"/>
    <x v="0"/>
    <m/>
  </r>
  <r>
    <d v="2019-02-13T00:00:00"/>
    <x v="0"/>
    <x v="0"/>
    <x v="0"/>
    <m/>
    <m/>
    <s v="Bloc de soudure"/>
    <m/>
    <s v="Réparation"/>
    <s v="Dégrippage de la fixation du porte électrode"/>
    <d v="2019-02-13T00:00:00"/>
    <s v="RAS"/>
    <m/>
    <x v="1"/>
    <x v="0"/>
    <m/>
  </r>
  <r>
    <d v="2019-02-14T00:00:00"/>
    <x v="20"/>
    <x v="0"/>
    <x v="20"/>
    <m/>
    <m/>
    <s v="Cassette PR5"/>
    <m/>
    <s v="Réparation"/>
    <s v="Changement de 4 roulements 32008"/>
    <d v="2019-02-14T00:00:00"/>
    <m/>
    <m/>
    <x v="1"/>
    <x v="0"/>
    <m/>
  </r>
  <r>
    <d v="2019-02-20T00:00:00"/>
    <x v="14"/>
    <x v="4"/>
    <x v="14"/>
    <m/>
    <m/>
    <s v="Moteur de levage"/>
    <m/>
    <s v="Réparation"/>
    <s v="Démontage du frein monté descente cramé"/>
    <d v="2019-02-20T00:00:00"/>
    <s v="Réclamation au près de CEDP pour explication. le frein en question a été monté et remonté plusieurs fois"/>
    <m/>
    <x v="1"/>
    <x v="0"/>
    <m/>
  </r>
  <r>
    <d v="2019-02-23T00:00:00"/>
    <x v="0"/>
    <x v="0"/>
    <x v="0"/>
    <m/>
    <m/>
    <s v="Bloc de soudure"/>
    <m/>
    <s v="Réparation"/>
    <s v="Extraction d'une vis + taraudage"/>
    <d v="2019-02-23T00:00:00"/>
    <s v="RAS"/>
    <m/>
    <x v="1"/>
    <x v="0"/>
    <m/>
  </r>
  <r>
    <d v="2019-02-23T00:00:00"/>
    <x v="23"/>
    <x v="4"/>
    <x v="23"/>
    <m/>
    <m/>
    <s v="Système de guidage"/>
    <m/>
    <s v="Réparation"/>
    <s v="Démontage d'un pignon et d'un galet de guidage"/>
    <d v="2019-02-23T00:00:00"/>
    <s v="En attente de confection chez tourneur"/>
    <m/>
    <x v="1"/>
    <x v="0"/>
    <m/>
  </r>
  <r>
    <d v="2019-02-25T00:00:00"/>
    <x v="0"/>
    <x v="0"/>
    <x v="0"/>
    <m/>
    <m/>
    <s v="Bloc de soudure"/>
    <m/>
    <s v="Réparation"/>
    <s v="Changement du cable de soudure"/>
    <d v="2019-02-25T00:00:00"/>
    <s v="RAS"/>
    <m/>
    <x v="1"/>
    <x v="0"/>
    <m/>
  </r>
  <r>
    <d v="2019-02-26T00:00:00"/>
    <x v="0"/>
    <x v="0"/>
    <x v="0"/>
    <m/>
    <m/>
    <s v="Bloc de soudure"/>
    <m/>
    <s v="Réparation"/>
    <s v="Changement du support porte électrode -vérin"/>
    <d v="2019-02-26T00:00:00"/>
    <s v="RAS"/>
    <m/>
    <x v="1"/>
    <x v="0"/>
    <m/>
  </r>
  <r>
    <d v="2019-02-26T00:00:00"/>
    <x v="14"/>
    <x v="4"/>
    <x v="14"/>
    <m/>
    <m/>
    <s v="Moteur de levage"/>
    <m/>
    <s v="Réparation"/>
    <s v="Montage d'un frein neuf + mise en place de nouveaux trous taraudés de fixation"/>
    <d v="2019-02-26T00:00:00"/>
    <s v="RAS en attente de résultats"/>
    <m/>
    <x v="1"/>
    <x v="0"/>
    <m/>
  </r>
  <r>
    <d v="2019-02-27T00:00:00"/>
    <x v="2"/>
    <x v="1"/>
    <x v="2"/>
    <m/>
    <m/>
    <s v="Cercleuse 08 "/>
    <m/>
    <s v="Réparation"/>
    <s v="Réglage de l'embrayage"/>
    <d v="2019-02-27T00:00:00"/>
    <s v="RAS"/>
    <m/>
    <x v="1"/>
    <x v="0"/>
    <m/>
  </r>
  <r>
    <d v="2019-02-27T00:00:00"/>
    <x v="3"/>
    <x v="1"/>
    <x v="3"/>
    <m/>
    <m/>
    <s v="Moule"/>
    <m/>
    <s v="Réparation"/>
    <s v="Changement du flexible hydraulique du vérin du moule (endommagé de la partie sertie)"/>
    <d v="2019-02-27T00:00:00"/>
    <s v="RAS"/>
    <m/>
    <x v="1"/>
    <x v="0"/>
    <m/>
  </r>
  <r>
    <d v="2019-03-01T00:00:00"/>
    <x v="10"/>
    <x v="0"/>
    <x v="10"/>
    <m/>
    <m/>
    <s v="Cassette PR8"/>
    <m/>
    <s v="Réparation"/>
    <s v="Nettoyage + changement de 4 roulements"/>
    <d v="2019-03-01T00:00:00"/>
    <s v="RAS"/>
    <m/>
    <x v="2"/>
    <x v="0"/>
    <m/>
  </r>
  <r>
    <d v="2019-03-02T00:00:00"/>
    <x v="0"/>
    <x v="0"/>
    <x v="0"/>
    <m/>
    <m/>
    <s v="Bloc de soudure"/>
    <m/>
    <s v="Réparation"/>
    <s v="Dégrippage de la fixation du porte électrode"/>
    <d v="2019-03-02T00:00:00"/>
    <m/>
    <m/>
    <x v="2"/>
    <x v="0"/>
    <m/>
  </r>
  <r>
    <d v="2019-03-04T00:00:00"/>
    <x v="2"/>
    <x v="1"/>
    <x v="2"/>
    <m/>
    <m/>
    <s v="Tiroir d'agitation"/>
    <m/>
    <s v="Réparation"/>
    <s v="Soudage de la grille d'agitation"/>
    <d v="2019-03-04T00:00:00"/>
    <s v="Prévoir le changement de celle-ci"/>
    <m/>
    <x v="2"/>
    <x v="0"/>
    <m/>
  </r>
  <r>
    <d v="2019-03-04T00:00:00"/>
    <x v="3"/>
    <x v="1"/>
    <x v="3"/>
    <m/>
    <m/>
    <s v="Malaxeur"/>
    <m/>
    <s v="Réparation"/>
    <s v="Changement des pales de pates du malaxeur"/>
    <d v="2019-03-04T00:00:00"/>
    <s v="RAS"/>
    <m/>
    <x v="2"/>
    <x v="0"/>
    <m/>
  </r>
  <r>
    <d v="2019-03-04T00:00:00"/>
    <x v="4"/>
    <x v="0"/>
    <x v="4"/>
    <m/>
    <m/>
    <s v="Bloc de soudure"/>
    <m/>
    <s v="Réparation"/>
    <s v="Changement de deux axes plongeurs"/>
    <d v="2019-03-04T00:00:00"/>
    <m/>
    <m/>
    <x v="2"/>
    <x v="0"/>
    <m/>
  </r>
  <r>
    <d v="2019-03-05T00:00:00"/>
    <x v="0"/>
    <x v="0"/>
    <x v="0"/>
    <m/>
    <m/>
    <s v="Bloc de soudure"/>
    <s v="Problème de refroidissement"/>
    <s v="Réparation"/>
    <s v="Débouchage du tuyau de refroidissement des cables de courant"/>
    <d v="2019-03-05T00:00:00"/>
    <m/>
    <m/>
    <x v="2"/>
    <x v="0"/>
    <m/>
  </r>
  <r>
    <d v="2019-03-06T00:00:00"/>
    <x v="23"/>
    <x v="4"/>
    <x v="23"/>
    <m/>
    <m/>
    <s v="Alimentation générale"/>
    <m/>
    <s v="Réparation"/>
    <s v="Réarmement du disjoncteur général"/>
    <d v="2019-03-06T00:00:00"/>
    <m/>
    <m/>
    <x v="2"/>
    <x v="0"/>
    <m/>
  </r>
  <r>
    <d v="2019-03-06T00:00:00"/>
    <x v="24"/>
    <x v="4"/>
    <x v="24"/>
    <m/>
    <m/>
    <s v="Treuil principal"/>
    <m/>
    <s v="Réparation"/>
    <s v="Remise du cable antigiratoire sur le truil principal"/>
    <d v="2019-03-06T00:00:00"/>
    <m/>
    <m/>
    <x v="2"/>
    <x v="0"/>
    <m/>
  </r>
  <r>
    <d v="2019-03-06T00:00:00"/>
    <x v="8"/>
    <x v="4"/>
    <x v="8"/>
    <m/>
    <m/>
    <s v="Treuil principal"/>
    <m/>
    <s v="Réparation"/>
    <s v="Réparation du mouffle +changement du cable antigiratoire"/>
    <d v="2019-03-06T00:00:00"/>
    <m/>
    <m/>
    <x v="2"/>
    <x v="0"/>
    <m/>
  </r>
  <r>
    <d v="2019-03-07T00:00:00"/>
    <x v="16"/>
    <x v="0"/>
    <x v="16"/>
    <m/>
    <m/>
    <s v="Partie de soudage"/>
    <m/>
    <s v="Réparation"/>
    <s v="Changement du vérin de soudage"/>
    <d v="2019-03-07T00:00:00"/>
    <m/>
    <m/>
    <x v="2"/>
    <x v="0"/>
    <m/>
  </r>
  <r>
    <d v="2019-03-07T00:00:00"/>
    <x v="20"/>
    <x v="0"/>
    <x v="20"/>
    <m/>
    <m/>
    <s v="Cassette PR5"/>
    <m/>
    <s v="Réparation"/>
    <s v="Changement de 4 roulement 32008 + flexible d'eau"/>
    <d v="2019-03-07T00:00:00"/>
    <m/>
    <m/>
    <x v="2"/>
    <x v="0"/>
    <m/>
  </r>
  <r>
    <d v="2019-03-07T00:00:00"/>
    <x v="21"/>
    <x v="4"/>
    <x v="21"/>
    <m/>
    <m/>
    <s v="Moteur de levage"/>
    <m/>
    <s v="Réparation"/>
    <s v="Changement des tiges de fixation du moteur de levage"/>
    <d v="2019-03-07T00:00:00"/>
    <m/>
    <m/>
    <x v="2"/>
    <x v="0"/>
    <m/>
  </r>
  <r>
    <d v="2019-03-07T00:00:00"/>
    <x v="2"/>
    <x v="1"/>
    <x v="2"/>
    <m/>
    <m/>
    <s v="Cercleuse 06"/>
    <m/>
    <s v="Réparation"/>
    <s v="Changement de la résistance chauffante"/>
    <d v="2019-03-07T00:00:00"/>
    <s v="RAS"/>
    <m/>
    <x v="2"/>
    <x v="0"/>
    <m/>
  </r>
  <r>
    <d v="2019-03-07T00:00:00"/>
    <x v="10"/>
    <x v="0"/>
    <x v="10"/>
    <m/>
    <m/>
    <s v="Bobinoir"/>
    <m/>
    <s v="Changement"/>
    <s v="Changement de 3 tige d'assemblage du bobinoir"/>
    <d v="2019-03-07T00:00:00"/>
    <s v="Prévoir la confection de tige d'assemblage"/>
    <m/>
    <x v="2"/>
    <x v="0"/>
    <m/>
  </r>
  <r>
    <d v="2019-03-07T00:00:00"/>
    <x v="0"/>
    <x v="0"/>
    <x v="0"/>
    <m/>
    <m/>
    <s v="Bloc de soudure"/>
    <s v="Panne presse de soudage"/>
    <s v="Réparation"/>
    <s v="Degrippage de la fixation de la presse de soudage"/>
    <d v="2019-03-07T00:00:00"/>
    <m/>
    <m/>
    <x v="2"/>
    <x v="0"/>
    <m/>
  </r>
  <r>
    <d v="2019-03-08T00:00:00"/>
    <x v="25"/>
    <x v="0"/>
    <x v="25"/>
    <m/>
    <m/>
    <m/>
    <m/>
    <s v="Réparation"/>
    <m/>
    <d v="2019-03-08T00:00:00"/>
    <m/>
    <m/>
    <x v="2"/>
    <x v="0"/>
    <m/>
  </r>
  <r>
    <d v="2019-03-08T00:00:00"/>
    <x v="4"/>
    <x v="0"/>
    <x v="4"/>
    <m/>
    <m/>
    <s v="Lance trame"/>
    <m/>
    <s v="Réparation"/>
    <s v="Panne moteur dispositif amené FT ( problème"/>
    <d v="2019-03-08T00:00:00"/>
    <m/>
    <m/>
    <x v="2"/>
    <x v="0"/>
    <m/>
  </r>
  <r>
    <d v="2019-03-08T00:00:00"/>
    <x v="2"/>
    <x v="1"/>
    <x v="2"/>
    <m/>
    <m/>
    <s v="Transbordeur"/>
    <m/>
    <s v="Réparation"/>
    <s v="Soudage du galet de guidage sur l'arbe principal"/>
    <d v="2019-03-08T00:00:00"/>
    <s v="Prevoir la confection d'un nouvel arbre"/>
    <m/>
    <x v="2"/>
    <x v="0"/>
    <m/>
  </r>
  <r>
    <d v="2019-03-11T00:00:00"/>
    <x v="3"/>
    <x v="1"/>
    <x v="3"/>
    <m/>
    <m/>
    <s v="Groupe hydraulique"/>
    <m/>
    <s v="Amélioration"/>
    <s v="Montage d'un refroidisseur à radiateur au niveau du groupe hydraulique"/>
    <d v="2019-03-11T00:00:00"/>
    <s v="La température enregistrée est de 37° au niveau de la pompe et 35° sur tous les autres organes"/>
    <m/>
    <x v="2"/>
    <x v="0"/>
    <m/>
  </r>
  <r>
    <d v="2019-03-12T00:00:00"/>
    <x v="4"/>
    <x v="0"/>
    <x v="4"/>
    <m/>
    <m/>
    <s v="Lance trame"/>
    <m/>
    <s v="Réparation"/>
    <s v="Panne moteur dispositif amené FT"/>
    <d v="2019-03-12T00:00:00"/>
    <m/>
    <m/>
    <x v="2"/>
    <x v="0"/>
    <m/>
  </r>
  <r>
    <d v="2019-03-12T00:00:00"/>
    <x v="2"/>
    <x v="1"/>
    <x v="2"/>
    <m/>
    <m/>
    <s v="Grille d'agitation"/>
    <m/>
    <s v="Réparation"/>
    <s v="Soudage de la grille d'agitation"/>
    <d v="2019-03-12T00:00:00"/>
    <s v="Changement de la grille et du jeu d'agitation prévu le 16/03/2019"/>
    <m/>
    <x v="2"/>
    <x v="0"/>
    <m/>
  </r>
  <r>
    <d v="2019-03-12T00:00:00"/>
    <x v="3"/>
    <x v="1"/>
    <x v="3"/>
    <m/>
    <m/>
    <s v="Malaxeur"/>
    <m/>
    <s v="Réparation"/>
    <s v="Changement de l'electrovanne d'alimentation en eau"/>
    <d v="2019-03-12T00:00:00"/>
    <s v="Preévoir l'achat d'une nouvelle électrovanne"/>
    <m/>
    <x v="2"/>
    <x v="0"/>
    <m/>
  </r>
  <r>
    <d v="2019-03-12T00:00:00"/>
    <x v="0"/>
    <x v="0"/>
    <x v="0"/>
    <m/>
    <m/>
    <s v="Bloc de soudure"/>
    <s v="Vis de fixation de la presse cassé"/>
    <s v="Réparation"/>
    <s v="Changement des vis de fixation"/>
    <d v="2019-03-12T00:00:00"/>
    <m/>
    <m/>
    <x v="2"/>
    <x v="0"/>
    <m/>
  </r>
  <r>
    <d v="2019-03-13T00:00:00"/>
    <x v="0"/>
    <x v="0"/>
    <x v="0"/>
    <m/>
    <m/>
    <s v="Bloc de soudure"/>
    <m/>
    <s v="Réparation"/>
    <s v="Dégrippage de la fixation du porte électrode"/>
    <d v="2019-03-13T00:00:00"/>
    <m/>
    <m/>
    <x v="2"/>
    <x v="0"/>
    <m/>
  </r>
  <r>
    <d v="2019-03-13T00:00:00"/>
    <x v="10"/>
    <x v="0"/>
    <x v="10"/>
    <m/>
    <m/>
    <s v="Cassette PR8"/>
    <m/>
    <s v="Réparation"/>
    <s v="Changement de 4 roulement 32008"/>
    <d v="2019-03-13T00:00:00"/>
    <m/>
    <m/>
    <x v="2"/>
    <x v="0"/>
    <m/>
  </r>
  <r>
    <d v="2019-03-14T00:00:00"/>
    <x v="23"/>
    <x v="4"/>
    <x v="23"/>
    <m/>
    <m/>
    <s v="Système de guidage"/>
    <m/>
    <s v="Démontage"/>
    <s v="Démontage du moteur réducteur endommagé"/>
    <d v="2019-03-14T00:00:00"/>
    <s v="Attente d'achat d'un nouveau moteur réducteur "/>
    <m/>
    <x v="2"/>
    <x v="0"/>
    <m/>
  </r>
  <r>
    <d v="2019-03-14T00:00:00"/>
    <x v="2"/>
    <x v="1"/>
    <x v="2"/>
    <m/>
    <m/>
    <s v="Skip"/>
    <m/>
    <s v="Réparation"/>
    <s v="Changement d'un roulement de galet"/>
    <d v="2019-03-14T00:00:00"/>
    <s v="RAS"/>
    <m/>
    <x v="2"/>
    <x v="0"/>
    <m/>
  </r>
  <r>
    <d v="2019-03-15T00:00:00"/>
    <x v="0"/>
    <x v="0"/>
    <x v="0"/>
    <m/>
    <m/>
    <s v="Bloc de soudure"/>
    <s v="Nécessaire usée "/>
    <s v="Réparation"/>
    <s v="Changement de nécessaire et nettoyage de la presse"/>
    <d v="2019-03-15T00:00:00"/>
    <m/>
    <m/>
    <x v="2"/>
    <x v="0"/>
    <m/>
  </r>
  <r>
    <d v="2019-03-15T00:00:00"/>
    <x v="21"/>
    <x v="4"/>
    <x v="21"/>
    <m/>
    <m/>
    <s v="Système de guidage"/>
    <m/>
    <s v="Démontage"/>
    <s v="Démontage du moteur de guidage pour rebobinage"/>
    <d v="2019-03-15T00:00:00"/>
    <m/>
    <m/>
    <x v="2"/>
    <x v="0"/>
    <m/>
  </r>
  <r>
    <d v="2019-03-15T00:00:00"/>
    <x v="2"/>
    <x v="1"/>
    <x v="2"/>
    <m/>
    <m/>
    <s v="Table vibrante"/>
    <m/>
    <s v="Réparation"/>
    <s v="Soudage de la traverse droite de la table vibrante"/>
    <d v="2019-03-15T00:00:00"/>
    <s v="RAS"/>
    <m/>
    <x v="2"/>
    <x v="0"/>
    <m/>
  </r>
  <r>
    <d v="2019-03-15T00:00:00"/>
    <x v="2"/>
    <x v="1"/>
    <x v="2"/>
    <m/>
    <m/>
    <s v="Moule"/>
    <m/>
    <s v="Réparation"/>
    <s v="Elimination d'une fuite au niveau du raccord du vérin du moule"/>
    <d v="2019-03-15T00:00:00"/>
    <s v="RAS"/>
    <m/>
    <x v="2"/>
    <x v="0"/>
    <m/>
  </r>
  <r>
    <d v="2019-03-16T00:00:00"/>
    <x v="0"/>
    <x v="0"/>
    <x v="0"/>
    <m/>
    <m/>
    <s v="Bloc de soudure"/>
    <s v="Support d'electrode cassé"/>
    <s v="Réparation"/>
    <s v="Changement du support d'electrode"/>
    <d v="2019-03-16T00:00:00"/>
    <m/>
    <m/>
    <x v="2"/>
    <x v="0"/>
    <m/>
  </r>
  <r>
    <d v="2019-03-16T00:00:00"/>
    <x v="13"/>
    <x v="0"/>
    <x v="13"/>
    <m/>
    <m/>
    <s v="Guide fil"/>
    <m/>
    <s v="Démontage"/>
    <s v="Démontage du distributeur pneumatique du guide fil endommagé"/>
    <d v="2019-03-16T00:00:00"/>
    <s v="Attente d'achat d'un nouveau distributeur"/>
    <m/>
    <x v="2"/>
    <x v="0"/>
    <m/>
  </r>
  <r>
    <d v="2019-03-16T00:00:00"/>
    <x v="3"/>
    <x v="1"/>
    <x v="3"/>
    <m/>
    <m/>
    <s v="Convoyeur a béton"/>
    <m/>
    <s v="Réparation"/>
    <s v="Changement du tendeur du réducteur"/>
    <d v="2019-03-16T00:00:00"/>
    <s v="RAS"/>
    <m/>
    <x v="2"/>
    <x v="0"/>
    <m/>
  </r>
  <r>
    <d v="2019-03-18T00:00:00"/>
    <x v="0"/>
    <x v="0"/>
    <x v="0"/>
    <m/>
    <m/>
    <s v="Bloc de soudure"/>
    <s v="Panne de presse de soudage"/>
    <s v="Réparation"/>
    <s v="Changement du kit joints usé"/>
    <d v="2019-03-18T00:00:00"/>
    <m/>
    <m/>
    <x v="2"/>
    <x v="0"/>
    <m/>
  </r>
  <r>
    <d v="2019-03-18T00:00:00"/>
    <x v="0"/>
    <x v="0"/>
    <x v="0"/>
    <m/>
    <m/>
    <s v="Cisaille"/>
    <m/>
    <s v="Réparation"/>
    <s v="Chnagement de 4 courroie de distribution"/>
    <d v="2019-03-18T00:00:00"/>
    <m/>
    <m/>
    <x v="2"/>
    <x v="0"/>
    <m/>
  </r>
  <r>
    <d v="2019-03-19T00:00:00"/>
    <x v="0"/>
    <x v="0"/>
    <x v="0"/>
    <m/>
    <m/>
    <s v="Bloc de soudure"/>
    <s v="Pb circuit de refroidissement"/>
    <s v="Réparation"/>
    <s v="Changement du cable de soudage"/>
    <d v="2019-03-19T00:00:00"/>
    <m/>
    <m/>
    <x v="2"/>
    <x v="0"/>
    <m/>
  </r>
  <r>
    <d v="2019-03-19T00:00:00"/>
    <x v="1"/>
    <x v="0"/>
    <x v="1"/>
    <m/>
    <m/>
    <s v="Cassette PR3,5"/>
    <m/>
    <s v="Réparation"/>
    <s v="Changement de 3 galet + 6 roulement pour modification de diametre 3,40"/>
    <d v="2019-03-19T00:00:00"/>
    <m/>
    <m/>
    <x v="2"/>
    <x v="0"/>
    <m/>
  </r>
  <r>
    <d v="2019-03-20T00:00:00"/>
    <x v="2"/>
    <x v="1"/>
    <x v="2"/>
    <m/>
    <m/>
    <s v="Pupitre de commande"/>
    <m/>
    <s v="Réparation"/>
    <s v="Mise en place d'un écran LCD à la place de l'ecran tactile de commande de la machine"/>
    <d v="2019-03-20T00:00:00"/>
    <s v="Prévoir l'achat d'un nouvel écran"/>
    <m/>
    <x v="2"/>
    <x v="0"/>
    <m/>
  </r>
  <r>
    <d v="2019-03-23T00:00:00"/>
    <x v="13"/>
    <x v="0"/>
    <x v="13"/>
    <m/>
    <m/>
    <s v="Guide fil"/>
    <m/>
    <s v="Réparation"/>
    <s v="Montage d'un distributeur avec adaptation des branchements"/>
    <d v="2019-03-23T00:00:00"/>
    <s v="Attente réception du distributeur d'origine de chez eurolls"/>
    <m/>
    <x v="2"/>
    <x v="0"/>
    <m/>
  </r>
  <r>
    <d v="2019-03-28T00:00:00"/>
    <x v="10"/>
    <x v="0"/>
    <x v="10"/>
    <m/>
    <m/>
    <s v="Cassette PR8"/>
    <m/>
    <s v="Réparation"/>
    <s v="Changemene de 4 roulements 32008"/>
    <d v="2019-03-28T00:00:00"/>
    <s v="RAS"/>
    <m/>
    <x v="2"/>
    <x v="0"/>
    <m/>
  </r>
  <r>
    <d v="2019-04-01T00:00:00"/>
    <x v="18"/>
    <x v="4"/>
    <x v="18"/>
    <m/>
    <m/>
    <s v="Alimentation générale"/>
    <m/>
    <s v="Réparation"/>
    <s v="Réarmement du disjoncteur général"/>
    <d v="2019-04-01T00:00:00"/>
    <s v="Attente livraison du pont de diode du moteur de levage"/>
    <m/>
    <x v="3"/>
    <x v="0"/>
    <m/>
  </r>
  <r>
    <d v="2019-04-01T00:00:00"/>
    <x v="0"/>
    <x v="0"/>
    <x v="0"/>
    <m/>
    <m/>
    <s v="Bloc de soudure"/>
    <m/>
    <s v="Réparation"/>
    <s v="Extraction d'une vis +degrippage du support de fixation"/>
    <d v="2019-04-01T00:00:00"/>
    <s v="RAS"/>
    <m/>
    <x v="3"/>
    <x v="0"/>
    <m/>
  </r>
  <r>
    <d v="2019-04-01T00:00:00"/>
    <x v="13"/>
    <x v="0"/>
    <x v="13"/>
    <m/>
    <m/>
    <s v="Guide fil"/>
    <m/>
    <s v="Réparation"/>
    <s v="Fixation du vérin pneumatique "/>
    <d v="2019-04-01T00:00:00"/>
    <s v="RAS"/>
    <m/>
    <x v="3"/>
    <x v="0"/>
    <m/>
  </r>
  <r>
    <d v="2019-04-01T00:00:00"/>
    <x v="3"/>
    <x v="1"/>
    <x v="3"/>
    <m/>
    <m/>
    <s v="Presse"/>
    <m/>
    <s v="Réparation"/>
    <s v="Changement du moteur de vibration"/>
    <d v="2019-04-01T00:00:00"/>
    <s v="RAS"/>
    <m/>
    <x v="3"/>
    <x v="0"/>
    <m/>
  </r>
  <r>
    <d v="2019-04-01T00:00:00"/>
    <x v="2"/>
    <x v="1"/>
    <x v="2"/>
    <m/>
    <m/>
    <s v="Presse"/>
    <m/>
    <s v="Réglage"/>
    <s v="Calage de la table vibrante"/>
    <d v="2019-04-01T00:00:00"/>
    <m/>
    <m/>
    <x v="3"/>
    <x v="0"/>
    <m/>
  </r>
  <r>
    <d v="2019-04-01T00:00:00"/>
    <x v="2"/>
    <x v="1"/>
    <x v="2"/>
    <m/>
    <m/>
    <s v="Injecteur de planche"/>
    <m/>
    <s v="Réparation"/>
    <s v="Changement des roulement de l'injecteur de planche"/>
    <d v="2019-04-01T00:00:00"/>
    <m/>
    <m/>
    <x v="3"/>
    <x v="0"/>
    <m/>
  </r>
  <r>
    <d v="2019-04-02T00:00:00"/>
    <x v="3"/>
    <x v="1"/>
    <x v="3"/>
    <m/>
    <m/>
    <s v="Moule"/>
    <m/>
    <s v="Réparation"/>
    <s v="changement de l'axe de fixation du vérin du moule"/>
    <d v="2019-04-02T00:00:00"/>
    <m/>
    <m/>
    <x v="3"/>
    <x v="0"/>
    <m/>
  </r>
  <r>
    <d v="2019-04-02T00:00:00"/>
    <x v="3"/>
    <x v="1"/>
    <x v="3"/>
    <m/>
    <m/>
    <s v="Adjuvant"/>
    <m/>
    <s v="Réparation"/>
    <s v="Changement du joint da la vanne d'alimmentation du circuit d'adjuvant"/>
    <d v="2019-04-02T00:00:00"/>
    <m/>
    <m/>
    <x v="3"/>
    <x v="0"/>
    <m/>
  </r>
  <r>
    <d v="2019-04-03T00:00:00"/>
    <x v="0"/>
    <x v="0"/>
    <x v="0"/>
    <m/>
    <m/>
    <s v="Bloc de soudure"/>
    <s v="Panne de presse de soudage"/>
    <s v="Réparation"/>
    <s v="Changement du kit joints usé"/>
    <d v="2019-04-03T00:00:00"/>
    <m/>
    <m/>
    <x v="3"/>
    <x v="0"/>
    <m/>
  </r>
  <r>
    <d v="2019-04-04T00:00:00"/>
    <x v="3"/>
    <x v="1"/>
    <x v="3"/>
    <m/>
    <m/>
    <s v="Transbordeur"/>
    <m/>
    <s v="Réparation"/>
    <s v="Serrage des fixations du frein moteur"/>
    <d v="2019-04-04T00:00:00"/>
    <s v="Attente achat moteur réducteur Poyatos (import)"/>
    <m/>
    <x v="3"/>
    <x v="0"/>
    <m/>
  </r>
  <r>
    <d v="2019-04-04T00:00:00"/>
    <x v="0"/>
    <x v="0"/>
    <x v="0"/>
    <m/>
    <m/>
    <s v="Empileur"/>
    <s v="Tole usée"/>
    <s v="Réparation"/>
    <s v="Chargement de surface de la partie usée"/>
    <d v="2019-04-04T00:00:00"/>
    <m/>
    <m/>
    <x v="3"/>
    <x v="0"/>
    <m/>
  </r>
  <r>
    <d v="2019-04-08T00:00:00"/>
    <x v="2"/>
    <x v="1"/>
    <x v="2"/>
    <m/>
    <m/>
    <s v="Presse"/>
    <m/>
    <s v="Réparation"/>
    <s v="Soudage de la grille d'agitation"/>
    <d v="2019-04-08T00:00:00"/>
    <m/>
    <m/>
    <x v="3"/>
    <x v="0"/>
    <m/>
  </r>
  <r>
    <d v="2019-04-08T00:00:00"/>
    <x v="2"/>
    <x v="1"/>
    <x v="2"/>
    <m/>
    <m/>
    <s v="Silo à ciment"/>
    <m/>
    <s v="Réparation"/>
    <s v="Deblocage du silo 7"/>
    <d v="2019-04-08T00:00:00"/>
    <m/>
    <m/>
    <x v="3"/>
    <x v="0"/>
    <m/>
  </r>
  <r>
    <d v="2019-04-09T00:00:00"/>
    <x v="3"/>
    <x v="1"/>
    <x v="3"/>
    <m/>
    <m/>
    <s v="Transbordeur"/>
    <s v="Déraillage du transbordeur"/>
    <s v="Réparation"/>
    <s v="Remise en place du transbordeur et fixation des cibles de capteur"/>
    <d v="2019-04-09T00:00:00"/>
    <m/>
    <m/>
    <x v="3"/>
    <x v="0"/>
    <m/>
  </r>
  <r>
    <d v="2019-04-10T00:00:00"/>
    <x v="2"/>
    <x v="1"/>
    <x v="2"/>
    <m/>
    <m/>
    <s v="Transbordeur"/>
    <s v="Galets usés"/>
    <s v="Changement"/>
    <s v="Changement d'un galet au niveau de la plateforme de deux galet du multifourche et de l'arbre avant du multifourche"/>
    <d v="2019-04-10T00:00:00"/>
    <m/>
    <m/>
    <x v="3"/>
    <x v="0"/>
    <m/>
  </r>
  <r>
    <d v="2019-04-10T00:00:00"/>
    <x v="3"/>
    <x v="1"/>
    <x v="3"/>
    <m/>
    <m/>
    <s v="Transbordeur"/>
    <s v="Roulements usés"/>
    <s v="Changement"/>
    <s v="Changement de quatres roulements 6208 des galets de guidage"/>
    <d v="2019-04-10T00:00:00"/>
    <m/>
    <m/>
    <x v="3"/>
    <x v="0"/>
    <m/>
  </r>
  <r>
    <d v="2019-04-10T00:00:00"/>
    <x v="2"/>
    <x v="1"/>
    <x v="2"/>
    <m/>
    <m/>
    <s v="Pince"/>
    <s v="Problème de levage"/>
    <s v="Réparation"/>
    <s v="Changement des vis de fixation du frein moteur"/>
    <d v="2019-06-10T00:00:00"/>
    <m/>
    <s v="=SI(ESTVIDE([@[Date"/>
    <x v="4"/>
    <x v="0"/>
    <m/>
  </r>
  <r>
    <d v="2019-04-11T00:00:00"/>
    <x v="3"/>
    <x v="1"/>
    <x v="3"/>
    <m/>
    <m/>
    <s v="Malaxeur"/>
    <s v="Tôle inférieure décollées"/>
    <s v="Réparation"/>
    <s v="Resserage des vis de fixation de la tôle de revetement du malaxeur"/>
    <d v="2019-04-11T00:00:00"/>
    <m/>
    <m/>
    <x v="3"/>
    <x v="0"/>
    <m/>
  </r>
  <r>
    <d v="2019-04-12T00:00:00"/>
    <x v="2"/>
    <x v="1"/>
    <x v="2"/>
    <m/>
    <m/>
    <s v="Table vibrante"/>
    <s v="Fissure au niveau de la table vibrante"/>
    <s v="Réparation"/>
    <s v="Soudage de la table vibrante"/>
    <d v="2019-04-12T00:00:00"/>
    <m/>
    <m/>
    <x v="3"/>
    <x v="0"/>
    <m/>
  </r>
  <r>
    <d v="2019-04-12T00:00:00"/>
    <x v="3"/>
    <x v="1"/>
    <x v="3"/>
    <m/>
    <m/>
    <s v="Pince"/>
    <s v="Problème électrique au niveau du moteur de levage"/>
    <s v="Réparation"/>
    <s v="Resserage du frein moteur"/>
    <d v="2019-04-12T00:00:00"/>
    <m/>
    <m/>
    <x v="3"/>
    <x v="0"/>
    <m/>
  </r>
  <r>
    <d v="2019-04-12T00:00:00"/>
    <x v="0"/>
    <x v="0"/>
    <x v="0"/>
    <m/>
    <m/>
    <s v="Bloc de soudure"/>
    <s v="Pb presse de soudage"/>
    <s v="Réparation"/>
    <s v="Changement du kit joints usé"/>
    <d v="2019-04-12T00:00:00"/>
    <m/>
    <m/>
    <x v="3"/>
    <x v="0"/>
    <m/>
  </r>
  <r>
    <d v="2019-04-13T00:00:00"/>
    <x v="3"/>
    <x v="1"/>
    <x v="3"/>
    <m/>
    <m/>
    <s v="Compresseur GA 22"/>
    <s v="Pression d'air comprimé faible"/>
    <s v="Changement"/>
    <s v="Changement du compresseur "/>
    <d v="2019-04-15T00:00:00"/>
    <m/>
    <s v="=SI(ESTVIDE([@[Date"/>
    <x v="3"/>
    <x v="0"/>
    <m/>
  </r>
  <r>
    <d v="2019-04-13T00:00:00"/>
    <x v="3"/>
    <x v="1"/>
    <x v="3"/>
    <m/>
    <m/>
    <s v="Transbordeur"/>
    <s v="Arbe du réducteur cassé"/>
    <s v="Changement"/>
    <s v="Changement du réducteur de translation de la plateforme"/>
    <d v="2019-04-13T00:00:00"/>
    <m/>
    <m/>
    <x v="3"/>
    <x v="0"/>
    <m/>
  </r>
  <r>
    <d v="2019-04-15T00:00:00"/>
    <x v="2"/>
    <x v="1"/>
    <x v="2"/>
    <m/>
    <m/>
    <s v="Convoyeur à palette"/>
    <s v="Chaine des rouleaux cassée"/>
    <s v="Changement"/>
    <s v="Changement d'une chaine de transmission B12"/>
    <d v="2019-04-15T00:00:00"/>
    <m/>
    <m/>
    <x v="3"/>
    <x v="0"/>
    <m/>
  </r>
  <r>
    <d v="2019-04-15T00:00:00"/>
    <x v="0"/>
    <x v="0"/>
    <x v="0"/>
    <m/>
    <m/>
    <s v="Bloc de soudure"/>
    <s v="Pb presse de soudage"/>
    <s v="Réparation"/>
    <s v="Changement des joints usés"/>
    <d v="2019-04-15T00:00:00"/>
    <m/>
    <m/>
    <x v="3"/>
    <x v="0"/>
    <m/>
  </r>
  <r>
    <d v="2019-04-17T00:00:00"/>
    <x v="2"/>
    <x v="1"/>
    <x v="2"/>
    <m/>
    <m/>
    <s v="Table vibrante"/>
    <s v="Problème de callage de la table vibrante"/>
    <s v="Réparation"/>
    <s v="Callage et mise en marche de de la table vibrante"/>
    <d v="2019-04-17T00:00:00"/>
    <m/>
    <m/>
    <x v="3"/>
    <x v="0"/>
    <m/>
  </r>
  <r>
    <d v="2019-04-19T00:00:00"/>
    <x v="3"/>
    <x v="1"/>
    <x v="3"/>
    <m/>
    <m/>
    <s v="Descenseur"/>
    <s v="Problème du réducteur du descensseur"/>
    <s v="Réparation"/>
    <s v="Changement de la clavette interieur du réducteur du descensseur"/>
    <d v="2019-04-20T00:00:00"/>
    <m/>
    <s v="=SI(ESTVIDE([@[Date"/>
    <x v="3"/>
    <x v="0"/>
    <m/>
  </r>
  <r>
    <d v="2019-04-19T00:00:00"/>
    <x v="3"/>
    <x v="1"/>
    <x v="3"/>
    <m/>
    <m/>
    <s v="Ascensseur"/>
    <s v="Pb électrique"/>
    <s v="Réparation"/>
    <s v="Changement d'un detecteur de proximité"/>
    <d v="2019-04-19T00:00:00"/>
    <m/>
    <m/>
    <x v="3"/>
    <x v="0"/>
    <m/>
  </r>
  <r>
    <d v="2019-04-22T00:00:00"/>
    <x v="3"/>
    <x v="1"/>
    <x v="3"/>
    <m/>
    <m/>
    <s v="Compresseur GA 22"/>
    <s v="Pression d'air comprimé faible"/>
    <s v="Réparation"/>
    <s v="Changement de la soupape d'admission + changement des filtres"/>
    <d v="2019-04-22T00:00:00"/>
    <m/>
    <m/>
    <x v="3"/>
    <x v="0"/>
    <m/>
  </r>
  <r>
    <d v="2019-04-22T00:00:00"/>
    <x v="3"/>
    <x v="1"/>
    <x v="3"/>
    <m/>
    <m/>
    <s v="Transbordeur"/>
    <s v="Finde course usée"/>
    <s v="Réparation"/>
    <s v="Changement du detecteur"/>
    <d v="2019-04-22T00:00:00"/>
    <m/>
    <m/>
    <x v="3"/>
    <x v="0"/>
    <m/>
  </r>
  <r>
    <d v="2019-04-24T00:00:00"/>
    <x v="5"/>
    <x v="2"/>
    <x v="5"/>
    <m/>
    <m/>
    <s v="Déchargeur"/>
    <s v="Pale de pate usées"/>
    <s v="Changement"/>
    <s v="Changement de quatres pales de pate"/>
    <d v="2019-04-24T00:00:00"/>
    <m/>
    <m/>
    <x v="3"/>
    <x v="0"/>
    <m/>
  </r>
  <r>
    <d v="2019-04-24T00:00:00"/>
    <x v="2"/>
    <x v="1"/>
    <x v="2"/>
    <m/>
    <m/>
    <s v="Malaxeur"/>
    <s v="Pale de pate usées"/>
    <s v="Changement"/>
    <s v="Changement des pales de pates du malaxeur"/>
    <d v="2019-04-24T00:00:00"/>
    <m/>
    <m/>
    <x v="3"/>
    <x v="0"/>
    <m/>
  </r>
  <r>
    <d v="2019-04-24T00:00:00"/>
    <x v="4"/>
    <x v="0"/>
    <x v="4"/>
    <m/>
    <m/>
    <s v="Dispositif d'amenée fil de trame"/>
    <s v="Servomoteur endommagé"/>
    <s v="Réparation"/>
    <s v="Attente livraison servomoteur"/>
    <d v="2019-05-17T00:00:00"/>
    <m/>
    <s v="=SI(ESTVIDE([@[Date"/>
    <x v="5"/>
    <x v="0"/>
    <m/>
  </r>
  <r>
    <d v="2019-04-26T00:00:00"/>
    <x v="1"/>
    <x v="0"/>
    <x v="1"/>
    <m/>
    <m/>
    <s v="Cabestan n°3"/>
    <s v="Moteur undervoltage"/>
    <s v="Réparation"/>
    <s v="Démontage + transfert A3TEC pour réparation"/>
    <d v="2019-06-17T00:00:00"/>
    <s v="Attente Réparation du variateur / Réparé attente essai 18/06/2019"/>
    <s v="=SI(ESTVIDE([@[Date"/>
    <x v="4"/>
    <x v="0"/>
    <m/>
  </r>
  <r>
    <d v="2019-05-01T00:00:00"/>
    <x v="3"/>
    <x v="1"/>
    <x v="3"/>
    <m/>
    <m/>
    <s v="Tiroir d'agitation"/>
    <s v="Jeu au niveau des bielles d'agitation"/>
    <s v="Réparation"/>
    <s v="Changement dun roulement endommagé "/>
    <d v="2019-05-01T00:00:00"/>
    <m/>
    <m/>
    <x v="5"/>
    <x v="0"/>
    <m/>
  </r>
  <r>
    <d v="2019-05-02T00:00:00"/>
    <x v="2"/>
    <x v="1"/>
    <x v="2"/>
    <m/>
    <m/>
    <s v="Table vibrante"/>
    <s v="Tôle décolée"/>
    <s v="Réparation"/>
    <s v="Changement de la tole de la table vibrante"/>
    <d v="2019-05-02T00:00:00"/>
    <m/>
    <m/>
    <x v="5"/>
    <x v="0"/>
    <m/>
  </r>
  <r>
    <d v="2019-05-02T00:00:00"/>
    <x v="1"/>
    <x v="0"/>
    <x v="1"/>
    <m/>
    <m/>
    <s v="Danseur N2"/>
    <s v="Bras du danseur cassé"/>
    <s v="Réparation"/>
    <s v="Modification du système de fixation du danseur et renforcement de la soudure"/>
    <d v="2019-05-04T00:00:00"/>
    <m/>
    <s v="=SI(ESTVIDE([@[Date"/>
    <x v="5"/>
    <x v="0"/>
    <m/>
  </r>
  <r>
    <d v="2019-05-02T00:00:00"/>
    <x v="10"/>
    <x v="0"/>
    <x v="10"/>
    <m/>
    <m/>
    <s v="Chariot"/>
    <s v="Cercles du chariot usées"/>
    <s v="Réparation"/>
    <s v="Changement du chariot par un neuf préalablement confectionné par les chaudraunniers"/>
    <d v="2019-05-02T00:00:00"/>
    <m/>
    <m/>
    <x v="5"/>
    <x v="0"/>
    <m/>
  </r>
  <r>
    <d v="2019-05-02T00:00:00"/>
    <x v="10"/>
    <x v="0"/>
    <x v="10"/>
    <m/>
    <m/>
    <s v="Cassette PR8"/>
    <s v="Jeu sur galets"/>
    <s v="Réparation"/>
    <s v="changement de 2 roulement 32008 + zoomage"/>
    <d v="2019-05-02T00:00:00"/>
    <m/>
    <m/>
    <x v="5"/>
    <x v="0"/>
    <m/>
  </r>
  <r>
    <d v="2019-05-03T00:00:00"/>
    <x v="3"/>
    <x v="1"/>
    <x v="3"/>
    <m/>
    <m/>
    <s v="Malaxeur"/>
    <s v="Pale de pate usées"/>
    <s v="Réparation"/>
    <s v="Changement des pales de pates du malaxeur"/>
    <d v="2019-05-03T00:00:00"/>
    <m/>
    <m/>
    <x v="5"/>
    <x v="0"/>
    <m/>
  </r>
  <r>
    <d v="2019-05-03T00:00:00"/>
    <x v="0"/>
    <x v="0"/>
    <x v="0"/>
    <m/>
    <m/>
    <s v="Bloc de soudure"/>
    <s v="Mauvaise fixation de la presse de soudage"/>
    <s v="Réparation"/>
    <s v="Degrippage de la fixation de la presse de soudage"/>
    <d v="2019-05-03T00:00:00"/>
    <m/>
    <m/>
    <x v="5"/>
    <x v="0"/>
    <m/>
  </r>
  <r>
    <d v="2019-05-03T00:00:00"/>
    <x v="10"/>
    <x v="0"/>
    <x v="10"/>
    <m/>
    <m/>
    <s v="Cassette PR8"/>
    <s v="Pb de fixation sur socle"/>
    <s v="Réparation"/>
    <s v="réparation du système de fixation"/>
    <d v="2019-05-03T00:00:00"/>
    <m/>
    <m/>
    <x v="5"/>
    <x v="0"/>
    <m/>
  </r>
  <r>
    <d v="2019-05-04T00:00:00"/>
    <x v="0"/>
    <x v="0"/>
    <x v="0"/>
    <m/>
    <m/>
    <s v="Bloc de soudure"/>
    <s v="Panne électrique (thyristor endommagé)"/>
    <s v="Réparation"/>
    <s v="Changement du thyristor endommagé"/>
    <d v="2019-05-04T00:00:00"/>
    <s v="Prêt karkachi"/>
    <m/>
    <x v="5"/>
    <x v="0"/>
    <m/>
  </r>
  <r>
    <d v="2019-05-04T00:00:00"/>
    <x v="20"/>
    <x v="0"/>
    <x v="20"/>
    <m/>
    <m/>
    <s v="Cassette PR5"/>
    <s v="Fuite d'eau"/>
    <s v="Réparation"/>
    <s v="Changement d'un flexible de refroidissement"/>
    <d v="2019-05-04T00:00:00"/>
    <m/>
    <m/>
    <x v="5"/>
    <x v="0"/>
    <m/>
  </r>
  <r>
    <d v="2019-05-04T00:00:00"/>
    <x v="20"/>
    <x v="0"/>
    <x v="20"/>
    <m/>
    <m/>
    <s v="Cassette PR3,20"/>
    <s v="Circuit de graissage bouché"/>
    <s v="Réparation"/>
    <s v="Changement d'un flexible de graisse"/>
    <d v="2019-05-04T00:00:00"/>
    <m/>
    <m/>
    <x v="5"/>
    <x v="0"/>
    <m/>
  </r>
  <r>
    <d v="2019-05-06T00:00:00"/>
    <x v="3"/>
    <x v="1"/>
    <x v="3"/>
    <m/>
    <m/>
    <s v="Pince"/>
    <s v="Fuite au niveau du réduteur de la pince"/>
    <s v="Réparation"/>
    <s v="Changement de deux roulements avec arrêt d'huile"/>
    <d v="2019-05-06T00:00:00"/>
    <m/>
    <m/>
    <x v="5"/>
    <x v="0"/>
    <m/>
  </r>
  <r>
    <d v="2019-05-06T00:00:00"/>
    <x v="0"/>
    <x v="0"/>
    <x v="0"/>
    <m/>
    <m/>
    <s v="BLoc de soudure"/>
    <s v="Panne porte électrode"/>
    <s v="Réparation"/>
    <s v="Degrippage de la fixation de la presse de soudage"/>
    <d v="2019-05-06T00:00:00"/>
    <m/>
    <m/>
    <x v="5"/>
    <x v="0"/>
    <m/>
  </r>
  <r>
    <d v="2019-05-06T00:00:00"/>
    <x v="1"/>
    <x v="0"/>
    <x v="1"/>
    <m/>
    <m/>
    <s v="Cassette PR3,5"/>
    <s v="Fuite d'eau"/>
    <s v="Réparation"/>
    <s v="Changement d'un flexible de refroidissement"/>
    <d v="2019-05-06T00:00:00"/>
    <m/>
    <m/>
    <x v="5"/>
    <x v="0"/>
    <m/>
  </r>
  <r>
    <d v="2019-05-07T00:00:00"/>
    <x v="3"/>
    <x v="1"/>
    <x v="3"/>
    <m/>
    <m/>
    <s v="Presse"/>
    <s v="Fissure de la table vibrante"/>
    <s v="Réparation"/>
    <s v="Soudage de la table vibrante"/>
    <d v="2019-05-07T00:00:00"/>
    <m/>
    <m/>
    <x v="5"/>
    <x v="0"/>
    <m/>
  </r>
  <r>
    <d v="2019-05-10T00:00:00"/>
    <x v="3"/>
    <x v="1"/>
    <x v="3"/>
    <m/>
    <m/>
    <s v="Compresseur GA 22"/>
    <s v="Neant"/>
    <s v="Essai"/>
    <s v="Essai d'un compresseur GA22 occasion"/>
    <d v="2019-05-10T00:00:00"/>
    <s v="Fuite au niveau de l'élément"/>
    <m/>
    <x v="5"/>
    <x v="0"/>
    <m/>
  </r>
  <r>
    <d v="2019-05-10T00:00:00"/>
    <x v="0"/>
    <x v="0"/>
    <x v="0"/>
    <m/>
    <m/>
    <s v="Système d'avancement"/>
    <s v="Blocage du tir fil"/>
    <s v="Réparation"/>
    <s v="Changement des roulements des galets du tir fil"/>
    <d v="2019-05-10T00:00:00"/>
    <m/>
    <m/>
    <x v="5"/>
    <x v="0"/>
    <m/>
  </r>
  <r>
    <d v="2019-05-10T00:00:00"/>
    <x v="0"/>
    <x v="0"/>
    <x v="0"/>
    <m/>
    <m/>
    <s v="Bloc de soudure"/>
    <s v="Problème de refroidissement"/>
    <s v="Réparation"/>
    <s v="Débouchage du tuyau de refroidissement des cables de courant"/>
    <d v="2019-05-10T00:00:00"/>
    <m/>
    <m/>
    <x v="5"/>
    <x v="0"/>
    <m/>
  </r>
  <r>
    <d v="2019-05-11T00:00:00"/>
    <x v="1"/>
    <x v="0"/>
    <x v="1"/>
    <m/>
    <m/>
    <s v="Cabestan n°4"/>
    <s v="Cabestant bloqué"/>
    <s v="Réparation"/>
    <s v="Nettoyage de la carte profibus du variateur du cabestan"/>
    <d v="2019-05-11T00:00:00"/>
    <m/>
    <m/>
    <x v="5"/>
    <x v="0"/>
    <m/>
  </r>
  <r>
    <d v="2019-05-13T00:00:00"/>
    <x v="2"/>
    <x v="1"/>
    <x v="2"/>
    <m/>
    <m/>
    <s v="Groupe hydraulique"/>
    <s v="Fuite au niveau de la pompe de refroidissement"/>
    <s v="Réparation"/>
    <s v="Montage d'un système de refroidissement à air et elimination du refroidissement à eau"/>
    <d v="2019-05-13T00:00:00"/>
    <m/>
    <m/>
    <x v="5"/>
    <x v="0"/>
    <m/>
  </r>
  <r>
    <d v="2019-05-14T00:00:00"/>
    <x v="26"/>
    <x v="0"/>
    <x v="26"/>
    <m/>
    <m/>
    <s v="Refroidisseur"/>
    <s v="Eau chaude"/>
    <s v="Réparation"/>
    <s v="Changement du contacteur du compresseur"/>
    <d v="2019-05-14T00:00:00"/>
    <m/>
    <m/>
    <x v="5"/>
    <x v="0"/>
    <m/>
  </r>
  <r>
    <d v="2019-05-14T00:00:00"/>
    <x v="7"/>
    <x v="0"/>
    <x v="7"/>
    <m/>
    <m/>
    <s v="Transporteur de poutrelle"/>
    <s v="Transporteur bloqué"/>
    <s v="Réparation"/>
    <s v="Changement d'un distributeur festo endommagé"/>
    <d v="2019-05-14T00:00:00"/>
    <m/>
    <m/>
    <x v="5"/>
    <x v="0"/>
    <m/>
  </r>
  <r>
    <d v="2019-05-15T00:00:00"/>
    <x v="1"/>
    <x v="0"/>
    <x v="1"/>
    <m/>
    <m/>
    <s v="Cassette PR3,20"/>
    <s v="Fuite d'eau"/>
    <s v="Réparation"/>
    <s v="Changement d'un flexible d'eau"/>
    <d v="2019-05-15T00:00:00"/>
    <m/>
    <m/>
    <x v="5"/>
    <x v="0"/>
    <m/>
  </r>
  <r>
    <d v="2019-05-16T00:00:00"/>
    <x v="3"/>
    <x v="1"/>
    <x v="3"/>
    <m/>
    <m/>
    <s v="Cercleuse 06"/>
    <s v="pb lancement feuillard"/>
    <s v="Réparation"/>
    <s v="Affutage du couteau + changement de la glissière"/>
    <d v="2019-05-16T00:00:00"/>
    <m/>
    <m/>
    <x v="5"/>
    <x v="0"/>
    <m/>
  </r>
  <r>
    <d v="2019-05-16T00:00:00"/>
    <x v="0"/>
    <x v="0"/>
    <x v="0"/>
    <m/>
    <m/>
    <s v="Bloc de soudure"/>
    <s v="Panne presse de soudage"/>
    <s v="Réparation"/>
    <s v="Degrippage de la fixation de la presse de soudage"/>
    <d v="2019-05-16T00:00:00"/>
    <m/>
    <m/>
    <x v="5"/>
    <x v="0"/>
    <m/>
  </r>
  <r>
    <d v="2019-05-16T00:00:00"/>
    <x v="2"/>
    <x v="1"/>
    <x v="2"/>
    <m/>
    <m/>
    <s v="Cercleuse 08"/>
    <s v="Pb cercleuse"/>
    <s v="Réparation"/>
    <s v="Réglage de l'epaisseur du feuillard"/>
    <d v="2019-05-16T00:00:00"/>
    <m/>
    <m/>
    <x v="5"/>
    <x v="0"/>
    <m/>
  </r>
  <r>
    <d v="2019-05-17T00:00:00"/>
    <x v="2"/>
    <x v="1"/>
    <x v="2"/>
    <m/>
    <m/>
    <s v="Cercleuse 08"/>
    <s v="Embrayage endommagé"/>
    <s v="Réparation"/>
    <s v="Changement de l'embrayage + nettoyage de la lame de soudure"/>
    <d v="2019-05-17T00:00:00"/>
    <m/>
    <m/>
    <x v="5"/>
    <x v="0"/>
    <m/>
  </r>
  <r>
    <d v="2019-05-17T00:00:00"/>
    <x v="3"/>
    <x v="1"/>
    <x v="3"/>
    <m/>
    <m/>
    <s v="Tiroir chargeur"/>
    <s v="fissure du tiroir chargeur"/>
    <s v="Réparation"/>
    <s v="Soudage du tiroir chargeur"/>
    <d v="2019-05-17T00:00:00"/>
    <m/>
    <m/>
    <x v="5"/>
    <x v="0"/>
    <m/>
  </r>
  <r>
    <d v="2019-05-17T00:00:00"/>
    <x v="3"/>
    <x v="1"/>
    <x v="3"/>
    <m/>
    <m/>
    <s v="Transbordeur"/>
    <s v="Pb éléctrique du transbordeur"/>
    <s v="Réparation"/>
    <s v="Changement d'un contacteur et élimination d'un court circuit"/>
    <d v="2019-05-17T00:00:00"/>
    <m/>
    <m/>
    <x v="5"/>
    <x v="0"/>
    <m/>
  </r>
  <r>
    <d v="2019-05-17T00:00:00"/>
    <x v="0"/>
    <x v="0"/>
    <x v="0"/>
    <m/>
    <m/>
    <s v="Bloc de soudure"/>
    <s v="Panne presse de soudage"/>
    <s v="Réparation"/>
    <s v="Changement d'une pièce d'ancrage récupérée de la ferraille"/>
    <d v="2019-05-17T00:00:00"/>
    <m/>
    <m/>
    <x v="5"/>
    <x v="0"/>
    <m/>
  </r>
  <r>
    <d v="2019-05-18T00:00:00"/>
    <x v="27"/>
    <x v="2"/>
    <x v="27"/>
    <m/>
    <m/>
    <s v="Déchargeur"/>
    <s v="Pb éléctrique "/>
    <s v="Réparation"/>
    <s v="Changement du disjoncteur du moteur du déchargeur"/>
    <d v="2019-05-18T00:00:00"/>
    <m/>
    <m/>
    <x v="5"/>
    <x v="0"/>
    <m/>
  </r>
  <r>
    <d v="2019-05-20T00:00:00"/>
    <x v="2"/>
    <x v="1"/>
    <x v="2"/>
    <m/>
    <m/>
    <s v="Tiroir d'agitation"/>
    <s v="fissure du tiroir chargeur"/>
    <s v="Réparation"/>
    <s v="Soudage du tiroir chargeur"/>
    <d v="2019-05-20T00:00:00"/>
    <m/>
    <m/>
    <x v="5"/>
    <x v="0"/>
    <m/>
  </r>
  <r>
    <d v="2019-05-20T00:00:00"/>
    <x v="3"/>
    <x v="1"/>
    <x v="3"/>
    <m/>
    <m/>
    <s v="Transbordeur"/>
    <s v="Pb éléctrique du transbordeur"/>
    <s v="Réparation"/>
    <s v="Changement d'un capteur de proximité endommagé"/>
    <d v="2019-05-20T00:00:00"/>
    <m/>
    <m/>
    <x v="5"/>
    <x v="0"/>
    <m/>
  </r>
  <r>
    <d v="2019-05-21T00:00:00"/>
    <x v="2"/>
    <x v="1"/>
    <x v="2"/>
    <m/>
    <m/>
    <s v="Presse"/>
    <s v="Rotule du pilon endommagée"/>
    <s v="Réparation"/>
    <s v="Changement de l'axe de fixation du vérin du pilon"/>
    <d v="2019-05-21T00:00:00"/>
    <m/>
    <m/>
    <x v="5"/>
    <x v="0"/>
    <m/>
  </r>
  <r>
    <d v="2019-05-21T00:00:00"/>
    <x v="3"/>
    <x v="1"/>
    <x v="3"/>
    <m/>
    <m/>
    <s v="Pince"/>
    <s v="frein Moteur de levage endommagé"/>
    <s v="Réparation"/>
    <s v="Changement du moteur de la pince"/>
    <d v="2019-05-21T00:00:00"/>
    <m/>
    <m/>
    <x v="5"/>
    <x v="0"/>
    <m/>
  </r>
  <r>
    <d v="2019-05-21T00:00:00"/>
    <x v="14"/>
    <x v="4"/>
    <x v="14"/>
    <m/>
    <m/>
    <s v="Treuil principal"/>
    <s v="Cable endommagé"/>
    <s v="Réparation"/>
    <s v="Changement du cable antigiratoire diametre 9"/>
    <d v="2019-05-30T00:00:00"/>
    <m/>
    <s v="=SI(ESTVIDE([@[Date"/>
    <x v="5"/>
    <x v="0"/>
    <m/>
  </r>
  <r>
    <d v="2019-05-22T00:00:00"/>
    <x v="3"/>
    <x v="1"/>
    <x v="3"/>
    <m/>
    <m/>
    <s v="Transbordeur"/>
    <s v="Capteur de proximité endommagé"/>
    <s v="Réparation"/>
    <s v="Changement d'un capteur de proximité endommagé"/>
    <d v="2019-05-22T00:00:00"/>
    <m/>
    <m/>
    <x v="5"/>
    <x v="0"/>
    <m/>
  </r>
  <r>
    <d v="2019-05-25T00:00:00"/>
    <x v="13"/>
    <x v="0"/>
    <x v="13"/>
    <m/>
    <m/>
    <s v="Cisaille"/>
    <s v="Panne de cisaille"/>
    <s v="Réparation"/>
    <s v="Dressage du chemin du fil et changement des chapes de la cisaille"/>
    <d v="2019-05-25T00:00:00"/>
    <m/>
    <m/>
    <x v="5"/>
    <x v="0"/>
    <m/>
  </r>
  <r>
    <d v="2019-05-27T00:00:00"/>
    <x v="2"/>
    <x v="1"/>
    <x v="2"/>
    <m/>
    <m/>
    <s v="Convoyeur à planche"/>
    <s v="Courroie soudable endommagée"/>
    <s v="Réparation"/>
    <s v="Soudage de la courroie thermosoudable"/>
    <d v="2019-05-27T00:00:00"/>
    <m/>
    <m/>
    <x v="5"/>
    <x v="0"/>
    <m/>
  </r>
  <r>
    <d v="2019-05-27T00:00:00"/>
    <x v="2"/>
    <x v="1"/>
    <x v="2"/>
    <m/>
    <m/>
    <s v="Malaxeur"/>
    <s v="PB moteur vibreur porte malaxeur"/>
    <s v="Réparation"/>
    <s v="Elimination d'un manque de phase"/>
    <d v="2019-05-27T00:00:00"/>
    <m/>
    <m/>
    <x v="5"/>
    <x v="0"/>
    <m/>
  </r>
  <r>
    <d v="2019-05-27T00:00:00"/>
    <x v="11"/>
    <x v="0"/>
    <x v="11"/>
    <m/>
    <m/>
    <s v="Guide fil"/>
    <s v="Frottement du guide avec le fil + fuite d'eau"/>
    <s v="Réparation"/>
    <s v="Rebaguage du guide fil + Changement d'un raccord d'eau"/>
    <d v="2019-05-27T00:00:00"/>
    <m/>
    <m/>
    <x v="5"/>
    <x v="0"/>
    <m/>
  </r>
  <r>
    <d v="2019-05-28T00:00:00"/>
    <x v="3"/>
    <x v="1"/>
    <x v="3"/>
    <m/>
    <m/>
    <s v="Compresseur GA22"/>
    <s v="Fuite au niveau de l'élement + courroie endommagée "/>
    <s v="Réparation"/>
    <s v="Changement des courroies + remplissage d'huile "/>
    <d v="2019-05-28T00:00:00"/>
    <s v="Attente livraison arret d'huile"/>
    <m/>
    <x v="5"/>
    <x v="0"/>
    <m/>
  </r>
  <r>
    <d v="2019-05-28T00:00:00"/>
    <x v="2"/>
    <x v="1"/>
    <x v="2"/>
    <m/>
    <m/>
    <s v="Transbordeur"/>
    <s v="Pb éléctrique "/>
    <s v="Réparation"/>
    <s v="Réparation du cable éléctrique endommagé"/>
    <d v="2019-05-28T00:00:00"/>
    <m/>
    <m/>
    <x v="5"/>
    <x v="0"/>
    <m/>
  </r>
  <r>
    <d v="2019-05-28T00:00:00"/>
    <x v="10"/>
    <x v="0"/>
    <x v="10"/>
    <m/>
    <m/>
    <s v="Cercleuse"/>
    <s v="Panne cercleuse"/>
    <s v="Réparation"/>
    <s v="Débloquage du tir ceinture"/>
    <d v="2019-05-28T00:00:00"/>
    <m/>
    <m/>
    <x v="5"/>
    <x v="0"/>
    <m/>
  </r>
  <r>
    <d v="2019-05-29T00:00:00"/>
    <x v="27"/>
    <x v="2"/>
    <x v="27"/>
    <m/>
    <m/>
    <s v="Balance de mesure"/>
    <s v="Fuite de ciment "/>
    <s v="Réparation"/>
    <s v="Changement de la trappe"/>
    <d v="2019-05-29T00:00:00"/>
    <m/>
    <m/>
    <x v="5"/>
    <x v="0"/>
    <m/>
  </r>
  <r>
    <d v="2019-05-29T00:00:00"/>
    <x v="3"/>
    <x v="1"/>
    <x v="3"/>
    <m/>
    <m/>
    <s v="PResse"/>
    <s v="Courroie soudable endommagée"/>
    <s v="Réparation"/>
    <s v="Changement de la courroie thermosoudable"/>
    <d v="2019-05-29T00:00:00"/>
    <m/>
    <m/>
    <x v="5"/>
    <x v="0"/>
    <m/>
  </r>
  <r>
    <d v="2019-05-29T00:00:00"/>
    <x v="3"/>
    <x v="1"/>
    <x v="3"/>
    <m/>
    <m/>
    <s v="Presse"/>
    <s v="Vitesse du pousse planche élevée"/>
    <s v="Réglage"/>
    <s v="Réglage du débit d'huile"/>
    <d v="2019-05-29T00:00:00"/>
    <m/>
    <m/>
    <x v="5"/>
    <x v="0"/>
    <m/>
  </r>
  <r>
    <d v="2019-05-29T00:00:00"/>
    <x v="3"/>
    <x v="1"/>
    <x v="3"/>
    <m/>
    <m/>
    <s v="Table vibrante"/>
    <s v="Pb de calage de la table vibrante"/>
    <s v="Réglage"/>
    <s v="Calage de la table vibrante"/>
    <d v="2019-05-29T00:00:00"/>
    <m/>
    <m/>
    <x v="5"/>
    <x v="0"/>
    <m/>
  </r>
  <r>
    <d v="2019-05-29T00:00:00"/>
    <x v="4"/>
    <x v="0"/>
    <x v="4"/>
    <m/>
    <m/>
    <s v="Devidoir"/>
    <s v="Panne de devidoir"/>
    <s v="Réparation"/>
    <s v="Changement de prise rapide d'air comprimé"/>
    <d v="2019-05-29T00:00:00"/>
    <m/>
    <m/>
    <x v="5"/>
    <x v="0"/>
    <m/>
  </r>
  <r>
    <d v="2019-05-29T00:00:00"/>
    <x v="14"/>
    <x v="4"/>
    <x v="14"/>
    <m/>
    <m/>
    <s v="Alimentation générale"/>
    <s v="Panne electrique"/>
    <s v="Réparation"/>
    <s v="Réarmement du disjoncteur général"/>
    <d v="2019-05-29T00:00:00"/>
    <m/>
    <m/>
    <x v="5"/>
    <x v="0"/>
    <m/>
  </r>
  <r>
    <d v="2019-05-30T00:00:00"/>
    <x v="2"/>
    <x v="1"/>
    <x v="2"/>
    <m/>
    <m/>
    <s v="Table vibrante"/>
    <s v="Pb de calage de la table vibrante"/>
    <s v="Réglage"/>
    <s v="Calage de la table vibrante"/>
    <d v="2019-05-30T00:00:00"/>
    <m/>
    <m/>
    <x v="5"/>
    <x v="0"/>
    <m/>
  </r>
  <r>
    <d v="2019-05-30T00:00:00"/>
    <x v="2"/>
    <x v="1"/>
    <x v="2"/>
    <m/>
    <m/>
    <s v="Cercleuse 08"/>
    <s v="Cerclage non effectué"/>
    <s v="Réglage"/>
    <s v="Réglage de l'embrayage"/>
    <d v="2019-05-30T00:00:00"/>
    <m/>
    <m/>
    <x v="5"/>
    <x v="0"/>
    <m/>
  </r>
  <r>
    <d v="2019-05-30T00:00:00"/>
    <x v="3"/>
    <x v="1"/>
    <x v="3"/>
    <m/>
    <m/>
    <s v="Moule HI20"/>
    <s v="Achat nouveau moule"/>
    <s v="Préparation"/>
    <s v="Soudage des cales du moule"/>
    <d v="2019-05-30T00:00:00"/>
    <m/>
    <m/>
    <x v="5"/>
    <x v="0"/>
    <m/>
  </r>
  <r>
    <d v="2019-05-30T00:00:00"/>
    <x v="0"/>
    <x v="0"/>
    <x v="0"/>
    <m/>
    <m/>
    <s v="Bloc de soudure"/>
    <s v="Soudage non effectué (thyristor endommagé)"/>
    <s v="Réparation"/>
    <s v="Dépannage, un thyristor remplie la fonction de deux thyristor"/>
    <d v="2019-05-30T00:00:00"/>
    <s v="Attente livraison thyristor"/>
    <n v="2"/>
    <x v="5"/>
    <x v="0"/>
    <m/>
  </r>
  <r>
    <d v="2019-06-01T00:00:00"/>
    <x v="2"/>
    <x v="1"/>
    <x v="2"/>
    <m/>
    <m/>
    <s v="Tiroir chargeur"/>
    <s v="Clavetage du reducteur d'agitation endommagé"/>
    <s v="Changement"/>
    <s v="Changement du réducteur d'agitation"/>
    <d v="2019-06-01T00:00:00"/>
    <m/>
    <m/>
    <x v="4"/>
    <x v="0"/>
    <m/>
  </r>
  <r>
    <d v="2019-06-01T00:00:00"/>
    <x v="3"/>
    <x v="1"/>
    <x v="3"/>
    <m/>
    <m/>
    <s v="Cercleuse 08"/>
    <s v="Soudage non effectué"/>
    <s v="Réglage"/>
    <s v="Réglage de la température de soudage"/>
    <d v="2019-06-01T00:00:00"/>
    <m/>
    <m/>
    <x v="4"/>
    <x v="0"/>
    <m/>
  </r>
  <r>
    <d v="2019-06-03T00:00:00"/>
    <x v="2"/>
    <x v="1"/>
    <x v="2"/>
    <m/>
    <m/>
    <s v="Table vibrante"/>
    <s v="Courroie 1760 endommagée"/>
    <s v="Réparation"/>
    <s v="Changement d'une courroie 1760 + calage de la table vibrante"/>
    <d v="2019-06-03T00:00:00"/>
    <m/>
    <m/>
    <x v="4"/>
    <x v="0"/>
    <m/>
  </r>
  <r>
    <d v="2019-06-03T00:00:00"/>
    <x v="3"/>
    <x v="1"/>
    <x v="3"/>
    <m/>
    <m/>
    <s v="Descenseur"/>
    <s v="Pb de freinage du moteur du descensseur"/>
    <s v="Réparation"/>
    <s v="Changement du disque de frein endommagé"/>
    <d v="2019-06-03T00:00:00"/>
    <m/>
    <m/>
    <x v="4"/>
    <x v="0"/>
    <m/>
  </r>
  <r>
    <d v="2019-06-03T00:00:00"/>
    <x v="21"/>
    <x v="4"/>
    <x v="21"/>
    <m/>
    <m/>
    <s v="Treuil principal"/>
    <s v="Guide cable endommagé"/>
    <s v="Réparation"/>
    <s v="Elimination des morceaux restants du guide cable et remise en place du cable antigiratoire"/>
    <d v="2019-06-03T00:00:00"/>
    <s v="Prévoir achat guide cable. Suivi auprès chaque jour en féraille"/>
    <m/>
    <x v="4"/>
    <x v="0"/>
    <m/>
  </r>
  <r>
    <d v="2019-06-04T00:00:00"/>
    <x v="3"/>
    <x v="1"/>
    <x v="3"/>
    <m/>
    <m/>
    <s v="Pupitre de commande"/>
    <s v="Touche entrée de la machine endommagé"/>
    <s v="Réparation"/>
    <s v="Changement de la console de commande"/>
    <d v="2019-06-04T00:00:00"/>
    <s v="Dépanné - Console disponible en cas de problème"/>
    <m/>
    <x v="4"/>
    <x v="0"/>
    <m/>
  </r>
  <r>
    <d v="2019-06-04T00:00:00"/>
    <x v="3"/>
    <x v="1"/>
    <x v="3"/>
    <m/>
    <m/>
    <s v="Adjuvant"/>
    <s v="Circuit bouché"/>
    <s v="Réparation"/>
    <s v="Nettoyage du clapet antiretour "/>
    <d v="2019-06-04T00:00:00"/>
    <m/>
    <m/>
    <x v="4"/>
    <x v="0"/>
    <m/>
  </r>
  <r>
    <d v="2019-06-10T00:00:00"/>
    <x v="20"/>
    <x v="0"/>
    <x v="20"/>
    <m/>
    <m/>
    <s v="Poste de soudage"/>
    <s v="Panne electrique"/>
    <s v="Réparation"/>
    <s v="Changement du transformateur de courant"/>
    <d v="2019-06-10T00:00:00"/>
    <m/>
    <m/>
    <x v="4"/>
    <x v="0"/>
    <m/>
  </r>
  <r>
    <d v="2019-06-11T00:00:00"/>
    <x v="11"/>
    <x v="0"/>
    <x v="11"/>
    <m/>
    <m/>
    <s v="Cabestan "/>
    <s v="Surface cabestan usée"/>
    <s v="Réparation"/>
    <s v="Rechargement de la surface du cabestan par soudage"/>
    <d v="2019-06-11T00:00:00"/>
    <m/>
    <m/>
    <x v="4"/>
    <x v="0"/>
    <m/>
  </r>
  <r>
    <d v="2019-06-12T00:00:00"/>
    <x v="2"/>
    <x v="1"/>
    <x v="2"/>
    <m/>
    <m/>
    <s v="Transbordeur"/>
    <s v="Usure sur les rails du transbordeur"/>
    <s v="Réparation"/>
    <s v="Changement d'un galet au niveau de la plateforme"/>
    <d v="2019-06-12T00:00:00"/>
    <m/>
    <m/>
    <x v="4"/>
    <x v="0"/>
    <m/>
  </r>
  <r>
    <d v="2019-06-12T00:00:00"/>
    <x v="3"/>
    <x v="1"/>
    <x v="3"/>
    <m/>
    <m/>
    <s v="Groupe hydraulique"/>
    <s v="Echauffement anormal du moteur du groupe hydraulique"/>
    <s v="Changement"/>
    <s v="Changement du moteur du groupe et changement du flecteur d'accouplement"/>
    <d v="2019-06-12T00:00:00"/>
    <m/>
    <m/>
    <x v="4"/>
    <x v="0"/>
    <m/>
  </r>
  <r>
    <d v="2019-06-13T00:00:00"/>
    <x v="20"/>
    <x v="0"/>
    <x v="20"/>
    <m/>
    <m/>
    <s v="Cassette PR 10"/>
    <s v="Jeu sur galets"/>
    <s v="Réparation"/>
    <s v="Changemene de 2 roulements 32008"/>
    <d v="2019-06-13T00:00:00"/>
    <m/>
    <m/>
    <x v="4"/>
    <x v="0"/>
    <m/>
  </r>
  <r>
    <d v="2019-06-13T00:00:00"/>
    <x v="0"/>
    <x v="0"/>
    <x v="0"/>
    <m/>
    <m/>
    <s v="Bloc de soudure"/>
    <s v="Vis de fixation de la presse cassé"/>
    <s v="Réparation"/>
    <s v="Changement des vis de fixation"/>
    <d v="2019-06-13T00:00:00"/>
    <m/>
    <m/>
    <x v="4"/>
    <x v="0"/>
    <m/>
  </r>
  <r>
    <d v="2019-06-13T00:00:00"/>
    <x v="20"/>
    <x v="0"/>
    <x v="20"/>
    <m/>
    <m/>
    <s v="Cassette PR3,40"/>
    <s v="Fuite d'eau"/>
    <s v="Réparation"/>
    <s v="Changement d'un flexible d'eau"/>
    <d v="2019-06-13T00:00:00"/>
    <m/>
    <m/>
    <x v="4"/>
    <x v="0"/>
    <m/>
  </r>
  <r>
    <d v="2019-06-13T00:00:00"/>
    <x v="10"/>
    <x v="0"/>
    <x v="10"/>
    <m/>
    <m/>
    <s v="Bobinoir"/>
    <s v="Pb démarrage machine"/>
    <s v="Réparation"/>
    <s v="Dépannage du variateur "/>
    <d v="2020-02-10T00:00:00"/>
    <s v="Attente réception variateur neuf prévu fin décembre. Envoi le 14/12/19"/>
    <s v="=SI(ESTVIDE([@[Date"/>
    <x v="1"/>
    <x v="1"/>
    <m/>
  </r>
  <r>
    <d v="2019-06-13T00:00:00"/>
    <x v="4"/>
    <x v="0"/>
    <x v="4"/>
    <m/>
    <m/>
    <s v="Bloc de soudure"/>
    <s v="PB porte electrode"/>
    <s v="Réparation"/>
    <s v="Extraction d'une vis endommagé perçage taraudage "/>
    <d v="2019-06-13T00:00:00"/>
    <s v="Achat urgent de filets rapportés diamètre 12 "/>
    <m/>
    <x v="4"/>
    <x v="0"/>
    <m/>
  </r>
  <r>
    <d v="2019-06-14T00:00:00"/>
    <x v="20"/>
    <x v="0"/>
    <x v="20"/>
    <m/>
    <m/>
    <s v="Cassette PR3,40"/>
    <s v="Circuit de graissage bouché"/>
    <s v="Réparation"/>
    <s v="Changement d'un flexible de graisse"/>
    <d v="2019-06-14T00:00:00"/>
    <m/>
    <m/>
    <x v="4"/>
    <x v="0"/>
    <m/>
  </r>
  <r>
    <d v="2019-06-14T00:00:00"/>
    <x v="22"/>
    <x v="0"/>
    <x v="22"/>
    <m/>
    <m/>
    <s v="Dresseuse"/>
    <s v="Dressage defectueux"/>
    <s v="Réparation"/>
    <s v="Démontage du système de dressage - arbre de transmission usé"/>
    <d v="2019-06-27T00:00:00"/>
    <s v="Attente confection d'un nouvel arbre commandé chez tourneur"/>
    <s v="=SI(ESTVIDE([@[Date"/>
    <x v="4"/>
    <x v="0"/>
    <m/>
  </r>
  <r>
    <d v="2019-06-14T00:00:00"/>
    <x v="2"/>
    <x v="1"/>
    <x v="2"/>
    <m/>
    <m/>
    <s v="Presse"/>
    <s v="Fuite d'huile au niveau du pilon"/>
    <s v="Changement"/>
    <s v="Changement du vérin du pilon"/>
    <d v="2019-06-14T00:00:00"/>
    <s v="Prévoir le changement de l'arret d'huile endommagée"/>
    <m/>
    <x v="4"/>
    <x v="0"/>
    <m/>
  </r>
  <r>
    <d v="2019-06-15T00:00:00"/>
    <x v="2"/>
    <x v="1"/>
    <x v="2"/>
    <m/>
    <m/>
    <s v="Descenseur"/>
    <s v="Rupture des courroies"/>
    <s v="Changement"/>
    <s v="Changement des courroies endommagées"/>
    <d v="2019-06-15T00:00:00"/>
    <m/>
    <m/>
    <x v="4"/>
    <x v="0"/>
    <m/>
  </r>
  <r>
    <d v="2019-06-16T00:00:00"/>
    <x v="0"/>
    <x v="0"/>
    <x v="0"/>
    <m/>
    <m/>
    <s v="Pousse fil"/>
    <s v="Panne pousse fil"/>
    <s v="Réparation"/>
    <s v="Réglage de la came à l'état initial"/>
    <d v="2019-06-16T00:00:00"/>
    <m/>
    <m/>
    <x v="4"/>
    <x v="0"/>
    <m/>
  </r>
  <r>
    <d v="2019-06-17T00:00:00"/>
    <x v="0"/>
    <x v="0"/>
    <x v="0"/>
    <m/>
    <m/>
    <s v="Bloc de soudure"/>
    <s v="Panne de presse de soudage"/>
    <s v="Réparation"/>
    <s v="Changement du kit joints usé"/>
    <d v="2019-06-17T00:00:00"/>
    <m/>
    <m/>
    <x v="4"/>
    <x v="0"/>
    <m/>
  </r>
  <r>
    <d v="2019-06-17T00:00:00"/>
    <x v="28"/>
    <x v="0"/>
    <x v="28"/>
    <m/>
    <m/>
    <s v="Système de tirage"/>
    <s v="Fuite d'huile"/>
    <s v="Réparation"/>
    <s v="Changement des roulements et arrêts d'huile"/>
    <d v="2019-06-19T00:00:00"/>
    <m/>
    <s v="=SI(ESTVIDE([@[Date"/>
    <x v="4"/>
    <x v="0"/>
    <m/>
  </r>
  <r>
    <d v="2019-06-17T00:00:00"/>
    <x v="3"/>
    <x v="1"/>
    <x v="3"/>
    <m/>
    <m/>
    <s v="Pince"/>
    <s v="Frein moteur endommagé"/>
    <s v="Réparation"/>
    <s v="Changement du moteur de levage ( par moteur neiri motori"/>
    <d v="2019-06-17T00:00:00"/>
    <m/>
    <m/>
    <x v="4"/>
    <x v="0"/>
    <m/>
  </r>
  <r>
    <d v="2019-06-17T00:00:00"/>
    <x v="2"/>
    <x v="1"/>
    <x v="2"/>
    <m/>
    <m/>
    <s v="Malaxeur"/>
    <s v="Pb vibreur porte malaxeur"/>
    <s v="Réparation"/>
    <s v="Elimination d'un court circuit prevoir remplacement du moteur vibreur"/>
    <d v="2019-06-17T00:00:00"/>
    <m/>
    <m/>
    <x v="4"/>
    <x v="0"/>
    <m/>
  </r>
  <r>
    <d v="2019-06-17T00:00:00"/>
    <x v="3"/>
    <x v="1"/>
    <x v="3"/>
    <m/>
    <m/>
    <s v="Compresseur GA 22 "/>
    <s v="Retour Air diffusion"/>
    <s v="Réparation"/>
    <s v="Changement du compteur + Tige soupape d'admission"/>
    <d v="2019-06-17T00:00:00"/>
    <m/>
    <m/>
    <x v="4"/>
    <x v="0"/>
    <m/>
  </r>
  <r>
    <d v="2019-06-17T00:00:00"/>
    <x v="1"/>
    <x v="0"/>
    <x v="1"/>
    <m/>
    <m/>
    <s v="Variateur Cabestan 3"/>
    <s v="Reception du variateur"/>
    <s v="Montage"/>
    <s v="Montage du variateur + essai"/>
    <d v="2019-06-17T00:00:00"/>
    <m/>
    <m/>
    <x v="4"/>
    <x v="0"/>
    <m/>
  </r>
  <r>
    <d v="2019-06-18T00:00:00"/>
    <x v="2"/>
    <x v="1"/>
    <x v="2"/>
    <m/>
    <m/>
    <s v="Tiroir chargeur"/>
    <s v="Fissure au niveau du cadre supérieur du pilon"/>
    <s v="Réparation"/>
    <s v="Démontage - soudage de la partie fissurée - Montage du tiroir"/>
    <d v="2019-06-18T00:00:00"/>
    <m/>
    <m/>
    <x v="4"/>
    <x v="0"/>
    <m/>
  </r>
  <r>
    <d v="2019-06-18T00:00:00"/>
    <x v="2"/>
    <x v="1"/>
    <x v="2"/>
    <m/>
    <m/>
    <s v="Silo à ciment"/>
    <s v="Blocage du silo 7"/>
    <s v="Réparation"/>
    <s v="Extraction d'un corps etranger au niveau de la bouche du silo"/>
    <d v="2019-06-18T00:00:00"/>
    <m/>
    <m/>
    <x v="4"/>
    <x v="0"/>
    <m/>
  </r>
  <r>
    <d v="2019-06-19T00:00:00"/>
    <x v="3"/>
    <x v="1"/>
    <x v="3"/>
    <m/>
    <m/>
    <s v="Cercleuse 06"/>
    <s v="Le cerclage ne s'effectue pas"/>
    <s v="Réparation"/>
    <s v="Soufflage des cercleuses et nettoyage de la tete chauffante "/>
    <d v="2019-06-19T00:00:00"/>
    <m/>
    <m/>
    <x v="4"/>
    <x v="0"/>
    <m/>
  </r>
  <r>
    <d v="2019-06-19T00:00:00"/>
    <x v="0"/>
    <x v="0"/>
    <x v="0"/>
    <m/>
    <m/>
    <s v="Bloc de soudure"/>
    <s v="Panne de pousse fils d'injection"/>
    <s v="Réparation"/>
    <s v="Elimination du jeu entre l'hexagone et les bieles"/>
    <d v="2019-06-19T00:00:00"/>
    <m/>
    <m/>
    <x v="4"/>
    <x v="0"/>
    <m/>
  </r>
  <r>
    <d v="2019-06-20T00:00:00"/>
    <x v="2"/>
    <x v="1"/>
    <x v="2"/>
    <m/>
    <m/>
    <s v="Malaxeur"/>
    <s v="Arret répétitif du moteur vibreur de la porte"/>
    <s v="Réparation"/>
    <s v="Changement du moteur vibreur"/>
    <d v="2019-06-20T00:00:00"/>
    <m/>
    <m/>
    <x v="4"/>
    <x v="0"/>
    <m/>
  </r>
  <r>
    <d v="2019-06-20T00:00:00"/>
    <x v="0"/>
    <x v="0"/>
    <x v="0"/>
    <m/>
    <m/>
    <s v="Bloc de soudure"/>
    <s v="Panne de presse de soudage"/>
    <s v="Réparation"/>
    <s v="Changement du kit joints usé"/>
    <d v="2019-06-20T00:00:00"/>
    <m/>
    <m/>
    <x v="4"/>
    <x v="0"/>
    <m/>
  </r>
  <r>
    <d v="2019-06-21T00:00:00"/>
    <x v="20"/>
    <x v="0"/>
    <x v="20"/>
    <m/>
    <m/>
    <s v="Cercleuse"/>
    <s v="Panne cercleuse"/>
    <s v="Réparation"/>
    <s v="Changement des goupilles de la machoire d'assemblage"/>
    <d v="2019-06-21T00:00:00"/>
    <m/>
    <m/>
    <x v="4"/>
    <x v="0"/>
    <m/>
  </r>
  <r>
    <d v="2019-06-21T00:00:00"/>
    <x v="1"/>
    <x v="0"/>
    <x v="1"/>
    <m/>
    <m/>
    <s v="Pompe à graisse"/>
    <s v="Panne pompe à graisse"/>
    <s v="Réparation"/>
    <s v="Nettoyage interne de la pompe à graisse"/>
    <d v="2019-06-21T00:00:00"/>
    <m/>
    <m/>
    <x v="4"/>
    <x v="0"/>
    <m/>
  </r>
  <r>
    <d v="2019-06-21T00:00:00"/>
    <x v="0"/>
    <x v="0"/>
    <x v="0"/>
    <m/>
    <m/>
    <s v="Lance trame"/>
    <s v="Panne aimant lance trame"/>
    <s v="Réparation"/>
    <s v="Elimination d'un mauvais contact"/>
    <d v="2019-06-21T00:00:00"/>
    <m/>
    <m/>
    <x v="4"/>
    <x v="0"/>
    <m/>
  </r>
  <r>
    <d v="2019-06-22T00:00:00"/>
    <x v="3"/>
    <x v="1"/>
    <x v="3"/>
    <m/>
    <m/>
    <s v="Transbordeur"/>
    <s v="Ressort du transbordeur endommagé"/>
    <s v="Réparation"/>
    <s v="Changement du ressort endommagé"/>
    <d v="2019-06-22T00:00:00"/>
    <m/>
    <m/>
    <x v="4"/>
    <x v="0"/>
    <m/>
  </r>
  <r>
    <d v="2019-06-22T00:00:00"/>
    <x v="2"/>
    <x v="1"/>
    <x v="2"/>
    <m/>
    <m/>
    <s v="Tiroir chargeur"/>
    <s v="Panne electrique"/>
    <s v="Réparation"/>
    <s v="Elimination d'un manque de phase au niveau du moteur d'agitation"/>
    <d v="2019-06-22T00:00:00"/>
    <m/>
    <m/>
    <x v="4"/>
    <x v="0"/>
    <m/>
  </r>
  <r>
    <d v="2019-06-25T00:00:00"/>
    <x v="20"/>
    <x v="0"/>
    <x v="20"/>
    <m/>
    <m/>
    <s v="Cassette PR 10"/>
    <s v="Fuite d'eau"/>
    <s v="Réparation"/>
    <s v="Changement d'un flexible d'eau"/>
    <d v="2019-06-25T00:00:00"/>
    <m/>
    <m/>
    <x v="4"/>
    <x v="0"/>
    <m/>
  </r>
  <r>
    <d v="2019-06-25T00:00:00"/>
    <x v="12"/>
    <x v="0"/>
    <x v="12"/>
    <m/>
    <m/>
    <s v="Dresseuse"/>
    <s v="Courroies de transmission endommagées"/>
    <s v="Réparation"/>
    <s v="Changement des courroies endommagées"/>
    <d v="2019-06-26T00:00:00"/>
    <m/>
    <s v="=SI(ESTVIDE([@[Date"/>
    <x v="4"/>
    <x v="0"/>
    <m/>
  </r>
  <r>
    <d v="2019-06-26T00:00:00"/>
    <x v="16"/>
    <x v="0"/>
    <x v="16"/>
    <m/>
    <m/>
    <s v="Circuit air comprimé"/>
    <s v="Flexible d'air usé"/>
    <s v="Réparation"/>
    <s v="Changement du flexible"/>
    <d v="2019-06-26T00:00:00"/>
    <m/>
    <m/>
    <x v="4"/>
    <x v="0"/>
    <m/>
  </r>
  <r>
    <d v="2019-06-27T00:00:00"/>
    <x v="3"/>
    <x v="1"/>
    <x v="3"/>
    <m/>
    <m/>
    <s v="Cercleuse 08"/>
    <s v="Le cerclage ne s'effectue pas"/>
    <s v="Réparation"/>
    <s v="Reglage de la température de soudage"/>
    <d v="2019-06-27T00:00:00"/>
    <m/>
    <m/>
    <x v="4"/>
    <x v="0"/>
    <m/>
  </r>
  <r>
    <d v="2019-06-27T00:00:00"/>
    <x v="1"/>
    <x v="0"/>
    <x v="1"/>
    <m/>
    <m/>
    <s v="Cassette PR 3,80"/>
    <s v="Surface du fil non conforme"/>
    <s v="Réglage"/>
    <s v="Zommage des galets"/>
    <d v="2019-06-27T00:00:00"/>
    <m/>
    <m/>
    <x v="4"/>
    <x v="0"/>
    <m/>
  </r>
  <r>
    <d v="2019-06-27T00:00:00"/>
    <x v="2"/>
    <x v="1"/>
    <x v="2"/>
    <m/>
    <m/>
    <s v="PResse"/>
    <s v="Fissure de la table vibrante"/>
    <s v="Changement"/>
    <s v="Changement de la table vibrante"/>
    <d v="2019-06-27T00:00:00"/>
    <m/>
    <m/>
    <x v="4"/>
    <x v="0"/>
    <m/>
  </r>
  <r>
    <d v="2019-06-28T00:00:00"/>
    <x v="0"/>
    <x v="0"/>
    <x v="0"/>
    <m/>
    <m/>
    <s v="Bloc de soudure"/>
    <s v="Panne de presse de soudage"/>
    <s v="Réparation"/>
    <s v="Changement du kit joints usé"/>
    <d v="2019-06-28T00:00:00"/>
    <m/>
    <m/>
    <x v="4"/>
    <x v="0"/>
    <m/>
  </r>
  <r>
    <d v="2019-07-01T00:00:00"/>
    <x v="3"/>
    <x v="1"/>
    <x v="3"/>
    <m/>
    <m/>
    <s v="Cercleuse 08"/>
    <s v="Lame de soudure endommagée"/>
    <s v="Réparation"/>
    <s v="Changement de la lame de soudure"/>
    <d v="2019-07-01T00:00:00"/>
    <m/>
    <m/>
    <x v="6"/>
    <x v="0"/>
    <m/>
  </r>
  <r>
    <d v="2019-07-01T00:00:00"/>
    <x v="2"/>
    <x v="1"/>
    <x v="2"/>
    <m/>
    <m/>
    <s v="Presse"/>
    <s v="Pb de synchronisation entre pilon et vibreur"/>
    <s v="Réparation"/>
    <s v="Changement d'un relais à broche endommagé"/>
    <d v="2019-07-01T00:00:00"/>
    <m/>
    <m/>
    <x v="6"/>
    <x v="0"/>
    <m/>
  </r>
  <r>
    <d v="2019-07-01T00:00:00"/>
    <x v="4"/>
    <x v="0"/>
    <x v="4"/>
    <m/>
    <m/>
    <s v="Table élévatrice"/>
    <s v="Panne de table élevatrice"/>
    <s v="Réparation"/>
    <s v="Réglage de la position de la table"/>
    <d v="2019-07-01T00:00:00"/>
    <m/>
    <m/>
    <x v="6"/>
    <x v="0"/>
    <m/>
  </r>
  <r>
    <d v="2019-07-01T00:00:00"/>
    <x v="29"/>
    <x v="4"/>
    <x v="29"/>
    <m/>
    <m/>
    <s v="Alimentation générale"/>
    <s v="Pb alimentation"/>
    <s v="Réparation"/>
    <s v="Installation d'un nouveau chariot collecteur"/>
    <d v="2019-07-01T00:00:00"/>
    <m/>
    <m/>
    <x v="6"/>
    <x v="0"/>
    <m/>
  </r>
  <r>
    <d v="2019-07-03T00:00:00"/>
    <x v="3"/>
    <x v="1"/>
    <x v="3"/>
    <m/>
    <m/>
    <s v="Tiroir chargeur"/>
    <s v="Roulements de galets usés"/>
    <s v="Réparation"/>
    <s v="Changement des roulement de galets usés"/>
    <d v="2019-07-03T00:00:00"/>
    <m/>
    <m/>
    <x v="6"/>
    <x v="0"/>
    <m/>
  </r>
  <r>
    <d v="2019-07-03T00:00:00"/>
    <x v="3"/>
    <x v="1"/>
    <x v="3"/>
    <m/>
    <m/>
    <s v="Skip"/>
    <s v="Flexion de l'arbe central de guidage du skip"/>
    <s v="Réparation"/>
    <s v="Dressage de l'arbre du skip"/>
    <d v="2019-07-03T00:00:00"/>
    <m/>
    <m/>
    <x v="6"/>
    <x v="0"/>
    <m/>
  </r>
  <r>
    <d v="2019-07-04T00:00:00"/>
    <x v="16"/>
    <x v="0"/>
    <x v="16"/>
    <m/>
    <m/>
    <s v="Cisaille"/>
    <s v="Lame de cisaille usée"/>
    <s v="Réparation"/>
    <s v="Confection d'une lame + vérin de cisaille"/>
    <d v="2019-07-15T00:00:00"/>
    <m/>
    <s v="=SI(ESTVIDE([@[Date"/>
    <x v="6"/>
    <x v="0"/>
    <m/>
  </r>
  <r>
    <d v="2019-07-04T00:00:00"/>
    <x v="0"/>
    <x v="0"/>
    <x v="0"/>
    <m/>
    <m/>
    <s v="Bloc de soudure"/>
    <s v="Nécessaire usée "/>
    <s v="Réparation"/>
    <s v="Changement de nécessaire et nettoyage de la presse"/>
    <d v="2019-07-04T00:00:00"/>
    <m/>
    <m/>
    <x v="6"/>
    <x v="0"/>
    <m/>
  </r>
  <r>
    <d v="2019-07-05T00:00:00"/>
    <x v="0"/>
    <x v="0"/>
    <x v="0"/>
    <m/>
    <m/>
    <s v="Bloc de soudure"/>
    <s v="Vis de fixation de la presse cassé"/>
    <s v="Réparation"/>
    <s v="Changement des vis de fixation"/>
    <d v="2019-07-05T00:00:00"/>
    <m/>
    <m/>
    <x v="6"/>
    <x v="0"/>
    <m/>
  </r>
  <r>
    <d v="2019-07-06T00:00:00"/>
    <x v="3"/>
    <x v="1"/>
    <x v="3"/>
    <m/>
    <m/>
    <s v="Transbordeur"/>
    <s v="Panne électrique"/>
    <s v="Réparation"/>
    <s v="Elimination d'un manque de phase"/>
    <d v="2019-07-06T00:00:00"/>
    <m/>
    <m/>
    <x v="6"/>
    <x v="0"/>
    <m/>
  </r>
  <r>
    <d v="2019-07-06T00:00:00"/>
    <x v="20"/>
    <x v="0"/>
    <x v="20"/>
    <m/>
    <m/>
    <s v="Cassette PR 12"/>
    <s v="Pb galet crantés"/>
    <s v="Changement"/>
    <s v="Changement d'un jeu complet de galets crantés"/>
    <d v="2019-07-06T00:00:00"/>
    <m/>
    <m/>
    <x v="6"/>
    <x v="0"/>
    <m/>
  </r>
  <r>
    <d v="2019-07-06T00:00:00"/>
    <x v="20"/>
    <x v="0"/>
    <x v="20"/>
    <m/>
    <m/>
    <s v="Cassete PR 10"/>
    <s v="Fuite d'eau"/>
    <s v="Réparation"/>
    <s v="Changement du flexible endommagé"/>
    <d v="2019-07-06T00:00:00"/>
    <m/>
    <m/>
    <x v="6"/>
    <x v="0"/>
    <m/>
  </r>
  <r>
    <d v="2019-07-06T00:00:00"/>
    <x v="1"/>
    <x v="0"/>
    <x v="1"/>
    <m/>
    <m/>
    <s v="Danseurs"/>
    <s v="Panne danseur 1 - 2 - 3 "/>
    <s v="Réparation"/>
    <s v="Changement des galets guide fils endommagés"/>
    <d v="2019-07-06T00:00:00"/>
    <m/>
    <m/>
    <x v="6"/>
    <x v="0"/>
    <m/>
  </r>
  <r>
    <d v="2019-07-06T00:00:00"/>
    <x v="20"/>
    <x v="0"/>
    <x v="20"/>
    <m/>
    <m/>
    <s v="Cassette PR 10 "/>
    <s v="Galets usés"/>
    <s v="Réparation"/>
    <s v="Changement d'u galet usé"/>
    <d v="2019-07-06T00:00:00"/>
    <m/>
    <m/>
    <x v="6"/>
    <x v="0"/>
    <m/>
  </r>
  <r>
    <d v="2019-07-06T00:00:00"/>
    <x v="11"/>
    <x v="0"/>
    <x v="11"/>
    <m/>
    <m/>
    <s v="Cabestan"/>
    <s v="Niveau d'huile bas"/>
    <s v="Contrôle"/>
    <s v="Remplissage d'huile"/>
    <d v="2019-07-06T00:00:00"/>
    <m/>
    <m/>
    <x v="6"/>
    <x v="0"/>
    <m/>
  </r>
  <r>
    <d v="2019-07-08T00:00:00"/>
    <x v="3"/>
    <x v="1"/>
    <x v="3"/>
    <m/>
    <m/>
    <s v="Tiroir chargeur"/>
    <s v="Grille endommagée"/>
    <s v="Changement"/>
    <s v="Changement de la grille d'agitation"/>
    <d v="2019-07-08T00:00:00"/>
    <m/>
    <m/>
    <x v="6"/>
    <x v="0"/>
    <m/>
  </r>
  <r>
    <d v="2019-07-08T00:00:00"/>
    <x v="20"/>
    <x v="0"/>
    <x v="20"/>
    <m/>
    <m/>
    <s v="Cassette PR 4 "/>
    <s v="Galet usé"/>
    <s v="Réparation"/>
    <s v="Changement d'un galet usé"/>
    <d v="2019-07-08T00:00:00"/>
    <m/>
    <m/>
    <x v="6"/>
    <x v="0"/>
    <m/>
  </r>
  <r>
    <d v="2019-07-09T00:00:00"/>
    <x v="20"/>
    <x v="0"/>
    <x v="20"/>
    <m/>
    <m/>
    <s v="Cassette PR 9"/>
    <s v="Fuite d'eau"/>
    <s v="Réparation"/>
    <s v="Changement d'un flexible d'eau"/>
    <d v="2019-07-09T00:00:00"/>
    <m/>
    <m/>
    <x v="6"/>
    <x v="0"/>
    <m/>
  </r>
  <r>
    <d v="2019-07-10T00:00:00"/>
    <x v="2"/>
    <x v="1"/>
    <x v="2"/>
    <m/>
    <m/>
    <s v="Pince"/>
    <s v="problème sur moteur réducteur de pince"/>
    <s v="Réparation"/>
    <s v="Changement du moteur et du réducteur dont le clavetage est usé"/>
    <d v="2019-07-10T00:00:00"/>
    <m/>
    <m/>
    <x v="6"/>
    <x v="0"/>
    <m/>
  </r>
  <r>
    <d v="2019-07-10T00:00:00"/>
    <x v="20"/>
    <x v="0"/>
    <x v="20"/>
    <m/>
    <m/>
    <s v="Cercleuse"/>
    <s v="Goupille endommagées"/>
    <s v="Réparation"/>
    <s v="Changement des goupilles usées"/>
    <d v="2019-07-10T00:00:00"/>
    <m/>
    <m/>
    <x v="6"/>
    <x v="0"/>
    <m/>
  </r>
  <r>
    <d v="2019-07-10T00:00:00"/>
    <x v="0"/>
    <x v="0"/>
    <x v="0"/>
    <m/>
    <m/>
    <s v="Bloc de soudure"/>
    <s v="Panne de presse de soudage"/>
    <s v="Réparation"/>
    <s v="Changement du kit joints usé"/>
    <d v="2019-07-10T00:00:00"/>
    <m/>
    <m/>
    <x v="6"/>
    <x v="0"/>
    <m/>
  </r>
  <r>
    <d v="2019-07-11T00:00:00"/>
    <x v="3"/>
    <x v="1"/>
    <x v="3"/>
    <m/>
    <m/>
    <s v="Transbordeur"/>
    <s v="Problème au niveau des galets de guidage du transbordeur"/>
    <s v="Réparation"/>
    <s v="Changement des roulements endommagés"/>
    <d v="2019-07-11T00:00:00"/>
    <m/>
    <m/>
    <x v="6"/>
    <x v="0"/>
    <m/>
  </r>
  <r>
    <d v="2019-07-11T00:00:00"/>
    <x v="3"/>
    <x v="1"/>
    <x v="3"/>
    <m/>
    <m/>
    <s v="Presse"/>
    <s v="Problème de callage de la table vibrante"/>
    <s v="Réglage"/>
    <s v="Changement de la courroie endommagée (2800)"/>
    <d v="2019-07-11T00:00:00"/>
    <m/>
    <m/>
    <x v="6"/>
    <x v="0"/>
    <m/>
  </r>
  <r>
    <d v="2019-07-11T00:00:00"/>
    <x v="20"/>
    <x v="0"/>
    <x v="20"/>
    <m/>
    <m/>
    <s v="Relacheur"/>
    <s v="Jeu sur galets"/>
    <s v="Réparation"/>
    <s v="Changement des roulement des galets"/>
    <d v="2019-07-11T00:00:00"/>
    <m/>
    <m/>
    <x v="6"/>
    <x v="0"/>
    <m/>
  </r>
  <r>
    <d v="2019-07-12T00:00:00"/>
    <x v="12"/>
    <x v="0"/>
    <x v="12"/>
    <m/>
    <m/>
    <s v="Terminal tactil siemens"/>
    <s v="Terminal endommagé"/>
    <s v="Réparation"/>
    <m/>
    <d v="2019-07-27T00:00:00"/>
    <s v="Attente Réparation du terminal / achat si irréparable"/>
    <s v="=SI(ESTVIDE([@[Date"/>
    <x v="6"/>
    <x v="0"/>
    <m/>
  </r>
  <r>
    <d v="2019-07-13T00:00:00"/>
    <x v="2"/>
    <x v="1"/>
    <x v="2"/>
    <m/>
    <m/>
    <s v="Cercleuse 08"/>
    <s v="Panne de cercleuse"/>
    <s v="Réparation"/>
    <s v="Changement d'embrayage endommagé"/>
    <d v="2019-07-13T00:00:00"/>
    <m/>
    <m/>
    <x v="6"/>
    <x v="0"/>
    <m/>
  </r>
  <r>
    <d v="2019-07-13T00:00:00"/>
    <x v="13"/>
    <x v="0"/>
    <x v="13"/>
    <m/>
    <m/>
    <s v="Guide fil"/>
    <s v="Panne guide fil"/>
    <s v="Réglage"/>
    <s v="Réglage du guide fil"/>
    <d v="2019-07-13T00:00:00"/>
    <m/>
    <m/>
    <x v="6"/>
    <x v="0"/>
    <m/>
  </r>
  <r>
    <d v="2019-07-14T00:00:00"/>
    <x v="3"/>
    <x v="1"/>
    <x v="3"/>
    <m/>
    <m/>
    <s v="Presse"/>
    <s v="Pattes du moteur de vibration endommagée"/>
    <s v="Réparation"/>
    <s v="Changement du moteur de vibration"/>
    <d v="2019-07-15T00:00:00"/>
    <s v="14/ 7/ 19 : courroie 2800 de poyatos 800 endommagée remplacement par courroie de poyatos 700 pour cause d'absence de magasin"/>
    <s v="=SI(ESTVIDE([@[Date"/>
    <x v="6"/>
    <x v="0"/>
    <m/>
  </r>
  <r>
    <d v="2019-07-14T00:00:00"/>
    <x v="2"/>
    <x v="1"/>
    <x v="2"/>
    <m/>
    <m/>
    <s v="PResse"/>
    <s v="courroie endommagée"/>
    <s v="Réparation"/>
    <s v="montage d'une courroie 2800 en provenance de poyatos 700"/>
    <d v="2019-07-14T00:00:00"/>
    <m/>
    <m/>
    <x v="6"/>
    <x v="0"/>
    <m/>
  </r>
  <r>
    <d v="2019-07-15T00:00:00"/>
    <x v="3"/>
    <x v="1"/>
    <x v="3"/>
    <m/>
    <m/>
    <s v="Machine"/>
    <s v="Chassis fissuré"/>
    <s v="Réparation"/>
    <s v="Soudage et renforcement du chassis"/>
    <d v="2019-07-15T00:00:00"/>
    <m/>
    <m/>
    <x v="6"/>
    <x v="0"/>
    <m/>
  </r>
  <r>
    <d v="2019-07-15T00:00:00"/>
    <x v="3"/>
    <x v="1"/>
    <x v="3"/>
    <m/>
    <m/>
    <s v="PResse"/>
    <s v="Absence courroie pour cause d'absence magasin"/>
    <s v="Réparation"/>
    <s v="Montage d'un courroie 2800 neuve"/>
    <d v="2019-07-15T00:00:00"/>
    <m/>
    <m/>
    <x v="6"/>
    <x v="0"/>
    <m/>
  </r>
  <r>
    <d v="2019-07-15T00:00:00"/>
    <x v="30"/>
    <x v="3"/>
    <x v="30"/>
    <m/>
    <m/>
    <m/>
    <m/>
    <s v="Rénovation"/>
    <s v="Début des travaux de rennovation"/>
    <d v="2019-09-18T00:00:00"/>
    <s v="Travaux Terminés le 18/09/2019 - Opérationnel. Attente rapport ministère"/>
    <s v="=SI(ESTVIDE([@[Date"/>
    <x v="7"/>
    <x v="0"/>
    <m/>
  </r>
  <r>
    <d v="2019-07-15T00:00:00"/>
    <x v="0"/>
    <x v="0"/>
    <x v="0"/>
    <m/>
    <m/>
    <s v="Bloc de soudure"/>
    <s v="Support d'electrode cassé"/>
    <s v="Réparation"/>
    <s v="Changement du support d'electrode"/>
    <d v="2019-07-15T00:00:00"/>
    <m/>
    <m/>
    <x v="6"/>
    <x v="0"/>
    <m/>
  </r>
  <r>
    <d v="2019-07-16T00:00:00"/>
    <x v="2"/>
    <x v="1"/>
    <x v="2"/>
    <m/>
    <m/>
    <s v="Cercleuse 08"/>
    <s v="Pb cercleuse"/>
    <s v="Réparation"/>
    <s v="Reglage de l'épaisseur du feuillard"/>
    <d v="2019-07-16T00:00:00"/>
    <m/>
    <m/>
    <x v="6"/>
    <x v="0"/>
    <m/>
  </r>
  <r>
    <d v="2019-07-17T00:00:00"/>
    <x v="20"/>
    <x v="0"/>
    <x v="20"/>
    <m/>
    <m/>
    <s v="Cassette 08"/>
    <s v="Jeu sur galets"/>
    <s v="Réparation"/>
    <s v="Changement d'un roulement de galet et changement d'un galet usé"/>
    <d v="2019-07-17T00:00:00"/>
    <m/>
    <n v="40"/>
    <x v="6"/>
    <x v="0"/>
    <m/>
  </r>
  <r>
    <d v="2019-07-17T00:00:00"/>
    <x v="20"/>
    <x v="0"/>
    <x v="20"/>
    <m/>
    <m/>
    <s v="Sauterelle"/>
    <s v="Jeu sur poulie"/>
    <s v="Réparation"/>
    <s v="Changement d'un roulement usé"/>
    <d v="2019-07-17T00:00:00"/>
    <m/>
    <m/>
    <x v="6"/>
    <x v="0"/>
    <m/>
  </r>
  <r>
    <d v="2019-07-18T00:00:00"/>
    <x v="21"/>
    <x v="4"/>
    <x v="21"/>
    <m/>
    <m/>
    <s v="Tambour principale"/>
    <s v="Cable endommagé"/>
    <s v="Réparation"/>
    <s v="Changement d'un cable antigiratoire d7"/>
    <d v="2019-07-18T00:00:00"/>
    <m/>
    <n v="2"/>
    <x v="6"/>
    <x v="0"/>
    <m/>
  </r>
  <r>
    <d v="2019-07-18T00:00:00"/>
    <x v="20"/>
    <x v="0"/>
    <x v="20"/>
    <m/>
    <m/>
    <s v="Cercleuse"/>
    <s v="PB Machoire"/>
    <s v="Réparation"/>
    <s v="Changement d'une goupille usée"/>
    <d v="2019-07-18T00:00:00"/>
    <m/>
    <m/>
    <x v="6"/>
    <x v="0"/>
    <m/>
  </r>
  <r>
    <d v="2019-07-19T00:00:00"/>
    <x v="2"/>
    <x v="1"/>
    <x v="2"/>
    <m/>
    <m/>
    <s v="Table vibrante"/>
    <s v="Courroie 2800 endomm+agée"/>
    <s v="Réparation"/>
    <s v="Changement d'une courroie 2800"/>
    <d v="2019-07-19T00:00:00"/>
    <m/>
    <n v="1"/>
    <x v="6"/>
    <x v="0"/>
    <m/>
  </r>
  <r>
    <d v="2019-07-19T00:00:00"/>
    <x v="2"/>
    <x v="1"/>
    <x v="2"/>
    <m/>
    <m/>
    <s v="Malaxeur"/>
    <s v="PB porte principale malaxeur"/>
    <s v="Réparation"/>
    <s v="Changement de la chappe du vérin de la porte du malaxeur"/>
    <d v="2019-07-19T00:00:00"/>
    <m/>
    <n v="30"/>
    <x v="6"/>
    <x v="0"/>
    <m/>
  </r>
  <r>
    <d v="2019-07-19T00:00:00"/>
    <x v="3"/>
    <x v="1"/>
    <x v="3"/>
    <m/>
    <m/>
    <s v="Compresseur GA 22"/>
    <s v="Fuite d'huile"/>
    <s v="Réparation"/>
    <s v="Changement d'un flexible hydraulique"/>
    <d v="2019-07-19T00:00:00"/>
    <s v="Attente livraison d'un flexible neuf"/>
    <m/>
    <x v="6"/>
    <x v="0"/>
    <m/>
  </r>
  <r>
    <d v="2019-07-20T00:00:00"/>
    <x v="2"/>
    <x v="1"/>
    <x v="2"/>
    <m/>
    <m/>
    <s v="Cercleuse 08"/>
    <s v="Mauvaise découpe de feuillard"/>
    <s v="Réparation"/>
    <s v="Changement d'une lame de découpe usée"/>
    <d v="2019-07-20T00:00:00"/>
    <m/>
    <n v="1"/>
    <x v="6"/>
    <x v="0"/>
    <m/>
  </r>
  <r>
    <d v="2019-07-22T00:00:00"/>
    <x v="3"/>
    <x v="1"/>
    <x v="3"/>
    <m/>
    <m/>
    <s v="Tiroir d'agitation"/>
    <s v="Palier usé"/>
    <s v="Réparation"/>
    <s v="Changement du palier de l'arbre principale"/>
    <d v="2019-07-22T00:00:00"/>
    <m/>
    <m/>
    <x v="6"/>
    <x v="0"/>
    <m/>
  </r>
  <r>
    <d v="2019-07-22T00:00:00"/>
    <x v="20"/>
    <x v="0"/>
    <x v="20"/>
    <m/>
    <m/>
    <s v="Cassette PR 10"/>
    <s v="Jeu sur galets"/>
    <s v="Réparation"/>
    <s v="Changement de deux roulement coniques 32008"/>
    <d v="2019-07-22T00:00:00"/>
    <m/>
    <n v="2"/>
    <x v="6"/>
    <x v="0"/>
    <m/>
  </r>
  <r>
    <d v="2019-07-24T00:00:00"/>
    <x v="24"/>
    <x v="4"/>
    <x v="24"/>
    <m/>
    <m/>
    <s v="Alimentation générale"/>
    <s v="Panne electrique"/>
    <s v="Réparation"/>
    <s v="Réarmement du disjoncteur principale"/>
    <d v="2019-07-24T00:00:00"/>
    <m/>
    <m/>
    <x v="6"/>
    <x v="0"/>
    <m/>
  </r>
  <r>
    <d v="2019-07-24T00:00:00"/>
    <x v="20"/>
    <x v="0"/>
    <x v="20"/>
    <m/>
    <m/>
    <s v="Cassete PR12"/>
    <s v="non-conformité"/>
    <s v="Changement"/>
    <s v="Changement d'un jeu complet de galets lisses"/>
    <d v="2019-07-24T00:00:00"/>
    <m/>
    <n v="2"/>
    <x v="6"/>
    <x v="0"/>
    <m/>
  </r>
  <r>
    <d v="2019-07-24T00:00:00"/>
    <x v="17"/>
    <x v="0"/>
    <x v="17"/>
    <m/>
    <m/>
    <s v="Redresseur"/>
    <s v="Filetage usé"/>
    <s v="Réparation"/>
    <s v="Démontage du redresseur + transfert Tourneur pour réparation"/>
    <d v="2019-07-27T00:00:00"/>
    <m/>
    <s v="4j"/>
    <x v="6"/>
    <x v="0"/>
    <m/>
  </r>
  <r>
    <d v="2019-07-24T00:00:00"/>
    <x v="4"/>
    <x v="0"/>
    <x v="4"/>
    <m/>
    <m/>
    <s v="Cisaille"/>
    <s v="chaine endommagé "/>
    <s v="Réparation"/>
    <s v="Changement de la chaine de transmission"/>
    <d v="2019-07-24T00:00:00"/>
    <m/>
    <n v="30"/>
    <x v="6"/>
    <x v="0"/>
    <m/>
  </r>
  <r>
    <d v="2019-07-24T00:00:00"/>
    <x v="3"/>
    <x v="1"/>
    <x v="3"/>
    <m/>
    <m/>
    <s v="Convoyeur des palettes "/>
    <s v="Rouleaux usé "/>
    <s v="Réparation"/>
    <m/>
    <d v="2019-07-26T00:00:00"/>
    <s v="attente livraison d'un rouleau convoyeur"/>
    <m/>
    <x v="6"/>
    <x v="0"/>
    <m/>
  </r>
  <r>
    <d v="2019-07-25T00:00:00"/>
    <x v="3"/>
    <x v="1"/>
    <x v="3"/>
    <m/>
    <m/>
    <s v="Descenseur"/>
    <s v="Décalage de la chaine "/>
    <s v="Réglage"/>
    <s v="Tension des chaines du descenseur"/>
    <d v="2019-07-25T00:00:00"/>
    <m/>
    <n v="30"/>
    <x v="6"/>
    <x v="0"/>
    <m/>
  </r>
  <r>
    <d v="2019-07-25T00:00:00"/>
    <x v="3"/>
    <x v="1"/>
    <x v="3"/>
    <m/>
    <m/>
    <s v="Table vibrante "/>
    <s v="Blocage  du à un boulon tordu"/>
    <s v="Réparation"/>
    <s v="Changement des boulons usés"/>
    <d v="2019-07-25T00:00:00"/>
    <m/>
    <n v="45"/>
    <x v="6"/>
    <x v="0"/>
    <m/>
  </r>
  <r>
    <d v="2019-07-25T00:00:00"/>
    <x v="0"/>
    <x v="0"/>
    <x v="0"/>
    <m/>
    <m/>
    <s v="Circuit de refroidissement"/>
    <s v="Pont de soudage usé "/>
    <s v="Réparation"/>
    <s v="Changement d'un pont de soudage"/>
    <d v="2019-07-25T00:00:00"/>
    <m/>
    <n v="40"/>
    <x v="6"/>
    <x v="0"/>
    <m/>
  </r>
  <r>
    <d v="2019-07-25T00:00:00"/>
    <x v="1"/>
    <x v="0"/>
    <x v="1"/>
    <m/>
    <m/>
    <s v="Cabestant"/>
    <s v="Pb électrique de variateur "/>
    <s v="Réglage"/>
    <s v="Réglages des paramétres du variateur "/>
    <d v="2019-07-25T00:00:00"/>
    <m/>
    <m/>
    <x v="6"/>
    <x v="0"/>
    <m/>
  </r>
  <r>
    <d v="2019-07-26T00:00:00"/>
    <x v="2"/>
    <x v="1"/>
    <x v="2"/>
    <m/>
    <m/>
    <s v="Convoyeur sortie présse "/>
    <s v="Rupture de courroie thermosoudable "/>
    <s v="Réparation"/>
    <s v="Soudage de la courroie "/>
    <d v="2019-07-26T00:00:00"/>
    <m/>
    <n v="30"/>
    <x v="6"/>
    <x v="0"/>
    <m/>
  </r>
  <r>
    <d v="2019-07-26T00:00:00"/>
    <x v="2"/>
    <x v="1"/>
    <x v="2"/>
    <m/>
    <m/>
    <s v="Transbordeur"/>
    <s v="Pb électrique de variateur "/>
    <s v="Réparation"/>
    <s v="Elimination d'un manque de  phase"/>
    <d v="2019-07-26T00:00:00"/>
    <m/>
    <n v="30"/>
    <x v="6"/>
    <x v="0"/>
    <m/>
  </r>
  <r>
    <d v="2019-07-27T00:00:00"/>
    <x v="11"/>
    <x v="0"/>
    <x v="11"/>
    <m/>
    <m/>
    <s v="Vérin du bobinoir"/>
    <s v="Raccord endommagé"/>
    <s v="Réparation"/>
    <s v="Changement du raccord endommagé "/>
    <d v="2019-07-27T00:00:00"/>
    <m/>
    <m/>
    <x v="6"/>
    <x v="0"/>
    <m/>
  </r>
  <r>
    <d v="2019-07-27T00:00:00"/>
    <x v="1"/>
    <x v="0"/>
    <x v="1"/>
    <m/>
    <m/>
    <s v="Cassette PR 3,4"/>
    <s v="Flexible d'eau usé "/>
    <s v="Réparation"/>
    <s v="Changement du flexibe endommagé "/>
    <d v="2019-08-27T00:00:00"/>
    <m/>
    <m/>
    <x v="8"/>
    <x v="0"/>
    <m/>
  </r>
  <r>
    <d v="2019-07-27T00:00:00"/>
    <x v="3"/>
    <x v="1"/>
    <x v="3"/>
    <m/>
    <m/>
    <s v="Cercleuse"/>
    <s v="Bocage du feuillard"/>
    <s v="Réparation"/>
    <s v="Eenlevement d'un morçeau de feuillard "/>
    <d v="2019-08-27T00:00:00"/>
    <m/>
    <n v="30"/>
    <x v="8"/>
    <x v="0"/>
    <m/>
  </r>
  <r>
    <d v="2019-07-29T00:00:00"/>
    <x v="4"/>
    <x v="0"/>
    <x v="4"/>
    <m/>
    <m/>
    <s v="Table élévatrice"/>
    <s v="Déréglage de table "/>
    <s v="Réglage"/>
    <s v="Remise à niveau de la table élevatrice"/>
    <d v="2019-07-29T00:00:00"/>
    <m/>
    <m/>
    <x v="6"/>
    <x v="0"/>
    <m/>
  </r>
  <r>
    <d v="2019-07-30T00:00:00"/>
    <x v="3"/>
    <x v="1"/>
    <x v="3"/>
    <m/>
    <m/>
    <s v="Skip "/>
    <s v="Cable antigiratiore endommagé "/>
    <s v="Réparation"/>
    <s v="Changement du cable antigiratoire du skip"/>
    <d v="2019-07-30T00:00:00"/>
    <m/>
    <n v="1"/>
    <x v="6"/>
    <x v="0"/>
    <m/>
  </r>
  <r>
    <d v="2019-07-30T00:00:00"/>
    <x v="12"/>
    <x v="0"/>
    <x v="12"/>
    <m/>
    <m/>
    <s v="Bloc redresseur"/>
    <s v="Courroie endommagée"/>
    <s v="Réparation"/>
    <s v="Changement de 4 courroie "/>
    <d v="2019-07-30T00:00:00"/>
    <m/>
    <n v="30"/>
    <x v="6"/>
    <x v="0"/>
    <m/>
  </r>
  <r>
    <d v="2019-07-30T00:00:00"/>
    <x v="1"/>
    <x v="0"/>
    <x v="1"/>
    <m/>
    <m/>
    <s v="Cassette PR 4 "/>
    <s v="Flexible d'eau usé "/>
    <s v="Réparation"/>
    <s v="Changement du flexible d'eau"/>
    <d v="2019-07-30T00:00:00"/>
    <m/>
    <m/>
    <x v="6"/>
    <x v="0"/>
    <m/>
  </r>
  <r>
    <d v="2019-07-31T00:00:00"/>
    <x v="11"/>
    <x v="0"/>
    <x v="11"/>
    <m/>
    <m/>
    <s v="Cabestan"/>
    <s v="usure de surface "/>
    <s v="Réparation"/>
    <s v="Chargement par soudage de la partie usé "/>
    <d v="2019-07-31T00:00:00"/>
    <m/>
    <n v="7"/>
    <x v="6"/>
    <x v="0"/>
    <m/>
  </r>
  <r>
    <d v="2019-08-01T00:00:00"/>
    <x v="3"/>
    <x v="1"/>
    <x v="3"/>
    <m/>
    <m/>
    <s v="Pince "/>
    <s v="Disque de frein endommmagé"/>
    <s v="Réparation"/>
    <s v="Changement du moteur"/>
    <d v="2019-08-01T00:00:00"/>
    <m/>
    <n v="5"/>
    <x v="8"/>
    <x v="0"/>
    <m/>
  </r>
  <r>
    <d v="2019-08-01T00:00:00"/>
    <x v="16"/>
    <x v="0"/>
    <x v="16"/>
    <m/>
    <m/>
    <s v="Bloc redresseur"/>
    <s v="Chaine de transmission endommagée"/>
    <s v="Réparation"/>
    <s v="Changement de la chaine de transmission"/>
    <d v="2019-08-01T00:00:00"/>
    <m/>
    <n v="1"/>
    <x v="8"/>
    <x v="0"/>
    <m/>
  </r>
  <r>
    <d v="2019-08-02T00:00:00"/>
    <x v="18"/>
    <x v="4"/>
    <x v="18"/>
    <m/>
    <m/>
    <s v="Partie commande"/>
    <s v="Rupture du cable de commande"/>
    <s v="Réparation"/>
    <s v="Changement du cable de commande"/>
    <d v="2019-08-27T00:00:00"/>
    <s v="Cable livré le 27/08/2019"/>
    <s v="=SI(ESTVIDE([@[Date"/>
    <x v="8"/>
    <x v="0"/>
    <m/>
  </r>
  <r>
    <d v="2019-08-02T00:00:00"/>
    <x v="3"/>
    <x v="1"/>
    <x v="3"/>
    <m/>
    <m/>
    <s v="Descenseur"/>
    <s v="Décalage de la chaine "/>
    <s v="Réparation"/>
    <s v="Tension des chaines du descenseur + changement d'un fin de course endommagé"/>
    <d v="2019-08-02T00:00:00"/>
    <m/>
    <m/>
    <x v="8"/>
    <x v="0"/>
    <m/>
  </r>
  <r>
    <d v="2019-08-03T00:00:00"/>
    <x v="0"/>
    <x v="0"/>
    <x v="0"/>
    <m/>
    <m/>
    <s v="Bloc de soudure"/>
    <s v="Pb circuit de refroidissement"/>
    <s v="Réparation"/>
    <s v="Changement du cable de soudage"/>
    <d v="2019-08-03T00:00:00"/>
    <m/>
    <n v="30"/>
    <x v="8"/>
    <x v="0"/>
    <m/>
  </r>
  <r>
    <d v="2019-08-03T00:00:00"/>
    <x v="20"/>
    <x v="0"/>
    <x v="20"/>
    <m/>
    <m/>
    <s v="Pompe à graisse"/>
    <s v="Pompe bouchée"/>
    <s v="Réparation"/>
    <s v="Nettoyage du circuit d'aire comprimé"/>
    <d v="2019-08-03T00:00:00"/>
    <m/>
    <m/>
    <x v="8"/>
    <x v="0"/>
    <m/>
  </r>
  <r>
    <d v="2019-08-04T00:00:00"/>
    <x v="13"/>
    <x v="0"/>
    <x v="13"/>
    <m/>
    <m/>
    <s v="Guide fil"/>
    <s v="Usure du support du guide fil"/>
    <s v="Réparation"/>
    <s v="Soudage de la partie usée"/>
    <d v="2019-08-04T00:00:00"/>
    <m/>
    <m/>
    <x v="8"/>
    <x v="0"/>
    <m/>
  </r>
  <r>
    <d v="2019-08-06T00:00:00"/>
    <x v="0"/>
    <x v="0"/>
    <x v="0"/>
    <m/>
    <m/>
    <s v="Bloc de soudure"/>
    <s v="Panne de presse de soudage"/>
    <s v="Réparation"/>
    <s v="Changement du kit joints usé"/>
    <d v="2019-08-06T00:00:00"/>
    <m/>
    <m/>
    <x v="8"/>
    <x v="0"/>
    <m/>
  </r>
  <r>
    <d v="2019-08-07T00:00:00"/>
    <x v="0"/>
    <x v="0"/>
    <x v="0"/>
    <m/>
    <m/>
    <s v="Bloc de soudure"/>
    <s v="Panne de pousse fils d'injection"/>
    <s v="Réparation"/>
    <s v="Elimination du jeu entre l'hexagone et les bieles"/>
    <d v="2019-08-07T00:00:00"/>
    <m/>
    <m/>
    <x v="8"/>
    <x v="0"/>
    <m/>
  </r>
  <r>
    <d v="2019-08-07T00:00:00"/>
    <x v="11"/>
    <x v="0"/>
    <x v="11"/>
    <m/>
    <m/>
    <s v="Moteur du cabestan"/>
    <s v="Moteur grillé"/>
    <s v="Réparation"/>
    <s v="Rebobinage chez CEDP"/>
    <d v="2019-08-09T00:00:00"/>
    <m/>
    <s v="=SI(ESTVIDE([@[Date"/>
    <x v="8"/>
    <x v="0"/>
    <m/>
  </r>
  <r>
    <d v="2019-08-09T00:00:00"/>
    <x v="3"/>
    <x v="1"/>
    <x v="3"/>
    <m/>
    <m/>
    <s v="Tremie n°1"/>
    <s v="Fissure au niveau du support du vibreur"/>
    <s v="Réparation"/>
    <s v="Soudage de la partie fissurée"/>
    <d v="2019-08-09T00:00:00"/>
    <m/>
    <n v="45"/>
    <x v="8"/>
    <x v="0"/>
    <m/>
  </r>
  <r>
    <d v="2019-08-09T00:00:00"/>
    <x v="3"/>
    <x v="1"/>
    <x v="3"/>
    <m/>
    <m/>
    <s v="Descenseur"/>
    <s v="Alesage de la poulie de transmission usée"/>
    <s v="Réparation"/>
    <s v="Rebaguage de poulie + changement de la clavette"/>
    <d v="2019-08-22T00:00:00"/>
    <s v="Aid Al Adha"/>
    <s v="=SI(ESTVIDE([@[Date"/>
    <x v="8"/>
    <x v="0"/>
    <m/>
  </r>
  <r>
    <d v="2019-08-21T00:00:00"/>
    <x v="0"/>
    <x v="0"/>
    <x v="0"/>
    <m/>
    <m/>
    <s v="Bloc de soudure"/>
    <s v="Panne de presse de soudage"/>
    <s v="Réparation"/>
    <s v="Changement du kit joints usé"/>
    <d v="2019-08-21T00:00:00"/>
    <m/>
    <m/>
    <x v="8"/>
    <x v="0"/>
    <m/>
  </r>
  <r>
    <d v="2019-08-22T00:00:00"/>
    <x v="4"/>
    <x v="0"/>
    <x v="4"/>
    <m/>
    <m/>
    <s v="Empileur"/>
    <s v="Variateur déréglé"/>
    <s v="Réparation"/>
    <s v="Réglage du variateur et remise à l'état initial"/>
    <d v="2019-08-22T00:00:00"/>
    <m/>
    <n v="3"/>
    <x v="8"/>
    <x v="0"/>
    <m/>
  </r>
  <r>
    <d v="2019-08-22T00:00:00"/>
    <x v="0"/>
    <x v="0"/>
    <x v="0"/>
    <m/>
    <m/>
    <s v="Système d'injection des FT"/>
    <s v="Préventif"/>
    <s v="Réparation"/>
    <s v="Changement complet du système d'ejection des FT"/>
    <d v="2019-08-22T00:00:00"/>
    <m/>
    <n v="4"/>
    <x v="8"/>
    <x v="0"/>
    <m/>
  </r>
  <r>
    <d v="2019-08-22T00:00:00"/>
    <x v="8"/>
    <x v="4"/>
    <x v="8"/>
    <m/>
    <m/>
    <s v="Moteur de levage"/>
    <s v="Frein déreglé"/>
    <s v="Réparation"/>
    <s v="Réglage du frein"/>
    <d v="2019-08-22T00:00:00"/>
    <m/>
    <m/>
    <x v="8"/>
    <x v="0"/>
    <m/>
  </r>
  <r>
    <d v="2019-08-22T00:00:00"/>
    <x v="13"/>
    <x v="0"/>
    <x v="13"/>
    <m/>
    <m/>
    <s v="Varateur principal"/>
    <s v="Surintensité"/>
    <s v="Réparation"/>
    <s v="Réparation chez DRIVE AUTOMATION"/>
    <d v="2019-08-24T00:00:00"/>
    <m/>
    <s v="=SI(ESTVIDE([@[Date"/>
    <x v="8"/>
    <x v="0"/>
    <m/>
  </r>
  <r>
    <d v="2019-08-22T00:00:00"/>
    <x v="2"/>
    <x v="1"/>
    <x v="2"/>
    <m/>
    <m/>
    <s v="Tiroir d'agitation"/>
    <s v="Rupture de la grille d'agitation"/>
    <s v="Réparation"/>
    <s v="Soudage de la partie cassé de la grille d'agitation"/>
    <d v="2019-08-22T00:00:00"/>
    <m/>
    <m/>
    <x v="8"/>
    <x v="0"/>
    <m/>
  </r>
  <r>
    <d v="2019-08-23T00:00:00"/>
    <x v="3"/>
    <x v="1"/>
    <x v="3"/>
    <m/>
    <m/>
    <s v="Cercleuse 06"/>
    <s v="Pb de tension du feuillard"/>
    <s v="Réglage"/>
    <s v="Réglage de la tension du feuillard"/>
    <d v="2019-08-23T00:00:00"/>
    <m/>
    <n v="45"/>
    <x v="8"/>
    <x v="0"/>
    <m/>
  </r>
  <r>
    <d v="2019-08-23T00:00:00"/>
    <x v="2"/>
    <x v="1"/>
    <x v="2"/>
    <m/>
    <m/>
    <s v="Pince"/>
    <s v="Manque de phase au niveau du moteur"/>
    <s v="Réparation"/>
    <s v="Elimination du manque de phase"/>
    <d v="2019-08-23T00:00:00"/>
    <m/>
    <n v="30"/>
    <x v="8"/>
    <x v="0"/>
    <m/>
  </r>
  <r>
    <d v="2019-08-26T00:00:00"/>
    <x v="0"/>
    <x v="0"/>
    <x v="0"/>
    <m/>
    <m/>
    <s v="Empileur"/>
    <s v="Tole usée"/>
    <s v="Réparation"/>
    <s v="Chargement de surface de la partie usée"/>
    <d v="2019-08-26T00:00:00"/>
    <m/>
    <n v="1"/>
    <x v="8"/>
    <x v="0"/>
    <m/>
  </r>
  <r>
    <d v="2019-08-26T00:00:00"/>
    <x v="8"/>
    <x v="4"/>
    <x v="8"/>
    <m/>
    <m/>
    <s v="Moteur de levage"/>
    <s v="Moteur grillé"/>
    <s v="Réparation"/>
    <s v="Démontage du moteur endommagé"/>
    <d v="2020-04-25T00:00:00"/>
    <s v="Pont roulant opérationel"/>
    <s v="=SI(ESTVIDE([@[Date"/>
    <x v="3"/>
    <x v="1"/>
    <m/>
  </r>
  <r>
    <d v="2019-08-26T00:00:00"/>
    <x v="3"/>
    <x v="1"/>
    <x v="3"/>
    <m/>
    <m/>
    <s v="Pousse plache"/>
    <s v="PB au niveau du vérin pousse plache "/>
    <s v="Réparation"/>
    <s v="Changement d'un relais contacteur"/>
    <d v="2019-08-26T00:00:00"/>
    <m/>
    <m/>
    <x v="8"/>
    <x v="0"/>
    <m/>
  </r>
  <r>
    <d v="2019-08-27T00:00:00"/>
    <x v="0"/>
    <x v="0"/>
    <x v="0"/>
    <m/>
    <m/>
    <s v="Circuit de refroidissement"/>
    <s v="Pont de soudage usé "/>
    <s v="Réparation"/>
    <s v="Changement d'un pont de soudage"/>
    <d v="2019-08-27T00:00:00"/>
    <m/>
    <m/>
    <x v="8"/>
    <x v="0"/>
    <m/>
  </r>
  <r>
    <d v="2019-09-03T00:00:00"/>
    <x v="4"/>
    <x v="0"/>
    <x v="4"/>
    <m/>
    <m/>
    <s v="Armoire électrique"/>
    <s v="Température d'armoire élevée"/>
    <s v="Réparation"/>
    <s v="Elimination d'un mauvais contact au niveau du ventilateur"/>
    <d v="2019-09-03T00:00:00"/>
    <m/>
    <n v="40"/>
    <x v="7"/>
    <x v="0"/>
    <m/>
  </r>
  <r>
    <d v="2019-09-06T00:00:00"/>
    <x v="4"/>
    <x v="0"/>
    <x v="4"/>
    <m/>
    <m/>
    <s v="Bloc de soudure"/>
    <s v="Usure du filetage du porte électrode"/>
    <s v="Réparation"/>
    <s v="Insertion d'un filet rapporté"/>
    <d v="2019-09-06T00:00:00"/>
    <m/>
    <n v="30"/>
    <x v="7"/>
    <x v="0"/>
    <m/>
  </r>
  <r>
    <d v="2019-09-06T00:00:00"/>
    <x v="4"/>
    <x v="0"/>
    <x v="4"/>
    <m/>
    <m/>
    <s v="Amenée FT"/>
    <s v="Electrode usée"/>
    <s v="Réparation"/>
    <s v="Changement de l'electrode usée"/>
    <d v="2019-09-06T00:00:00"/>
    <m/>
    <n v="30"/>
    <x v="7"/>
    <x v="0"/>
    <m/>
  </r>
  <r>
    <d v="2019-09-07T00:00:00"/>
    <x v="3"/>
    <x v="1"/>
    <x v="3"/>
    <m/>
    <m/>
    <s v="Tiroir d'agitation"/>
    <s v="Roulement des bras endommagés"/>
    <s v="Réparation"/>
    <s v="Changement des roulement endommagé"/>
    <d v="2019-09-07T00:00:00"/>
    <m/>
    <n v="40"/>
    <x v="7"/>
    <x v="0"/>
    <m/>
  </r>
  <r>
    <d v="2019-09-07T00:00:00"/>
    <x v="3"/>
    <x v="1"/>
    <x v="3"/>
    <m/>
    <m/>
    <s v="Tiroir"/>
    <s v="Galet endommagé"/>
    <s v="Réparation"/>
    <s v="Changement des galets endommagés"/>
    <d v="2019-09-07T00:00:00"/>
    <m/>
    <n v="40"/>
    <x v="7"/>
    <x v="0"/>
    <m/>
  </r>
  <r>
    <d v="2019-09-10T00:00:00"/>
    <x v="3"/>
    <x v="1"/>
    <x v="3"/>
    <m/>
    <m/>
    <s v="Cercleuse 08"/>
    <s v="Déreglge de la lame de soudure"/>
    <s v="Réglage"/>
    <s v="Réglage de la lame de soudure"/>
    <d v="2019-09-10T00:00:00"/>
    <m/>
    <n v="30"/>
    <x v="7"/>
    <x v="0"/>
    <m/>
  </r>
  <r>
    <d v="2019-09-12T00:00:00"/>
    <x v="4"/>
    <x v="0"/>
    <x v="4"/>
    <m/>
    <m/>
    <s v="Devidoir"/>
    <s v="Capteur endommagé"/>
    <s v="Réparation"/>
    <s v="Changement du capteur endommagé"/>
    <d v="2019-09-12T00:00:00"/>
    <m/>
    <n v="45"/>
    <x v="7"/>
    <x v="0"/>
    <m/>
  </r>
  <r>
    <d v="2019-09-12T00:00:00"/>
    <x v="2"/>
    <x v="1"/>
    <x v="2"/>
    <m/>
    <m/>
    <s v="Transbordeur"/>
    <s v="Arret innopiné du transbordeur ( électrode endommagé"/>
    <s v="Réparation"/>
    <s v="Changement des électrode de contact"/>
    <d v="2019-09-12T00:00:00"/>
    <s v="Attente de livraison de fusible pour éliminer totalement la défaillance"/>
    <n v="45"/>
    <x v="7"/>
    <x v="0"/>
    <m/>
  </r>
  <r>
    <d v="2019-09-12T00:00:00"/>
    <x v="3"/>
    <x v="1"/>
    <x v="3"/>
    <m/>
    <m/>
    <s v="Pilon"/>
    <s v="Fiche de détecteur endommagé"/>
    <s v="Réparation"/>
    <s v="Changement du détecteur"/>
    <d v="2019-09-12T00:00:00"/>
    <m/>
    <n v="30"/>
    <x v="7"/>
    <x v="0"/>
    <m/>
  </r>
  <r>
    <d v="2019-09-13T00:00:00"/>
    <x v="29"/>
    <x v="4"/>
    <x v="29"/>
    <m/>
    <m/>
    <s v="Système de guidage"/>
    <s v="Galet usé"/>
    <s v="Réparation"/>
    <s v="Changement du galet usé"/>
    <d v="2019-09-13T00:00:00"/>
    <m/>
    <n v="1"/>
    <x v="7"/>
    <x v="0"/>
    <m/>
  </r>
  <r>
    <d v="2019-09-13T00:00:00"/>
    <x v="3"/>
    <x v="1"/>
    <x v="3"/>
    <m/>
    <m/>
    <s v="Tiroir d'agitation"/>
    <s v="Tiroir détérioré"/>
    <s v="Réparation"/>
    <s v="Changement de la caisse du tiroir + ressort + galets"/>
    <d v="2019-09-13T00:00:00"/>
    <m/>
    <n v="3"/>
    <x v="7"/>
    <x v="0"/>
    <m/>
  </r>
  <r>
    <d v="2019-09-13T00:00:00"/>
    <x v="2"/>
    <x v="1"/>
    <x v="2"/>
    <m/>
    <m/>
    <s v="Transbordeur"/>
    <s v="Arret innopiné du transbordeur ( électrode endommagé"/>
    <s v="Réparation"/>
    <s v="Changement des électrode de contact"/>
    <d v="2019-09-13T00:00:00"/>
    <s v="Attente de livraison de fusible pour éliminer totalement la défaillance"/>
    <n v="45"/>
    <x v="7"/>
    <x v="0"/>
    <m/>
  </r>
  <r>
    <d v="2019-09-13T00:00:00"/>
    <x v="2"/>
    <x v="1"/>
    <x v="2"/>
    <m/>
    <m/>
    <s v="Descenseur"/>
    <s v="Panne au niveau du frein du moteur"/>
    <s v="Réparation"/>
    <s v="Changement du disque de frein endommagé"/>
    <d v="2019-09-13T00:00:00"/>
    <m/>
    <n v="45"/>
    <x v="7"/>
    <x v="0"/>
    <m/>
  </r>
  <r>
    <d v="2019-09-13T00:00:00"/>
    <x v="2"/>
    <x v="1"/>
    <x v="2"/>
    <m/>
    <m/>
    <s v="Malaxeur"/>
    <s v="PB d`éclairage ( lampe endommagé )"/>
    <s v="Changement"/>
    <s v="Changement de la lampe"/>
    <d v="2019-09-13T00:00:00"/>
    <m/>
    <m/>
    <x v="7"/>
    <x v="0"/>
    <m/>
  </r>
  <r>
    <d v="2019-09-14T00:00:00"/>
    <x v="0"/>
    <x v="0"/>
    <x v="0"/>
    <m/>
    <m/>
    <s v="Devidoir"/>
    <s v="Bolcage des vérin du devidoir"/>
    <s v="Réparation"/>
    <s v="Purge du circuit d'air comprimé"/>
    <d v="2019-09-14T00:00:00"/>
    <m/>
    <n v="45"/>
    <x v="7"/>
    <x v="0"/>
    <m/>
  </r>
  <r>
    <d v="2019-09-14T00:00:00"/>
    <x v="2"/>
    <x v="1"/>
    <x v="2"/>
    <m/>
    <m/>
    <s v="Table vibrante "/>
    <s v="Table vibrante non conforme "/>
    <s v="Changement"/>
    <s v="changement de la table vibrante et courrie 2800"/>
    <d v="2019-09-14T00:00:00"/>
    <m/>
    <n v="4"/>
    <x v="7"/>
    <x v="0"/>
    <m/>
  </r>
  <r>
    <d v="2019-09-14T00:00:00"/>
    <x v="2"/>
    <x v="1"/>
    <x v="2"/>
    <m/>
    <m/>
    <s v="Trasbordeur"/>
    <s v="Arret innopiné du transbordeur ( électrode endommagé"/>
    <s v="Changement"/>
    <s v="Changement des électrode de contact + carte automate "/>
    <d v="2019-09-14T00:00:00"/>
    <m/>
    <n v="45"/>
    <x v="7"/>
    <x v="0"/>
    <m/>
  </r>
  <r>
    <d v="2019-09-16T00:00:00"/>
    <x v="4"/>
    <x v="0"/>
    <x v="4"/>
    <m/>
    <m/>
    <s v="Bloc de soudure"/>
    <s v="Fuite interne"/>
    <s v="Réparation"/>
    <s v="Changement des joints usés"/>
    <d v="2019-09-16T00:00:00"/>
    <m/>
    <n v="45"/>
    <x v="7"/>
    <x v="0"/>
    <m/>
  </r>
  <r>
    <d v="2019-09-16T00:00:00"/>
    <x v="16"/>
    <x v="0"/>
    <x v="16"/>
    <m/>
    <m/>
    <s v="Redresseur"/>
    <s v="Garniture d'embrayage endommagé"/>
    <s v="Réparation"/>
    <s v="Changement de garniture"/>
    <d v="2019-09-16T00:00:00"/>
    <m/>
    <n v="40"/>
    <x v="7"/>
    <x v="0"/>
    <m/>
  </r>
  <r>
    <d v="2019-09-16T00:00:00"/>
    <x v="27"/>
    <x v="2"/>
    <x v="27"/>
    <m/>
    <m/>
    <s v="Vibreur"/>
    <s v="Interupteur endommagé"/>
    <s v="Réparation"/>
    <s v="Changement de l'interupteur "/>
    <d v="2019-09-16T00:00:00"/>
    <n v="9"/>
    <m/>
    <x v="7"/>
    <x v="0"/>
    <m/>
  </r>
  <r>
    <d v="2019-09-16T00:00:00"/>
    <x v="3"/>
    <x v="1"/>
    <x v="3"/>
    <m/>
    <m/>
    <s v="Tirroir "/>
    <s v="Galet desseré "/>
    <s v="Réparation"/>
    <s v="Serrage du galet "/>
    <d v="2019-09-16T00:00:00"/>
    <m/>
    <n v="30"/>
    <x v="7"/>
    <x v="0"/>
    <m/>
  </r>
  <r>
    <d v="2019-09-17T00:00:00"/>
    <x v="16"/>
    <x v="0"/>
    <x v="16"/>
    <m/>
    <m/>
    <s v="Verin de soudage"/>
    <s v="Electrovanne usée"/>
    <s v="Changement"/>
    <s v="Changement de l'electrovanne"/>
    <d v="2019-09-17T00:00:00"/>
    <m/>
    <n v="35"/>
    <x v="7"/>
    <x v="0"/>
    <m/>
  </r>
  <r>
    <d v="2019-09-17T00:00:00"/>
    <x v="0"/>
    <x v="0"/>
    <x v="0"/>
    <m/>
    <m/>
    <s v="Bloc de soudure"/>
    <s v="Support d'electrode cassé"/>
    <s v="Réparation"/>
    <s v="Changement du support d'electrode"/>
    <d v="2019-09-17T00:00:00"/>
    <m/>
    <n v="40"/>
    <x v="7"/>
    <x v="0"/>
    <m/>
  </r>
  <r>
    <d v="2019-09-17T00:00:00"/>
    <x v="1"/>
    <x v="0"/>
    <x v="1"/>
    <m/>
    <m/>
    <s v="Guide fil"/>
    <s v="Roulement endommagé"/>
    <s v="Réparation"/>
    <s v="Changement des roulements"/>
    <d v="2019-09-17T00:00:00"/>
    <m/>
    <n v="40"/>
    <x v="7"/>
    <x v="0"/>
    <m/>
  </r>
  <r>
    <d v="2019-09-17T00:00:00"/>
    <x v="20"/>
    <x v="0"/>
    <x v="20"/>
    <m/>
    <m/>
    <s v="Porte de sécurité"/>
    <s v="Mauvais contact"/>
    <s v="Réparation"/>
    <s v="Elimination d'un mauvais contact"/>
    <d v="2019-09-17T00:00:00"/>
    <m/>
    <n v="30"/>
    <x v="7"/>
    <x v="0"/>
    <m/>
  </r>
  <r>
    <d v="2019-09-17T00:00:00"/>
    <x v="3"/>
    <x v="1"/>
    <x v="3"/>
    <m/>
    <m/>
    <s v="Malaxeur"/>
    <s v="Manque d`eau ( pompe endommagé)"/>
    <s v="Changement"/>
    <s v="changement de la pompe"/>
    <d v="2019-09-17T00:00:00"/>
    <m/>
    <n v="4"/>
    <x v="7"/>
    <x v="0"/>
    <m/>
  </r>
  <r>
    <d v="2019-09-18T00:00:00"/>
    <x v="2"/>
    <x v="1"/>
    <x v="2"/>
    <m/>
    <m/>
    <s v="Malaxeur"/>
    <s v="Tole usée"/>
    <s v="Réparation"/>
    <s v="soudage du partie usée "/>
    <d v="2019-09-18T00:00:00"/>
    <m/>
    <m/>
    <x v="7"/>
    <x v="0"/>
    <m/>
  </r>
  <r>
    <d v="2019-09-19T00:00:00"/>
    <x v="20"/>
    <x v="0"/>
    <x v="20"/>
    <m/>
    <m/>
    <s v="Bobinoir"/>
    <s v="Axe vérin endommagé"/>
    <s v="Réparation"/>
    <s v="Attente de confection d'un nouvel axe"/>
    <d v="2019-10-02T00:00:00"/>
    <m/>
    <s v="=SI(ESTVIDE([@[Date"/>
    <x v="9"/>
    <x v="0"/>
    <m/>
  </r>
  <r>
    <d v="2019-09-19T00:00:00"/>
    <x v="3"/>
    <x v="1"/>
    <x v="3"/>
    <m/>
    <m/>
    <s v="Tirroir "/>
    <s v="Déréglage de niveau du grille "/>
    <s v="Réparation"/>
    <s v="Réglage du niveau de la grille "/>
    <d v="2019-09-19T00:00:00"/>
    <m/>
    <m/>
    <x v="7"/>
    <x v="0"/>
    <m/>
  </r>
  <r>
    <d v="2019-09-20T00:00:00"/>
    <x v="13"/>
    <x v="0"/>
    <x v="13"/>
    <m/>
    <m/>
    <s v="Guide fil"/>
    <s v="Chape du vérin endommagée"/>
    <s v="Réparation"/>
    <s v="Changement de la chape du vérin"/>
    <d v="2019-09-20T00:00:00"/>
    <m/>
    <m/>
    <x v="7"/>
    <x v="0"/>
    <m/>
  </r>
  <r>
    <d v="2019-09-20T00:00:00"/>
    <x v="28"/>
    <x v="0"/>
    <x v="28"/>
    <m/>
    <m/>
    <s v="Tir fil"/>
    <s v="Galet usé"/>
    <s v="Réparation"/>
    <s v="Changement des galets usés"/>
    <d v="2019-09-20T00:00:00"/>
    <m/>
    <m/>
    <x v="7"/>
    <x v="0"/>
    <m/>
  </r>
  <r>
    <d v="2019-09-20T00:00:00"/>
    <x v="20"/>
    <x v="0"/>
    <x v="20"/>
    <m/>
    <m/>
    <s v="Groupe hydraulique"/>
    <s v="Fuite d'huile "/>
    <s v="Réparation"/>
    <s v="Changement du flexible endommagé"/>
    <d v="2019-09-20T00:00:00"/>
    <m/>
    <n v="30"/>
    <x v="7"/>
    <x v="0"/>
    <m/>
  </r>
  <r>
    <d v="2019-09-21T00:00:00"/>
    <x v="0"/>
    <x v="0"/>
    <x v="0"/>
    <m/>
    <m/>
    <s v="Compresseur GA 75"/>
    <s v="Compresseur en panne"/>
    <s v="Réparation"/>
    <s v="Changement de deux contacteur usés"/>
    <d v="2019-09-21T00:00:00"/>
    <m/>
    <n v="3"/>
    <x v="7"/>
    <x v="0"/>
    <m/>
  </r>
  <r>
    <d v="2019-09-21T00:00:00"/>
    <x v="0"/>
    <x v="0"/>
    <x v="0"/>
    <m/>
    <m/>
    <s v="Circuit d'air comprimé"/>
    <s v="Fuite d'air"/>
    <s v="Réparation"/>
    <s v="Brasage par cuivre au niveau du trou present sur le tube d'air comprimé"/>
    <d v="2019-09-21T00:00:00"/>
    <m/>
    <n v="45"/>
    <x v="7"/>
    <x v="0"/>
    <m/>
  </r>
  <r>
    <d v="2019-09-21T00:00:00"/>
    <x v="2"/>
    <x v="1"/>
    <x v="2"/>
    <m/>
    <m/>
    <s v="Transbordeur"/>
    <s v="Arret innopiné du transbordeur (commutateur endommagé)"/>
    <s v="Changement"/>
    <s v="Changement de commutateur "/>
    <d v="2019-09-21T00:00:00"/>
    <m/>
    <n v="30"/>
    <x v="7"/>
    <x v="0"/>
    <m/>
  </r>
  <r>
    <d v="2019-09-23T00:00:00"/>
    <x v="0"/>
    <x v="0"/>
    <x v="0"/>
    <m/>
    <m/>
    <s v="Alimentation générale"/>
    <s v="Disjoncteur Haute tension HS"/>
    <s v="Réparation"/>
    <s v="Changement du disjoncteur "/>
    <d v="2019-09-23T00:00:00"/>
    <m/>
    <n v="4"/>
    <x v="7"/>
    <x v="0"/>
    <m/>
  </r>
  <r>
    <d v="2019-09-23T00:00:00"/>
    <x v="0"/>
    <x v="0"/>
    <x v="0"/>
    <m/>
    <m/>
    <s v="Système d'avancement"/>
    <s v="Fuite au niveau du régulateur"/>
    <s v="Changement"/>
    <s v="Changement des joints usés"/>
    <d v="2019-09-23T00:00:00"/>
    <m/>
    <n v="40"/>
    <x v="7"/>
    <x v="0"/>
    <m/>
  </r>
  <r>
    <d v="2019-09-23T00:00:00"/>
    <x v="3"/>
    <x v="1"/>
    <x v="3"/>
    <m/>
    <m/>
    <s v="Pince "/>
    <s v="PB du surchaufage du moteur "/>
    <s v="Réparation"/>
    <s v="Réparation du cable éléctrique endommagé du ventulateur "/>
    <d v="2019-09-23T00:00:00"/>
    <m/>
    <n v="45"/>
    <x v="7"/>
    <x v="0"/>
    <m/>
  </r>
  <r>
    <d v="2019-09-23T00:00:00"/>
    <x v="3"/>
    <x v="1"/>
    <x v="3"/>
    <m/>
    <m/>
    <s v="Transbordeur"/>
    <s v="PB d' éclairage au niveau des étuves "/>
    <s v="Changement"/>
    <s v="Changement des lampes et des starters "/>
    <d v="2019-09-23T00:00:00"/>
    <m/>
    <n v="30"/>
    <x v="7"/>
    <x v="0"/>
    <m/>
  </r>
  <r>
    <d v="2019-09-24T00:00:00"/>
    <x v="20"/>
    <x v="0"/>
    <x v="20"/>
    <m/>
    <m/>
    <s v="Chariot"/>
    <s v="Chariot usé"/>
    <s v="Changement"/>
    <s v="Changement du chariot par un neuf préalablement confectionné par les chaudraunniers"/>
    <d v="2019-09-24T00:00:00"/>
    <m/>
    <n v="45"/>
    <x v="7"/>
    <x v="0"/>
    <m/>
  </r>
  <r>
    <d v="2019-09-24T00:00:00"/>
    <x v="11"/>
    <x v="0"/>
    <x v="11"/>
    <m/>
    <m/>
    <s v="Cabestan"/>
    <s v="Usure de surface "/>
    <s v="Réparation"/>
    <s v="Chargement par soudage de la partie usé "/>
    <d v="2019-09-25T00:00:00"/>
    <m/>
    <s v="=SI(ESTVIDE([@[Date"/>
    <x v="7"/>
    <x v="0"/>
    <m/>
  </r>
  <r>
    <d v="2019-09-24T00:00:00"/>
    <x v="31"/>
    <x v="4"/>
    <x v="31"/>
    <m/>
    <m/>
    <s v="Boite à commande"/>
    <s v="Bouton endommagé"/>
    <s v="Dépannage"/>
    <s v="Changement du boutton usé"/>
    <d v="2019-10-24T00:00:00"/>
    <s v="Attente de livraison d'une nouvelle boite à commande"/>
    <s v="=SI(ESTVIDE([@[Date"/>
    <x v="9"/>
    <x v="0"/>
    <m/>
  </r>
  <r>
    <d v="2019-09-25T00:00:00"/>
    <x v="6"/>
    <x v="3"/>
    <x v="6"/>
    <m/>
    <m/>
    <s v="Alimentation générale"/>
    <s v="Cable d'alimentation endommagé"/>
    <s v="Réparation"/>
    <s v="Réparation de la partie endommagée du cable"/>
    <d v="2019-09-25T00:00:00"/>
    <m/>
    <n v="2"/>
    <x v="7"/>
    <x v="0"/>
    <m/>
  </r>
  <r>
    <d v="2019-09-25T00:00:00"/>
    <x v="3"/>
    <x v="1"/>
    <x v="3"/>
    <m/>
    <m/>
    <s v="Tirroir "/>
    <s v="Cadre du Tirroire usée "/>
    <s v="Changement"/>
    <s v="Changement du cadre et réglage du grille"/>
    <d v="2019-09-25T00:00:00"/>
    <m/>
    <n v="2"/>
    <x v="7"/>
    <x v="0"/>
    <m/>
  </r>
  <r>
    <d v="2019-09-27T00:00:00"/>
    <x v="3"/>
    <x v="1"/>
    <x v="3"/>
    <m/>
    <m/>
    <s v="Table vibrante "/>
    <s v="Courroie endommagée"/>
    <s v="Changement"/>
    <s v="changement du courroie 2800"/>
    <d v="2019-09-27T00:00:00"/>
    <m/>
    <m/>
    <x v="7"/>
    <x v="0"/>
    <m/>
  </r>
  <r>
    <d v="2019-09-28T00:00:00"/>
    <x v="3"/>
    <x v="1"/>
    <x v="3"/>
    <m/>
    <m/>
    <s v="Cercleuse "/>
    <s v="Courrie et poulie sont endommagé "/>
    <s v="Changement"/>
    <s v="Changement du courroie et poulie "/>
    <d v="2019-09-28T00:00:00"/>
    <m/>
    <n v="3"/>
    <x v="7"/>
    <x v="0"/>
    <m/>
  </r>
  <r>
    <d v="2019-09-30T00:00:00"/>
    <x v="2"/>
    <x v="1"/>
    <x v="2"/>
    <m/>
    <m/>
    <s v="Moule"/>
    <s v="Axe vérin endommagé"/>
    <s v="Changement"/>
    <s v="Changement du vérin "/>
    <d v="2019-09-30T00:00:00"/>
    <m/>
    <n v="3"/>
    <x v="7"/>
    <x v="0"/>
    <m/>
  </r>
  <r>
    <d v="2019-10-01T00:00:00"/>
    <x v="3"/>
    <x v="1"/>
    <x v="3"/>
    <m/>
    <m/>
    <s v="Descenseur"/>
    <s v="Déreglage de la chaine "/>
    <s v="Réglage"/>
    <s v="Réglage de la chaine du descensseur"/>
    <d v="2019-10-01T00:00:00"/>
    <m/>
    <n v="45"/>
    <x v="9"/>
    <x v="0"/>
    <m/>
  </r>
  <r>
    <d v="2019-10-01T00:00:00"/>
    <x v="0"/>
    <x v="0"/>
    <x v="0"/>
    <m/>
    <m/>
    <s v="Bloc de soudure"/>
    <s v="Pb presse de soudage"/>
    <s v="Réparation"/>
    <s v="Changement du kit joints usé"/>
    <d v="2019-10-01T00:00:00"/>
    <m/>
    <m/>
    <x v="9"/>
    <x v="0"/>
    <m/>
  </r>
  <r>
    <d v="2019-10-01T00:00:00"/>
    <x v="7"/>
    <x v="0"/>
    <x v="7"/>
    <m/>
    <m/>
    <s v="Groupe hydraulique"/>
    <s v="Accumulateur Vide"/>
    <s v="Réparation"/>
    <s v="Remplissage de deux accumulateurs par azote"/>
    <d v="2019-10-02T00:00:00"/>
    <m/>
    <s v="=SI(ESTVIDE([@[Date"/>
    <x v="9"/>
    <x v="0"/>
    <m/>
  </r>
  <r>
    <d v="2019-10-01T00:00:00"/>
    <x v="1"/>
    <x v="0"/>
    <x v="1"/>
    <m/>
    <m/>
    <s v="Cassette PR 3,80"/>
    <s v="Pb cassette"/>
    <s v="Réparation"/>
    <s v="Changement de deux roulement coniques 32008"/>
    <d v="2019-10-01T00:00:00"/>
    <m/>
    <m/>
    <x v="9"/>
    <x v="0"/>
    <m/>
  </r>
  <r>
    <d v="2019-10-01T00:00:00"/>
    <x v="1"/>
    <x v="0"/>
    <x v="1"/>
    <m/>
    <m/>
    <s v="Cassette PR 3,20"/>
    <s v="Pb Cassette"/>
    <s v="Réparation"/>
    <s v="Changement d'un jeu complet de galets crantés"/>
    <d v="2019-10-01T00:00:00"/>
    <m/>
    <n v="2"/>
    <x v="9"/>
    <x v="0"/>
    <m/>
  </r>
  <r>
    <d v="2019-10-02T00:00:00"/>
    <x v="17"/>
    <x v="0"/>
    <x v="17"/>
    <m/>
    <m/>
    <s v="Cisaille"/>
    <s v="Panne au niveau de la cisaille"/>
    <s v="Réparation"/>
    <s v="Changement de la vis de fixation de la douille de cisaille"/>
    <d v="2019-10-02T00:00:00"/>
    <m/>
    <n v="45"/>
    <x v="9"/>
    <x v="0"/>
    <m/>
  </r>
  <r>
    <d v="2019-10-02T00:00:00"/>
    <x v="11"/>
    <x v="0"/>
    <x v="11"/>
    <m/>
    <m/>
    <s v="Cercleuse"/>
    <s v="Fuite d'air"/>
    <s v="Réparation"/>
    <s v="Changement d'un joint torique endommagé"/>
    <d v="2019-10-02T00:00:00"/>
    <m/>
    <m/>
    <x v="9"/>
    <x v="0"/>
    <m/>
  </r>
  <r>
    <d v="2019-10-02T00:00:00"/>
    <x v="0"/>
    <x v="0"/>
    <x v="0"/>
    <m/>
    <m/>
    <s v="Guide fil"/>
    <s v="PB guide fil"/>
    <s v="Réparation"/>
    <s v="Changement d'un galet usé+ 2 axes du système d'avancement"/>
    <d v="2019-10-02T00:00:00"/>
    <m/>
    <n v="2"/>
    <x v="9"/>
    <x v="0"/>
    <m/>
  </r>
  <r>
    <d v="2019-10-03T00:00:00"/>
    <x v="20"/>
    <x v="0"/>
    <x v="20"/>
    <m/>
    <m/>
    <s v="Relacheur"/>
    <s v="Jeu sur galets"/>
    <s v="Réparation"/>
    <s v="Changement de 4 roulements usés"/>
    <d v="2019-10-03T00:00:00"/>
    <m/>
    <n v="45"/>
    <x v="9"/>
    <x v="0"/>
    <m/>
  </r>
  <r>
    <d v="2019-10-03T00:00:00"/>
    <x v="1"/>
    <x v="0"/>
    <x v="1"/>
    <m/>
    <m/>
    <s v="Variateur Cabestan 3"/>
    <s v="présence d'un court circuit au niveau de la carte"/>
    <s v="Réparation"/>
    <s v="Elimination du court circuit"/>
    <d v="2019-10-03T00:00:00"/>
    <m/>
    <n v="45"/>
    <x v="9"/>
    <x v="0"/>
    <m/>
  </r>
  <r>
    <d v="2019-10-03T00:00:00"/>
    <x v="20"/>
    <x v="0"/>
    <x v="20"/>
    <m/>
    <m/>
    <s v="Cassette PR6"/>
    <s v="Jeu sur galets"/>
    <s v="Réparation"/>
    <s v="Changement de 4 roulement coniques"/>
    <d v="2019-10-03T00:00:00"/>
    <m/>
    <m/>
    <x v="9"/>
    <x v="0"/>
    <m/>
  </r>
  <r>
    <d v="2019-10-04T00:00:00"/>
    <x v="23"/>
    <x v="4"/>
    <x v="23"/>
    <m/>
    <m/>
    <s v="Alimentation générale"/>
    <s v="Manque de phase"/>
    <s v="Réparation"/>
    <s v="Elimination d'un manque de phase"/>
    <d v="2019-10-04T00:00:00"/>
    <m/>
    <m/>
    <x v="9"/>
    <x v="0"/>
    <m/>
  </r>
  <r>
    <d v="2019-10-04T00:00:00"/>
    <x v="21"/>
    <x v="4"/>
    <x v="21"/>
    <m/>
    <m/>
    <s v="Tambour principale"/>
    <s v="Rupture du cable antigiratoire d6"/>
    <s v="Réparation"/>
    <s v="Changement du cable antigiratoire"/>
    <d v="2019-10-04T00:00:00"/>
    <m/>
    <n v="3"/>
    <x v="9"/>
    <x v="0"/>
    <m/>
  </r>
  <r>
    <d v="2019-10-04T00:00:00"/>
    <x v="24"/>
    <x v="4"/>
    <x v="24"/>
    <m/>
    <m/>
    <s v="Boite à commande"/>
    <s v="Mauvais contact"/>
    <s v="Réparation"/>
    <s v="Nettoyage de la carte et resserage des contacts"/>
    <d v="2019-10-04T00:00:00"/>
    <m/>
    <m/>
    <x v="9"/>
    <x v="0"/>
    <m/>
  </r>
  <r>
    <d v="2019-10-04T00:00:00"/>
    <x v="2"/>
    <x v="1"/>
    <x v="2"/>
    <m/>
    <m/>
    <s v="Transbordeur"/>
    <s v="Freinage innopiné du transbordeur"/>
    <s v="Réparation"/>
    <s v="Elimination des causes probable de freinage"/>
    <d v="2019-10-04T00:00:00"/>
    <m/>
    <m/>
    <x v="9"/>
    <x v="0"/>
    <m/>
  </r>
  <r>
    <d v="2019-10-05T00:00:00"/>
    <x v="3"/>
    <x v="1"/>
    <x v="3"/>
    <m/>
    <m/>
    <s v="Tiroir d'agitation"/>
    <s v="Jeu sur galets"/>
    <s v="Réparation"/>
    <s v="Serrage des galets"/>
    <d v="2019-10-05T00:00:00"/>
    <m/>
    <m/>
    <x v="9"/>
    <x v="0"/>
    <m/>
  </r>
  <r>
    <d v="2019-10-07T00:00:00"/>
    <x v="0"/>
    <x v="0"/>
    <x v="0"/>
    <m/>
    <m/>
    <s v="Bloc de soudure"/>
    <s v="Pb presse de soudage"/>
    <s v="Réparation"/>
    <s v="Changement des joints usés"/>
    <d v="2019-10-07T00:00:00"/>
    <m/>
    <m/>
    <x v="9"/>
    <x v="0"/>
    <m/>
  </r>
  <r>
    <d v="2019-10-08T00:00:00"/>
    <x v="3"/>
    <x v="1"/>
    <x v="3"/>
    <m/>
    <m/>
    <s v="Table vibrante"/>
    <s v="Rupture de la courroie 2800"/>
    <s v="Réparation"/>
    <s v="Changement d'une courroie 2800"/>
    <d v="2019-10-08T00:00:00"/>
    <m/>
    <n v="45"/>
    <x v="9"/>
    <x v="0"/>
    <m/>
  </r>
  <r>
    <d v="2019-10-09T00:00:00"/>
    <x v="3"/>
    <x v="1"/>
    <x v="3"/>
    <m/>
    <m/>
    <s v="Groupe hydraulique"/>
    <s v="Fuite d'huile au niveau du groupe"/>
    <s v="Réparation"/>
    <s v="Elimination de la fuite "/>
    <d v="2019-10-09T00:00:00"/>
    <m/>
    <m/>
    <x v="9"/>
    <x v="0"/>
    <m/>
  </r>
  <r>
    <d v="2019-10-09T00:00:00"/>
    <x v="3"/>
    <x v="1"/>
    <x v="3"/>
    <m/>
    <m/>
    <s v="Palletiseur"/>
    <s v="Bolcage  des rouleaux palletiseurs"/>
    <s v="Réparation"/>
    <s v="Changement de la chaine de transmission"/>
    <d v="2019-10-09T00:00:00"/>
    <m/>
    <n v="45"/>
    <x v="9"/>
    <x v="0"/>
    <m/>
  </r>
  <r>
    <d v="2019-10-10T00:00:00"/>
    <x v="0"/>
    <x v="0"/>
    <x v="0"/>
    <m/>
    <m/>
    <s v="Cisaille"/>
    <s v="Echauffement de l'embrayage de la cisaille"/>
    <s v="Réparation"/>
    <s v="Changment du support de garniture"/>
    <d v="2019-10-10T00:00:00"/>
    <m/>
    <m/>
    <x v="9"/>
    <x v="0"/>
    <m/>
  </r>
  <r>
    <d v="2019-10-12T00:00:00"/>
    <x v="4"/>
    <x v="0"/>
    <x v="4"/>
    <m/>
    <m/>
    <s v="Table élevatrice"/>
    <s v="Déreglage du niveau de la table"/>
    <s v="Réglage"/>
    <s v="Réglage du niveau de la table et remise à l'état initial"/>
    <d v="2019-10-12T00:00:00"/>
    <m/>
    <m/>
    <x v="9"/>
    <x v="0"/>
    <m/>
  </r>
  <r>
    <d v="2019-10-12T00:00:00"/>
    <x v="3"/>
    <x v="1"/>
    <x v="3"/>
    <m/>
    <m/>
    <s v="Cercleuse 08"/>
    <s v="Couteau usé"/>
    <s v="Réparation"/>
    <s v="Changement du couteau"/>
    <d v="2019-10-12T00:00:00"/>
    <m/>
    <m/>
    <x v="9"/>
    <x v="0"/>
    <m/>
  </r>
  <r>
    <d v="2019-10-15T00:00:00"/>
    <x v="20"/>
    <x v="0"/>
    <x v="20"/>
    <m/>
    <m/>
    <s v="Relacheur"/>
    <s v="Boulon usé"/>
    <s v="Réparation"/>
    <s v="Changement du boulon usé"/>
    <d v="2019-10-15T00:00:00"/>
    <m/>
    <m/>
    <x v="9"/>
    <x v="0"/>
    <m/>
  </r>
  <r>
    <d v="2019-10-15T00:00:00"/>
    <x v="1"/>
    <x v="0"/>
    <x v="1"/>
    <m/>
    <m/>
    <s v="Cassette 3,2"/>
    <s v="Fuite d'eau"/>
    <s v="Réparation"/>
    <s v="Changement d'un flexible d'eau"/>
    <d v="2019-10-15T00:00:00"/>
    <m/>
    <n v="30"/>
    <x v="9"/>
    <x v="0"/>
    <m/>
  </r>
  <r>
    <d v="2019-10-15T00:00:00"/>
    <x v="14"/>
    <x v="4"/>
    <x v="14"/>
    <m/>
    <m/>
    <s v="Moteur de deplacement"/>
    <s v="Deuxieme vitesse endommagée"/>
    <s v="Dépannage"/>
    <s v="Marche à une seule vitesse"/>
    <d v="2019-10-15T00:00:00"/>
    <s v="Arrêt prévu du pont roulant après achat d'un pont roulant 12T"/>
    <n v="30"/>
    <x v="9"/>
    <x v="0"/>
    <m/>
  </r>
  <r>
    <d v="2019-10-15T00:00:00"/>
    <x v="17"/>
    <x v="0"/>
    <x v="17"/>
    <m/>
    <m/>
    <s v="Redresseur"/>
    <s v="Roulements endommagés"/>
    <s v="Réparation"/>
    <s v="Changement des roulements endommagés"/>
    <d v="2019-10-15T00:00:00"/>
    <m/>
    <n v="3"/>
    <x v="9"/>
    <x v="0"/>
    <m/>
  </r>
  <r>
    <d v="2019-10-17T00:00:00"/>
    <x v="4"/>
    <x v="0"/>
    <x v="4"/>
    <m/>
    <m/>
    <s v="Bloc de soudure"/>
    <s v="Vis de fixation de 'axe plongeur cassé"/>
    <s v="Réparation"/>
    <s v="Changement de l'axe plongeur"/>
    <d v="2019-10-17T00:00:00"/>
    <m/>
    <n v="45"/>
    <x v="9"/>
    <x v="0"/>
    <m/>
  </r>
  <r>
    <d v="2019-10-18T00:00:00"/>
    <x v="5"/>
    <x v="2"/>
    <x v="5"/>
    <m/>
    <m/>
    <s v="Coulisse"/>
    <s v="Fuite d'huile"/>
    <s v="Changement"/>
    <s v="Changement d'un flexible endommagé"/>
    <d v="2019-10-18T00:00:00"/>
    <m/>
    <n v="30"/>
    <x v="9"/>
    <x v="0"/>
    <m/>
  </r>
  <r>
    <d v="2019-10-19T00:00:00"/>
    <x v="3"/>
    <x v="1"/>
    <x v="3"/>
    <m/>
    <m/>
    <s v="Convoyeur "/>
    <s v="Chaine détendu "/>
    <s v="Réparation"/>
    <s v="Tendage du chaine "/>
    <d v="2019-10-19T00:00:00"/>
    <m/>
    <n v="40"/>
    <x v="9"/>
    <x v="0"/>
    <m/>
  </r>
  <r>
    <d v="2019-10-20T00:00:00"/>
    <x v="22"/>
    <x v="0"/>
    <x v="22"/>
    <m/>
    <m/>
    <s v="Embrayage "/>
    <s v="Clavette endomagée "/>
    <s v="Changement"/>
    <s v="Changemet de la clavette aves vis de serrage"/>
    <d v="2019-10-25T00:00:00"/>
    <m/>
    <n v="3"/>
    <x v="9"/>
    <x v="0"/>
    <m/>
  </r>
  <r>
    <d v="2019-10-21T00:00:00"/>
    <x v="3"/>
    <x v="1"/>
    <x v="3"/>
    <m/>
    <m/>
    <s v="Pince "/>
    <s v="Disque de frein endommmagé"/>
    <s v="Changement"/>
    <s v="Changement du disque de frein endommagé"/>
    <d v="2019-10-21T00:00:00"/>
    <m/>
    <m/>
    <x v="9"/>
    <x v="0"/>
    <m/>
  </r>
  <r>
    <d v="2019-10-22T00:00:00"/>
    <x v="1"/>
    <x v="0"/>
    <x v="1"/>
    <m/>
    <m/>
    <s v="Pompe à graisse"/>
    <s v="Fuite de graisse"/>
    <s v="Réparation"/>
    <s v="Changement d'un flexible et d'un raccord endommagé"/>
    <d v="2019-10-22T00:00:00"/>
    <m/>
    <n v="30"/>
    <x v="9"/>
    <x v="0"/>
    <m/>
  </r>
  <r>
    <d v="2019-10-22T00:00:00"/>
    <x v="7"/>
    <x v="0"/>
    <x v="7"/>
    <m/>
    <m/>
    <s v="Reservoir chaine de transmission"/>
    <s v="Niveau d'huile bas"/>
    <s v="Réglage"/>
    <s v="Réajustement du niveau d'huile"/>
    <d v="2019-10-22T00:00:00"/>
    <m/>
    <m/>
    <x v="9"/>
    <x v="0"/>
    <m/>
  </r>
  <r>
    <d v="2019-10-23T00:00:00"/>
    <x v="3"/>
    <x v="1"/>
    <x v="3"/>
    <m/>
    <m/>
    <s v="Celcleuse 06"/>
    <s v="Fissure apparente sur feuillard"/>
    <s v="Dépannage"/>
    <s v="Affutage d'un rouleau usé"/>
    <d v="2019-10-23T00:00:00"/>
    <m/>
    <m/>
    <x v="9"/>
    <x v="0"/>
    <m/>
  </r>
  <r>
    <d v="2019-10-23T00:00:00"/>
    <x v="12"/>
    <x v="0"/>
    <x v="12"/>
    <m/>
    <m/>
    <s v="Ventilateur "/>
    <s v="Surchauffe du moteur"/>
    <s v="Changement"/>
    <s v="Chengement des vis de fixation et montage du ventilateur "/>
    <d v="2019-10-23T00:00:00"/>
    <m/>
    <n v="4"/>
    <x v="9"/>
    <x v="0"/>
    <m/>
  </r>
  <r>
    <d v="2019-10-23T00:00:00"/>
    <x v="2"/>
    <x v="1"/>
    <x v="2"/>
    <m/>
    <m/>
    <s v="Transbordeur"/>
    <s v="Cable d'alimentation endommagé"/>
    <s v="Changement"/>
    <s v="Changement de 2 cable "/>
    <d v="2019-10-23T00:00:00"/>
    <m/>
    <n v="2"/>
    <x v="9"/>
    <x v="0"/>
    <m/>
  </r>
  <r>
    <d v="2019-10-24T00:00:00"/>
    <x v="2"/>
    <x v="1"/>
    <x v="2"/>
    <m/>
    <m/>
    <s v="Enrouleur"/>
    <s v="Blocage de l'enrouler"/>
    <s v="Réparation"/>
    <s v="Changement du réducteur endommagé"/>
    <d v="2019-10-24T00:00:00"/>
    <s v="Réparation du réducteur endommagé"/>
    <n v="2"/>
    <x v="9"/>
    <x v="0"/>
    <m/>
  </r>
  <r>
    <d v="2019-10-24T00:00:00"/>
    <x v="2"/>
    <x v="1"/>
    <x v="2"/>
    <m/>
    <m/>
    <s v="Alimentation générale"/>
    <s v="Mauvais contact au niveau du relais de sécurité"/>
    <s v="Réparation"/>
    <s v="Elimination du mauvais contact"/>
    <d v="2019-10-24T00:00:00"/>
    <m/>
    <m/>
    <x v="9"/>
    <x v="0"/>
    <m/>
  </r>
  <r>
    <d v="2019-10-24T00:00:00"/>
    <x v="4"/>
    <x v="0"/>
    <x v="4"/>
    <m/>
    <m/>
    <s v="Bloc de soudure"/>
    <s v="Préventif"/>
    <s v="Confection"/>
    <s v="Débavurage de 20 électrodes"/>
    <d v="2019-10-24T00:00:00"/>
    <m/>
    <n v="30"/>
    <x v="9"/>
    <x v="0"/>
    <m/>
  </r>
  <r>
    <d v="2019-10-24T00:00:00"/>
    <x v="13"/>
    <x v="0"/>
    <x v="13"/>
    <m/>
    <m/>
    <s v="Circuit d'air comprimé"/>
    <s v="Fuite d'air"/>
    <s v="Réparation"/>
    <s v="Changement de 2 prises rapides"/>
    <d v="2019-10-24T00:00:00"/>
    <m/>
    <m/>
    <x v="9"/>
    <x v="0"/>
    <m/>
  </r>
  <r>
    <d v="2019-10-24T00:00:00"/>
    <x v="21"/>
    <x v="4"/>
    <x v="21"/>
    <m/>
    <m/>
    <s v="Tambour principale"/>
    <s v="Rupture du cable antigiratoire d6"/>
    <s v="Réparation"/>
    <s v="Changement du cable par un cable de diametre 8 (25m)"/>
    <d v="2019-10-24T00:00:00"/>
    <m/>
    <n v="1"/>
    <x v="9"/>
    <x v="0"/>
    <m/>
  </r>
  <r>
    <d v="2019-10-24T00:00:00"/>
    <x v="1"/>
    <x v="0"/>
    <x v="1"/>
    <m/>
    <m/>
    <s v="Variateur cabestan 2"/>
    <s v="Analog input err"/>
    <s v="Réparation"/>
    <s v="Réajustement du danseur"/>
    <d v="2019-10-24T00:00:00"/>
    <m/>
    <m/>
    <x v="9"/>
    <x v="0"/>
    <m/>
  </r>
  <r>
    <d v="2019-10-24T00:00:00"/>
    <x v="21"/>
    <x v="4"/>
    <x v="21"/>
    <m/>
    <m/>
    <s v="Cable antigiratoire "/>
    <s v="Cable endommagé"/>
    <s v="Changement"/>
    <s v="Changement du cable antigiratoire"/>
    <d v="2019-10-24T00:00:00"/>
    <m/>
    <n v="1"/>
    <x v="9"/>
    <x v="0"/>
    <m/>
  </r>
  <r>
    <d v="2019-10-24T00:00:00"/>
    <x v="1"/>
    <x v="0"/>
    <x v="1"/>
    <m/>
    <m/>
    <s v="Variateur "/>
    <s v="Analog input err"/>
    <s v="Réparation"/>
    <s v="Réajustement du danseur"/>
    <d v="2019-10-24T00:00:00"/>
    <m/>
    <n v="28"/>
    <x v="9"/>
    <x v="0"/>
    <m/>
  </r>
  <r>
    <d v="2019-10-24T00:00:00"/>
    <x v="20"/>
    <x v="0"/>
    <x v="20"/>
    <m/>
    <m/>
    <s v="Cassette PR9"/>
    <s v="Galet cranté endommagé"/>
    <s v="Changement"/>
    <s v="Changement du galet et nettoyage de la cassette "/>
    <d v="2019-10-25T00:00:00"/>
    <m/>
    <m/>
    <x v="9"/>
    <x v="0"/>
    <m/>
  </r>
  <r>
    <d v="2019-10-24T00:00:00"/>
    <x v="13"/>
    <x v="0"/>
    <x v="13"/>
    <m/>
    <m/>
    <s v="Circuit d'air comprimé"/>
    <s v="Deux prises rapides sont endomagée et vis cassée "/>
    <s v="Changement"/>
    <s v="Changement de 2 prises rapides et vis "/>
    <d v="2019-10-24T00:00:00"/>
    <m/>
    <m/>
    <x v="9"/>
    <x v="0"/>
    <m/>
  </r>
  <r>
    <d v="2019-10-24T00:00:00"/>
    <x v="5"/>
    <x v="2"/>
    <x v="5"/>
    <m/>
    <m/>
    <s v="Vibreur"/>
    <s v="Interupteur endommagé"/>
    <s v="Réparation"/>
    <s v="Changement d'interrupteur "/>
    <d v="2019-10-24T00:00:00"/>
    <m/>
    <m/>
    <x v="9"/>
    <x v="0"/>
    <m/>
  </r>
  <r>
    <d v="2019-10-24T00:00:00"/>
    <x v="20"/>
    <x v="0"/>
    <x v="20"/>
    <m/>
    <m/>
    <s v="Cassette PR9"/>
    <s v="Galet cranté endommagé"/>
    <s v="Changement"/>
    <s v="Changement du galet crenté et 2 roulement conique "/>
    <d v="2019-10-24T00:00:00"/>
    <m/>
    <n v="1"/>
    <x v="9"/>
    <x v="0"/>
    <m/>
  </r>
  <r>
    <d v="2019-10-25T00:00:00"/>
    <x v="1"/>
    <x v="0"/>
    <x v="1"/>
    <m/>
    <m/>
    <s v="Poste de soudage"/>
    <s v="Tige de bras endommagée"/>
    <s v="Changement"/>
    <s v="Changement de tige "/>
    <d v="2019-10-25T00:00:00"/>
    <m/>
    <n v="30"/>
    <x v="9"/>
    <x v="0"/>
    <m/>
  </r>
  <r>
    <d v="2019-10-25T00:00:00"/>
    <x v="20"/>
    <x v="0"/>
    <x v="20"/>
    <m/>
    <m/>
    <s v="Pompe à graisse"/>
    <s v="Nécessaire usée "/>
    <s v="Changement"/>
    <s v="Changement de nécessaire et nettoyage de la pompe "/>
    <d v="2019-10-25T00:00:00"/>
    <m/>
    <n v="2"/>
    <x v="9"/>
    <x v="0"/>
    <m/>
  </r>
  <r>
    <d v="2019-10-25T00:00:00"/>
    <x v="12"/>
    <x v="0"/>
    <x v="12"/>
    <m/>
    <m/>
    <s v="Circuit d'air comprimé"/>
    <s v="Joint torique de régulateur usée "/>
    <s v="Changement"/>
    <s v="Changement des joints du régulateur"/>
    <d v="2019-10-25T00:00:00"/>
    <m/>
    <m/>
    <x v="9"/>
    <x v="0"/>
    <m/>
  </r>
  <r>
    <d v="2019-10-25T00:00:00"/>
    <x v="2"/>
    <x v="1"/>
    <x v="2"/>
    <m/>
    <m/>
    <s v="Trasbordeur"/>
    <s v="Cable de détecteur endommagée "/>
    <s v="Dépannage"/>
    <s v="Dépannage du cable "/>
    <d v="2019-10-25T00:00:00"/>
    <m/>
    <m/>
    <x v="9"/>
    <x v="0"/>
    <m/>
  </r>
  <r>
    <d v="2019-10-25T00:00:00"/>
    <x v="3"/>
    <x v="1"/>
    <x v="3"/>
    <m/>
    <m/>
    <s v="Tirroir "/>
    <s v="Flexible endommagée "/>
    <s v="Réparation"/>
    <s v="Changement de flexible "/>
    <d v="2019-10-25T00:00:00"/>
    <m/>
    <n v="50"/>
    <x v="9"/>
    <x v="0"/>
    <m/>
  </r>
  <r>
    <d v="2019-10-25T00:00:00"/>
    <x v="5"/>
    <x v="2"/>
    <x v="5"/>
    <m/>
    <m/>
    <s v="Vibreur"/>
    <s v="Court circuit "/>
    <s v="Réparation"/>
    <s v="Elimination du court circuit"/>
    <d v="2019-10-25T00:00:00"/>
    <m/>
    <m/>
    <x v="9"/>
    <x v="0"/>
    <m/>
  </r>
  <r>
    <d v="2019-10-25T00:00:00"/>
    <x v="2"/>
    <x v="1"/>
    <x v="2"/>
    <m/>
    <m/>
    <s v="Moule"/>
    <s v="Vessie pneumatiques du moule endommagée "/>
    <s v="Changement"/>
    <s v="Changement de 2 vessies pneumatique"/>
    <d v="2019-10-26T00:00:00"/>
    <m/>
    <m/>
    <x v="9"/>
    <x v="0"/>
    <m/>
  </r>
  <r>
    <d v="2019-10-25T00:00:00"/>
    <x v="23"/>
    <x v="6"/>
    <x v="23"/>
    <m/>
    <m/>
    <s v="Moteur de deplacement"/>
    <s v="Défaut d'alignement du gaine d'alimentation"/>
    <s v="Réparation"/>
    <s v="Réglage de fixation et alignement du gaine"/>
    <d v="2019-10-25T00:00:00"/>
    <m/>
    <n v="1"/>
    <x v="9"/>
    <x v="0"/>
    <m/>
  </r>
  <r>
    <d v="2019-10-25T00:00:00"/>
    <x v="23"/>
    <x v="4"/>
    <x v="23"/>
    <m/>
    <m/>
    <s v="Galet de déplacement "/>
    <s v="Galet usé "/>
    <s v="Réparation"/>
    <s v="Changement du galet "/>
    <d v="2019-10-25T00:00:00"/>
    <m/>
    <n v="4"/>
    <x v="9"/>
    <x v="0"/>
    <m/>
  </r>
  <r>
    <d v="2019-10-26T00:00:00"/>
    <x v="1"/>
    <x v="0"/>
    <x v="1"/>
    <m/>
    <m/>
    <s v="Savennier "/>
    <s v="Pignon endommagée"/>
    <s v="Réparation"/>
    <s v="Changement du pignon et montage et démontage de réducteur "/>
    <d v="2019-10-26T00:00:00"/>
    <m/>
    <n v="2"/>
    <x v="9"/>
    <x v="0"/>
    <m/>
  </r>
  <r>
    <d v="2019-10-26T00:00:00"/>
    <x v="0"/>
    <x v="0"/>
    <x v="0"/>
    <m/>
    <m/>
    <s v="Pousse fil"/>
    <s v="Fuite de distributeur d'air"/>
    <s v="Changement"/>
    <s v="Changement de distributeur et arret d'huile "/>
    <d v="2019-10-26T00:00:00"/>
    <m/>
    <n v="2"/>
    <x v="9"/>
    <x v="0"/>
    <m/>
  </r>
  <r>
    <d v="2019-10-26T00:00:00"/>
    <x v="16"/>
    <x v="0"/>
    <x v="16"/>
    <m/>
    <m/>
    <s v="Porte électrode "/>
    <s v="Des bagues de porte électrode usé "/>
    <s v="Changement"/>
    <s v="Changement du bague et vis "/>
    <d v="2019-10-26T00:00:00"/>
    <m/>
    <n v="2"/>
    <x v="9"/>
    <x v="0"/>
    <m/>
  </r>
  <r>
    <d v="2019-10-27T00:00:00"/>
    <x v="2"/>
    <x v="1"/>
    <x v="2"/>
    <m/>
    <m/>
    <s v="Tirroir "/>
    <s v="Chaine d'accouplement endommagée"/>
    <s v="Changement"/>
    <s v="Changement du chaine et des vis de fixation "/>
    <d v="2019-10-27T00:00:00"/>
    <m/>
    <n v="45"/>
    <x v="9"/>
    <x v="0"/>
    <m/>
  </r>
  <r>
    <d v="2019-10-28T00:00:00"/>
    <x v="13"/>
    <x v="0"/>
    <x v="13"/>
    <m/>
    <m/>
    <s v="Cisaille"/>
    <s v="Galet de fixation camme endomagée "/>
    <s v="Réparation"/>
    <s v="Changemet du galet et réglage du camme "/>
    <d v="2019-10-28T00:00:00"/>
    <m/>
    <m/>
    <x v="9"/>
    <x v="0"/>
    <m/>
  </r>
  <r>
    <d v="2019-10-28T00:00:00"/>
    <x v="0"/>
    <x v="0"/>
    <x v="0"/>
    <m/>
    <m/>
    <s v="Empileur"/>
    <s v="Rédelles usée"/>
    <s v="Réparation"/>
    <s v="Soudage et moulage du rédelle "/>
    <d v="2019-10-28T00:00:00"/>
    <m/>
    <m/>
    <x v="9"/>
    <x v="0"/>
    <m/>
  </r>
  <r>
    <d v="2019-10-28T00:00:00"/>
    <x v="0"/>
    <x v="0"/>
    <x v="0"/>
    <m/>
    <m/>
    <s v="PResse"/>
    <s v="Nécessaire usée "/>
    <s v="Réparation"/>
    <s v="Changement de nécessaire et nettoyage de la presse"/>
    <d v="2019-01-28T00:00:00"/>
    <m/>
    <n v="1"/>
    <x v="0"/>
    <x v="0"/>
    <m/>
  </r>
  <r>
    <d v="2019-10-28T00:00:00"/>
    <x v="5"/>
    <x v="2"/>
    <x v="5"/>
    <m/>
    <m/>
    <s v="Convoyeur "/>
    <s v="Bonde de convoyeur n'est pas alignée"/>
    <s v="Réparation"/>
    <s v="Tandage et réglafe du bonde "/>
    <d v="2019-10-28T00:00:00"/>
    <m/>
    <n v="1"/>
    <x v="9"/>
    <x v="0"/>
    <m/>
  </r>
  <r>
    <d v="2019-10-28T00:00:00"/>
    <x v="32"/>
    <x v="7"/>
    <x v="32"/>
    <m/>
    <m/>
    <s v="Filtre "/>
    <s v="Filtre ( CS150- P25-A) a endommagée et cable en court circuit "/>
    <s v="Dépannage"/>
    <s v="Dépannage du circuit  et dépannage du cable "/>
    <d v="2019-10-28T00:00:00"/>
    <s v="Attent livraison d'un filtre "/>
    <n v="3"/>
    <x v="9"/>
    <x v="0"/>
    <m/>
  </r>
  <r>
    <d v="2019-10-28T00:00:00"/>
    <x v="20"/>
    <x v="0"/>
    <x v="20"/>
    <m/>
    <m/>
    <s v="Systéme de dressage "/>
    <s v="Des roulements systéme de dressage endommagée"/>
    <s v="Changement"/>
    <s v="Chanegement de 2 roulement "/>
    <d v="2019-10-28T00:00:00"/>
    <m/>
    <n v="45"/>
    <x v="9"/>
    <x v="0"/>
    <m/>
  </r>
  <r>
    <d v="2019-10-28T00:00:00"/>
    <x v="20"/>
    <x v="0"/>
    <x v="20"/>
    <m/>
    <m/>
    <s v="Savennier "/>
    <s v="Palier usé"/>
    <s v="Changement"/>
    <s v="Changement du palier "/>
    <d v="2019-10-28T00:00:00"/>
    <m/>
    <n v="45"/>
    <x v="9"/>
    <x v="0"/>
    <m/>
  </r>
  <r>
    <d v="2019-10-28T00:00:00"/>
    <x v="11"/>
    <x v="0"/>
    <x v="11"/>
    <m/>
    <m/>
    <s v="Poste de soudage"/>
    <s v="Cable d'alimentation coupée"/>
    <s v="Dépannage"/>
    <s v="Dépannage du cable "/>
    <d v="2019-10-28T00:00:00"/>
    <m/>
    <n v="45"/>
    <x v="9"/>
    <x v="0"/>
    <m/>
  </r>
  <r>
    <d v="2019-10-28T00:00:00"/>
    <x v="22"/>
    <x v="0"/>
    <x v="22"/>
    <m/>
    <m/>
    <s v="Guide fil"/>
    <s v="Galet guide fil usé "/>
    <s v="Changement"/>
    <s v="changement de galet "/>
    <d v="2019-10-28T00:00:00"/>
    <m/>
    <m/>
    <x v="9"/>
    <x v="0"/>
    <m/>
  </r>
  <r>
    <d v="2019-10-28T00:00:00"/>
    <x v="24"/>
    <x v="4"/>
    <x v="24"/>
    <m/>
    <m/>
    <s v="Gaine d'alimentation"/>
    <s v="Manque de phase "/>
    <s v="Réparation"/>
    <s v="Installation d'un nouveau chariot collecteur"/>
    <d v="2019-10-28T00:00:00"/>
    <m/>
    <n v="2"/>
    <x v="9"/>
    <x v="0"/>
    <m/>
  </r>
  <r>
    <d v="2019-10-28T00:00:00"/>
    <x v="3"/>
    <x v="1"/>
    <x v="3"/>
    <m/>
    <m/>
    <s v="Convoyeur "/>
    <s v="Coupure au niveau du courroie thermosoudable "/>
    <s v="Réparation"/>
    <s v="Soudage du courroie "/>
    <d v="2019-10-28T00:00:00"/>
    <m/>
    <m/>
    <x v="9"/>
    <x v="0"/>
    <m/>
  </r>
  <r>
    <d v="2019-10-29T00:00:00"/>
    <x v="4"/>
    <x v="0"/>
    <x v="4"/>
    <m/>
    <m/>
    <s v="Empileur"/>
    <s v="Des vis cassée et désérer et guide endommagée "/>
    <s v="Réparation"/>
    <s v="Sérrage et changement des vis et dréssage des guide"/>
    <d v="2019-10-29T00:00:00"/>
    <m/>
    <n v="40"/>
    <x v="9"/>
    <x v="0"/>
    <m/>
  </r>
  <r>
    <d v="2019-10-29T00:00:00"/>
    <x v="11"/>
    <x v="0"/>
    <x v="11"/>
    <m/>
    <m/>
    <s v="Cabiston "/>
    <s v="Surface de cabiston usée"/>
    <s v="Réparation"/>
    <s v="Soudage du partie usée "/>
    <d v="2019-10-29T00:00:00"/>
    <m/>
    <n v="4"/>
    <x v="9"/>
    <x v="0"/>
    <m/>
  </r>
  <r>
    <d v="2019-10-29T00:00:00"/>
    <x v="22"/>
    <x v="0"/>
    <x v="22"/>
    <m/>
    <m/>
    <s v="Embrayage "/>
    <s v="Clavite usé "/>
    <s v="Changement"/>
    <s v="Changement du clavite "/>
    <d v="2019-10-29T00:00:00"/>
    <m/>
    <m/>
    <x v="9"/>
    <x v="0"/>
    <m/>
  </r>
  <r>
    <d v="2019-10-29T00:00:00"/>
    <x v="13"/>
    <x v="0"/>
    <x v="13"/>
    <m/>
    <m/>
    <s v="Guide fil"/>
    <s v="Galet usé "/>
    <s v="Changement"/>
    <s v="Changement du galet "/>
    <d v="2019-10-29T00:00:00"/>
    <m/>
    <m/>
    <x v="9"/>
    <x v="0"/>
    <m/>
  </r>
  <r>
    <d v="2019-10-29T00:00:00"/>
    <x v="2"/>
    <x v="1"/>
    <x v="2"/>
    <m/>
    <m/>
    <s v="Convyeur "/>
    <s v="Coupure au niveau du courroie thermosoudable "/>
    <s v="Réparation"/>
    <s v="Soudage du courroie "/>
    <d v="2019-10-29T00:00:00"/>
    <m/>
    <m/>
    <x v="9"/>
    <x v="0"/>
    <m/>
  </r>
  <r>
    <d v="2019-10-30T00:00:00"/>
    <x v="4"/>
    <x v="0"/>
    <x v="4"/>
    <m/>
    <m/>
    <s v="Magasin du trame"/>
    <s v="Endommage au niveau du amaine p6"/>
    <s v="Réparation"/>
    <s v="Taraudage et changement de 2 vis BTR "/>
    <d v="2019-10-30T00:00:00"/>
    <m/>
    <m/>
    <x v="9"/>
    <x v="0"/>
    <m/>
  </r>
  <r>
    <d v="2019-10-30T00:00:00"/>
    <x v="5"/>
    <x v="2"/>
    <x v="5"/>
    <m/>
    <m/>
    <s v="Motoréducteur"/>
    <s v="Coupure Électrique "/>
    <s v="Réparation"/>
    <s v="Changement du roulement et des vis du fixation "/>
    <d v="2019-10-30T00:00:00"/>
    <m/>
    <m/>
    <x v="9"/>
    <x v="0"/>
    <m/>
  </r>
  <r>
    <d v="2019-10-30T00:00:00"/>
    <x v="4"/>
    <x v="0"/>
    <x v="4"/>
    <m/>
    <m/>
    <m/>
    <s v="Coupure Électrique "/>
    <s v="Réparation"/>
    <s v="Redémarrer et remise de la machine "/>
    <d v="2019-10-30T00:00:00"/>
    <m/>
    <m/>
    <x v="9"/>
    <x v="0"/>
    <m/>
  </r>
  <r>
    <d v="2019-10-30T00:00:00"/>
    <x v="21"/>
    <x v="4"/>
    <x v="21"/>
    <m/>
    <m/>
    <s v="Moteur de deplacement"/>
    <s v="Manque de phase "/>
    <s v="Changement"/>
    <s v="Changement du contacteur "/>
    <d v="2019-10-30T00:00:00"/>
    <m/>
    <n v="40"/>
    <x v="9"/>
    <x v="0"/>
    <m/>
  </r>
  <r>
    <d v="2019-10-30T00:00:00"/>
    <x v="3"/>
    <x v="1"/>
    <x v="3"/>
    <m/>
    <m/>
    <s v="Circuit d'adjuvant "/>
    <s v="Bobinede contacteur du commande endommagée "/>
    <s v="Changement"/>
    <s v="Changement du bobine"/>
    <d v="2019-10-30T00:00:00"/>
    <m/>
    <n v="40"/>
    <x v="9"/>
    <x v="0"/>
    <m/>
  </r>
  <r>
    <d v="2019-10-30T00:00:00"/>
    <x v="2"/>
    <x v="1"/>
    <x v="2"/>
    <m/>
    <m/>
    <s v="Transbordeur"/>
    <s v="Axe et palier endommagée "/>
    <s v="Changement"/>
    <s v="Changement d'axe et palier "/>
    <d v="2019-10-30T00:00:00"/>
    <m/>
    <n v="2"/>
    <x v="9"/>
    <x v="0"/>
    <m/>
  </r>
  <r>
    <d v="2019-10-31T00:00:00"/>
    <x v="1"/>
    <x v="0"/>
    <x v="1"/>
    <m/>
    <m/>
    <s v="Variateur"/>
    <s v="Mauvais contact au niveau du relais de statique"/>
    <s v="Réparation"/>
    <s v="Eliminatin du mauvais contact"/>
    <d v="2019-10-31T00:00:00"/>
    <m/>
    <m/>
    <x v="9"/>
    <x v="0"/>
    <m/>
  </r>
  <r>
    <d v="2019-10-31T00:00:00"/>
    <x v="2"/>
    <x v="1"/>
    <x v="2"/>
    <m/>
    <m/>
    <s v="Skip"/>
    <s v="Cable antigiratiore endommagé déformation du skip "/>
    <s v="Réparation"/>
    <s v="Changement du cable et axe dressage du skip et changement du tole "/>
    <d v="2019-10-31T00:00:00"/>
    <m/>
    <s v="1j7"/>
    <x v="9"/>
    <x v="0"/>
    <m/>
  </r>
  <r>
    <d v="2019-11-01T00:00:00"/>
    <x v="3"/>
    <x v="1"/>
    <x v="3"/>
    <m/>
    <m/>
    <s v="Cercleuse 06"/>
    <s v="Détecteur endommagée "/>
    <s v="Changement"/>
    <s v="Changement du détecteur"/>
    <d v="2019-11-01T00:00:00"/>
    <m/>
    <n v="30"/>
    <x v="10"/>
    <x v="0"/>
    <m/>
  </r>
  <r>
    <d v="2019-11-01T00:00:00"/>
    <x v="2"/>
    <x v="1"/>
    <x v="2"/>
    <m/>
    <m/>
    <s v="Malaxeur"/>
    <s v="Déréglage du programme "/>
    <s v="Réparation"/>
    <s v="Réinitialisation du programme et mise du cycle a l'état initial"/>
    <d v="2019-10-01T00:00:00"/>
    <m/>
    <n v="2"/>
    <x v="9"/>
    <x v="0"/>
    <m/>
  </r>
  <r>
    <d v="2019-11-01T00:00:00"/>
    <x v="1"/>
    <x v="0"/>
    <x v="1"/>
    <m/>
    <m/>
    <s v="Pompe à graisse"/>
    <s v="Circuit d'air bouché"/>
    <s v="Réparation"/>
    <s v="Elimination du calcaire et débouchage du circuit"/>
    <d v="2019-11-01T00:00:00"/>
    <m/>
    <n v="30"/>
    <x v="10"/>
    <x v="0"/>
    <m/>
  </r>
  <r>
    <d v="2019-11-04T00:00:00"/>
    <x v="2"/>
    <x v="1"/>
    <x v="2"/>
    <m/>
    <m/>
    <s v="Convyoeur "/>
    <s v="chaine endommagé "/>
    <s v="Changement"/>
    <s v="Changement du chaine "/>
    <d v="2019-11-04T00:00:00"/>
    <m/>
    <n v="30"/>
    <x v="10"/>
    <x v="0"/>
    <m/>
  </r>
  <r>
    <d v="2019-11-04T00:00:00"/>
    <x v="16"/>
    <x v="0"/>
    <x v="16"/>
    <m/>
    <m/>
    <s v="Poste de soudage"/>
    <s v="Commutateur endommagé"/>
    <s v="Réparation"/>
    <s v="Changement du commutateur endommagé"/>
    <d v="2019-11-04T00:00:00"/>
    <m/>
    <n v="30"/>
    <x v="10"/>
    <x v="0"/>
    <m/>
  </r>
  <r>
    <d v="2019-11-04T00:00:00"/>
    <x v="20"/>
    <x v="0"/>
    <x v="20"/>
    <m/>
    <m/>
    <s v="Cercleuse"/>
    <s v="Goupilles machoire endommagée"/>
    <s v="Réparation"/>
    <s v="Changement des goupie endommagée"/>
    <d v="2019-11-04T00:00:00"/>
    <m/>
    <n v="1"/>
    <x v="10"/>
    <x v="0"/>
    <m/>
  </r>
  <r>
    <d v="2019-11-04T00:00:00"/>
    <x v="1"/>
    <x v="0"/>
    <x v="1"/>
    <m/>
    <m/>
    <s v="Cassette PR4"/>
    <s v="Défaut d'alignement des galet"/>
    <s v="Réparation"/>
    <s v="Nettoyage et zoomage de la cassette"/>
    <d v="2019-11-04T00:00:00"/>
    <m/>
    <m/>
    <x v="10"/>
    <x v="0"/>
    <m/>
  </r>
  <r>
    <d v="2019-11-05T00:00:00"/>
    <x v="2"/>
    <x v="1"/>
    <x v="2"/>
    <m/>
    <m/>
    <s v="Tiroir "/>
    <s v="Usure du pates de moteur "/>
    <s v="Réparation"/>
    <s v="Changement du moteur et du chaine d'accouplement "/>
    <d v="2019-11-05T00:00:00"/>
    <m/>
    <n v="40"/>
    <x v="10"/>
    <x v="0"/>
    <m/>
  </r>
  <r>
    <d v="2019-11-05T00:00:00"/>
    <x v="1"/>
    <x v="0"/>
    <x v="1"/>
    <m/>
    <m/>
    <s v="Cassette PR3,8"/>
    <s v="Roulements usés"/>
    <s v="Réparation"/>
    <s v="changement de 2 roulement 32008 + zoomage"/>
    <d v="2019-11-05T00:00:00"/>
    <m/>
    <n v="1"/>
    <x v="10"/>
    <x v="0"/>
    <m/>
  </r>
  <r>
    <d v="2019-11-05T00:00:00"/>
    <x v="20"/>
    <x v="0"/>
    <x v="20"/>
    <m/>
    <m/>
    <s v="Cassette PR10"/>
    <s v="Surface de galet usé"/>
    <s v="Réparation"/>
    <s v="Changement d'un jeu complet de galet PR10 + zoomage"/>
    <d v="2019-11-05T00:00:00"/>
    <m/>
    <n v="3"/>
    <x v="10"/>
    <x v="0"/>
    <m/>
  </r>
  <r>
    <d v="2019-11-07T00:00:00"/>
    <x v="3"/>
    <x v="1"/>
    <x v="3"/>
    <m/>
    <m/>
    <s v="Cercleuse 06"/>
    <s v="Ressort endommagé "/>
    <s v="Changement"/>
    <s v="Changement du ressort endommagé"/>
    <d v="2019-11-07T00:00:00"/>
    <m/>
    <n v="30"/>
    <x v="10"/>
    <x v="0"/>
    <m/>
  </r>
  <r>
    <d v="2019-11-11T00:00:00"/>
    <x v="2"/>
    <x v="1"/>
    <x v="2"/>
    <m/>
    <m/>
    <s v="Silo à ciment"/>
    <s v="blocage au niveau du vis "/>
    <s v="Réparation"/>
    <s v="Elimination d'un corps étrangé sur le vis "/>
    <d v="2019-11-11T00:00:00"/>
    <m/>
    <n v="40"/>
    <x v="10"/>
    <x v="0"/>
    <m/>
  </r>
  <r>
    <d v="2019-11-12T00:00:00"/>
    <x v="2"/>
    <x v="1"/>
    <x v="2"/>
    <m/>
    <m/>
    <s v="Malaxeur"/>
    <s v="Pales du pattes usée "/>
    <s v="Changement"/>
    <s v="Changement du pales du pattes "/>
    <d v="2019-11-12T00:00:00"/>
    <m/>
    <m/>
    <x v="10"/>
    <x v="0"/>
    <m/>
  </r>
  <r>
    <d v="2019-11-12T00:00:00"/>
    <x v="2"/>
    <x v="1"/>
    <x v="2"/>
    <m/>
    <m/>
    <s v="Convoyeur "/>
    <s v="Courroie thermosoudable usée "/>
    <s v="Réparation"/>
    <s v="Changement et soudage du courroie thermosoudable "/>
    <d v="2019-11-12T00:00:00"/>
    <m/>
    <n v="30"/>
    <x v="10"/>
    <x v="0"/>
    <m/>
  </r>
  <r>
    <d v="2019-11-12T00:00:00"/>
    <x v="2"/>
    <x v="1"/>
    <x v="2"/>
    <m/>
    <m/>
    <s v="Tiroir "/>
    <s v="mauvais contact au niveau du relais de sécurité "/>
    <s v="Réparation"/>
    <s v="Elimination du mauvais contact"/>
    <d v="2019-11-12T00:00:00"/>
    <m/>
    <n v="2"/>
    <x v="10"/>
    <x v="0"/>
    <m/>
  </r>
  <r>
    <d v="2019-11-12T00:00:00"/>
    <x v="3"/>
    <x v="1"/>
    <x v="3"/>
    <m/>
    <m/>
    <s v="Tiroir "/>
    <s v="Cadre du Tirroire usée et bras et des axes sont endommagé "/>
    <s v="Réparation"/>
    <s v="Soudage du cadre et changement du bras et des axes "/>
    <d v="2019-11-16T00:00:00"/>
    <m/>
    <n v="5"/>
    <x v="10"/>
    <x v="0"/>
    <m/>
  </r>
  <r>
    <d v="2019-11-12T00:00:00"/>
    <x v="1"/>
    <x v="0"/>
    <x v="1"/>
    <m/>
    <m/>
    <s v="Cabestan 1 et 2 "/>
    <s v="Surface de cabestan usée"/>
    <s v="Réparation"/>
    <s v="Chargement de surface de la partie usée et débouchage du circuit de refroidissement "/>
    <d v="2019-11-12T00:00:00"/>
    <m/>
    <n v="6"/>
    <x v="10"/>
    <x v="0"/>
    <m/>
  </r>
  <r>
    <d v="2019-11-12T00:00:00"/>
    <x v="1"/>
    <x v="0"/>
    <x v="1"/>
    <m/>
    <m/>
    <s v="Cercleuse"/>
    <s v="Goupille endommagées"/>
    <s v="Réparation"/>
    <s v="Changement des goupilles endommagée"/>
    <d v="2019-11-12T00:00:00"/>
    <m/>
    <m/>
    <x v="10"/>
    <x v="0"/>
    <m/>
  </r>
  <r>
    <d v="2019-11-13T00:00:00"/>
    <x v="22"/>
    <x v="0"/>
    <x v="22"/>
    <m/>
    <m/>
    <s v="Cisaille"/>
    <s v="Clavette endomagée "/>
    <s v="Réparation"/>
    <s v="Changement de la clavette endommagée"/>
    <d v="2019-11-13T00:00:00"/>
    <m/>
    <n v="3"/>
    <x v="10"/>
    <x v="0"/>
    <m/>
  </r>
  <r>
    <d v="2019-11-13T00:00:00"/>
    <x v="0"/>
    <x v="0"/>
    <x v="0"/>
    <m/>
    <m/>
    <s v="Bloc de soudure"/>
    <s v="Porte electrode endommagé"/>
    <s v="Réparation"/>
    <s v="Changement du porte électrode"/>
    <d v="2019-11-13T00:00:00"/>
    <m/>
    <n v="30"/>
    <x v="10"/>
    <x v="0"/>
    <m/>
  </r>
  <r>
    <d v="2019-11-13T00:00:00"/>
    <x v="20"/>
    <x v="0"/>
    <x v="20"/>
    <m/>
    <m/>
    <s v="Relacheur"/>
    <s v="Roulements usés"/>
    <s v="Réparation"/>
    <s v="Changement de 4 roulements 6304-22"/>
    <d v="2019-11-13T00:00:00"/>
    <m/>
    <n v="1"/>
    <x v="10"/>
    <x v="0"/>
    <m/>
  </r>
  <r>
    <d v="2019-11-14T00:00:00"/>
    <x v="17"/>
    <x v="0"/>
    <x v="17"/>
    <m/>
    <m/>
    <s v="Cisaille"/>
    <s v="Vis de rappel endommagé"/>
    <s v="Réparation"/>
    <s v="Changement du vis endommagé"/>
    <d v="2019-11-14T00:00:00"/>
    <m/>
    <m/>
    <x v="10"/>
    <x v="0"/>
    <m/>
  </r>
  <r>
    <d v="2019-11-15T00:00:00"/>
    <x v="3"/>
    <x v="1"/>
    <x v="3"/>
    <m/>
    <m/>
    <s v="Cercleuse 06"/>
    <s v="Décalage de la tête chauffante"/>
    <s v="Réglage"/>
    <s v="Réglage de la tête chauffante"/>
    <d v="2019-11-15T00:00:00"/>
    <m/>
    <n v="30"/>
    <x v="10"/>
    <x v="0"/>
    <m/>
  </r>
  <r>
    <d v="2019-11-16T00:00:00"/>
    <x v="1"/>
    <x v="0"/>
    <x v="1"/>
    <m/>
    <m/>
    <s v="Cassere PR4"/>
    <s v="Roulement endommagé"/>
    <s v="Réparation"/>
    <s v="Changement de 2 roulement 32008 + zoomage"/>
    <d v="2019-11-16T00:00:00"/>
    <m/>
    <n v="2"/>
    <x v="10"/>
    <x v="0"/>
    <m/>
  </r>
  <r>
    <d v="2019-11-18T00:00:00"/>
    <x v="19"/>
    <x v="0"/>
    <x v="19"/>
    <m/>
    <m/>
    <s v="Table du redresseur"/>
    <s v="Vis de réglage endommagé"/>
    <s v="Réparation"/>
    <s v="Changement de la vis et réglage de la hauteur de la table"/>
    <d v="2019-11-18T00:00:00"/>
    <m/>
    <n v="1"/>
    <x v="10"/>
    <x v="0"/>
    <m/>
  </r>
  <r>
    <d v="2019-11-19T00:00:00"/>
    <x v="3"/>
    <x v="1"/>
    <x v="3"/>
    <m/>
    <m/>
    <s v="Pupitre de commande"/>
    <s v="Switch Manuel/ automatique endommagé"/>
    <s v="Réparation"/>
    <s v="Changement du switch endommagé"/>
    <d v="2019-11-19T00:00:00"/>
    <m/>
    <m/>
    <x v="10"/>
    <x v="0"/>
    <m/>
  </r>
  <r>
    <d v="2019-11-19T00:00:00"/>
    <x v="3"/>
    <x v="1"/>
    <x v="3"/>
    <m/>
    <m/>
    <s v="Tiroir"/>
    <s v="Chaine guide cable endommagée"/>
    <s v="Réparation"/>
    <s v="Elimination du morceau endommagé"/>
    <d v="2019-11-19T00:00:00"/>
    <m/>
    <m/>
    <x v="10"/>
    <x v="0"/>
    <m/>
  </r>
  <r>
    <d v="2019-11-20T00:00:00"/>
    <x v="3"/>
    <x v="1"/>
    <x v="3"/>
    <m/>
    <m/>
    <s v="Skip"/>
    <s v="Vis de fixation de l'arbre endommagé"/>
    <s v="Réparation"/>
    <s v="Changement des vis"/>
    <d v="2019-11-20T00:00:00"/>
    <m/>
    <m/>
    <x v="10"/>
    <x v="0"/>
    <m/>
  </r>
  <r>
    <d v="2019-11-21T00:00:00"/>
    <x v="20"/>
    <x v="0"/>
    <x v="20"/>
    <m/>
    <m/>
    <s v="Cassette PR8"/>
    <s v="Roulements Endommagés"/>
    <s v="Réparation"/>
    <s v="Changeent de 6 roulements 32008"/>
    <d v="2019-11-21T00:00:00"/>
    <m/>
    <n v="1"/>
    <x v="10"/>
    <x v="0"/>
    <m/>
  </r>
  <r>
    <d v="2019-11-22T00:00:00"/>
    <x v="7"/>
    <x v="0"/>
    <x v="7"/>
    <m/>
    <m/>
    <s v="Cisaille"/>
    <s v="Fuite d'huile"/>
    <s v="Réparation"/>
    <s v="Changement du flexible endommagé"/>
    <d v="2019-11-22T00:00:00"/>
    <m/>
    <m/>
    <x v="10"/>
    <x v="0"/>
    <m/>
  </r>
  <r>
    <d v="2019-11-22T00:00:00"/>
    <x v="20"/>
    <x v="0"/>
    <x v="20"/>
    <m/>
    <m/>
    <s v="Cercleuse"/>
    <s v="Goupies endommagées"/>
    <s v="Réparation"/>
    <s v="Changement des goupies endommagées"/>
    <d v="2019-11-22T00:00:00"/>
    <m/>
    <n v="45"/>
    <x v="10"/>
    <x v="0"/>
    <m/>
  </r>
  <r>
    <d v="2019-11-22T00:00:00"/>
    <x v="20"/>
    <x v="0"/>
    <x v="20"/>
    <m/>
    <m/>
    <s v="Cassette PR8"/>
    <s v="Galet cranté endommagé"/>
    <s v="Réparation"/>
    <s v="Changement d'un jeu complet de galets crantés"/>
    <d v="2019-11-22T00:00:00"/>
    <m/>
    <n v="3"/>
    <x v="10"/>
    <x v="0"/>
    <m/>
  </r>
  <r>
    <d v="2019-11-23T00:00:00"/>
    <x v="1"/>
    <x v="0"/>
    <x v="1"/>
    <m/>
    <m/>
    <s v="Cercleuse"/>
    <s v="Goupilles endommagées"/>
    <s v="Réparation"/>
    <s v="Changement des goupilles endommagées"/>
    <d v="2019-11-23T00:00:00"/>
    <m/>
    <n v="30"/>
    <x v="10"/>
    <x v="0"/>
    <m/>
  </r>
  <r>
    <d v="2019-11-23T00:00:00"/>
    <x v="1"/>
    <x v="0"/>
    <x v="1"/>
    <m/>
    <m/>
    <s v="Pompe à graisse"/>
    <s v="Circuit bouché"/>
    <s v="Réparation"/>
    <s v="Débouchage du circuit d'air comprimé"/>
    <d v="2019-11-23T00:00:00"/>
    <m/>
    <n v="30"/>
    <x v="10"/>
    <x v="0"/>
    <m/>
  </r>
  <r>
    <d v="2019-11-23T00:00:00"/>
    <x v="18"/>
    <x v="4"/>
    <x v="18"/>
    <m/>
    <m/>
    <s v="Alimentation générale"/>
    <s v="Pb électrique"/>
    <s v="Réparation"/>
    <s v="Ajout d'un chariot collecteur"/>
    <d v="2019-11-23T00:00:00"/>
    <m/>
    <n v="3"/>
    <x v="10"/>
    <x v="0"/>
    <m/>
  </r>
  <r>
    <d v="2019-11-23T00:00:00"/>
    <x v="0"/>
    <x v="0"/>
    <x v="0"/>
    <m/>
    <m/>
    <s v="Amenée FT"/>
    <s v="Pb aimant"/>
    <s v="Réparation"/>
    <s v="Changement de l'aimant endommagé"/>
    <d v="2019-11-23T00:00:00"/>
    <m/>
    <m/>
    <x v="10"/>
    <x v="0"/>
    <m/>
  </r>
  <r>
    <d v="2019-11-24T00:00:00"/>
    <x v="3"/>
    <x v="1"/>
    <x v="3"/>
    <m/>
    <m/>
    <s v="Skip"/>
    <s v="Arbre de la porte de dechargement tordu "/>
    <s v="Réparation"/>
    <s v="Dressage de l'arbre du skip"/>
    <d v="2019-11-24T00:00:00"/>
    <s v="Attente de confection d'un nouvel arbre chez tourneur"/>
    <m/>
    <x v="10"/>
    <x v="0"/>
    <m/>
  </r>
  <r>
    <d v="2019-11-25T00:00:00"/>
    <x v="29"/>
    <x v="4"/>
    <x v="29"/>
    <m/>
    <m/>
    <s v="Tambour principale"/>
    <s v="Roulement moteur endommagé"/>
    <s v="Réparation"/>
    <s v="Changement des roulements endommagés 6207"/>
    <d v="2019-11-26T00:00:00"/>
    <m/>
    <n v="3"/>
    <x v="10"/>
    <x v="0"/>
    <m/>
  </r>
  <r>
    <d v="2019-11-25T00:00:00"/>
    <x v="20"/>
    <x v="0"/>
    <x v="20"/>
    <m/>
    <m/>
    <s v="Cassette PR8"/>
    <s v="fuite d'eau"/>
    <s v="Réparation"/>
    <s v="Changement d'un flexible endommagé"/>
    <d v="2019-11-25T00:00:00"/>
    <m/>
    <n v="30"/>
    <x v="10"/>
    <x v="0"/>
    <m/>
  </r>
  <r>
    <d v="2019-11-25T00:00:00"/>
    <x v="4"/>
    <x v="0"/>
    <x v="4"/>
    <m/>
    <m/>
    <s v="Table élevatrice"/>
    <s v="Déragelage de la table"/>
    <s v="Réparation"/>
    <s v="Réparation de la chaine de la table"/>
    <d v="2019-11-25T00:00:00"/>
    <m/>
    <n v="45"/>
    <x v="10"/>
    <x v="0"/>
    <m/>
  </r>
  <r>
    <d v="2019-11-26T00:00:00"/>
    <x v="7"/>
    <x v="0"/>
    <x v="7"/>
    <m/>
    <m/>
    <s v="Circuit pneumatique"/>
    <s v="Circuit bouché"/>
    <s v="Réparation"/>
    <s v="Changement d'un régulateur de pression"/>
    <d v="2019-11-26T00:00:00"/>
    <m/>
    <n v="2"/>
    <x v="10"/>
    <x v="0"/>
    <m/>
  </r>
  <r>
    <d v="2019-11-26T00:00:00"/>
    <x v="3"/>
    <x v="1"/>
    <x v="3"/>
    <m/>
    <m/>
    <s v="Groupe hydraulique"/>
    <s v="Fuite sur radiateur"/>
    <s v="Réparation"/>
    <s v="Soudage et modification du radiateur"/>
    <d v="2019-11-27T00:00:00"/>
    <m/>
    <s v="=SI(ESTVIDE([@[Date"/>
    <x v="10"/>
    <x v="0"/>
    <m/>
  </r>
  <r>
    <d v="2019-11-27T00:00:00"/>
    <x v="28"/>
    <x v="0"/>
    <x v="28"/>
    <m/>
    <m/>
    <s v="Redresseur"/>
    <s v="Pb tir fil"/>
    <s v="Réparation"/>
    <s v="Ajustement des parametres du redresseur"/>
    <d v="2019-11-27T00:00:00"/>
    <m/>
    <n v="45"/>
    <x v="10"/>
    <x v="0"/>
    <m/>
  </r>
  <r>
    <d v="2019-11-27T00:00:00"/>
    <x v="2"/>
    <x v="1"/>
    <x v="2"/>
    <m/>
    <m/>
    <s v="Skip"/>
    <s v="Arbe porte agrégat"/>
    <s v="Réparation"/>
    <s v="Arbre conffectionné et monté"/>
    <d v="2019-12-09T00:00:00"/>
    <s v="OK"/>
    <s v="=SI(ESTVIDE([@[Date"/>
    <x v="11"/>
    <x v="0"/>
    <m/>
  </r>
  <r>
    <d v="2019-11-27T00:00:00"/>
    <x v="33"/>
    <x v="3"/>
    <x v="33"/>
    <m/>
    <m/>
    <s v="Balance bal 03"/>
    <s v="Pb électrique"/>
    <s v="Réparation"/>
    <s v="Réparation chez Pesage promotion"/>
    <d v="2019-12-14T00:00:00"/>
    <s v="Réparation chez pesage promotion"/>
    <s v="=SI(ESTVIDE([@[Date"/>
    <x v="11"/>
    <x v="0"/>
    <m/>
  </r>
  <r>
    <d v="2019-11-28T00:00:00"/>
    <x v="3"/>
    <x v="1"/>
    <x v="3"/>
    <m/>
    <m/>
    <s v="Groupe hydraulique"/>
    <s v="Défaut de rendement"/>
    <s v="Réparation"/>
    <s v="Changement clapet antiretour + flexible d'admission + vidange"/>
    <d v="2019-12-02T00:00:00"/>
    <s v="Attente livraison accumulateur"/>
    <s v="=SI(ESTVIDE([@[Date"/>
    <x v="11"/>
    <x v="0"/>
    <m/>
  </r>
  <r>
    <d v="2019-11-29T00:00:00"/>
    <x v="11"/>
    <x v="0"/>
    <x v="11"/>
    <m/>
    <m/>
    <s v="Groupe hydraulique"/>
    <s v="Niveau d'huile bas"/>
    <s v="Réglage"/>
    <s v="Ajustement du niveau d'huile"/>
    <d v="2019-11-29T00:00:00"/>
    <m/>
    <m/>
    <x v="10"/>
    <x v="0"/>
    <m/>
  </r>
  <r>
    <d v="2019-11-29T00:00:00"/>
    <x v="16"/>
    <x v="0"/>
    <x v="16"/>
    <m/>
    <m/>
    <s v="Bloc de soudure"/>
    <s v="Usure des tresses de soudage"/>
    <s v="Réparation"/>
    <s v="Changement de deux tresses de soudage + thyristor de soudure"/>
    <d v="2019-12-02T00:00:00"/>
    <s v="Prêt de chez Karkachi"/>
    <n v="40"/>
    <x v="11"/>
    <x v="0"/>
    <m/>
  </r>
  <r>
    <d v="2019-11-29T00:00:00"/>
    <x v="0"/>
    <x v="0"/>
    <x v="0"/>
    <m/>
    <m/>
    <s v="Système d'avancement"/>
    <s v="Arbre usé"/>
    <s v="Réparation"/>
    <s v="Réparation de l'arbre chez TOURNEUR - Montage de l'arbe avec roulements neufs"/>
    <d v="2019-12-02T00:00:00"/>
    <s v="Attente réception roulements avec cache poussière"/>
    <s v="=SI(ESTVIDE([@[Date"/>
    <x v="11"/>
    <x v="0"/>
    <m/>
  </r>
  <r>
    <d v="2019-11-29T00:00:00"/>
    <x v="7"/>
    <x v="0"/>
    <x v="7"/>
    <m/>
    <m/>
    <s v="Pupitre de commande"/>
    <s v="Message d'erreur licence Key"/>
    <s v="Réparation"/>
    <s v="Telemaintenance avec EVG"/>
    <d v="2019-11-29T00:00:00"/>
    <m/>
    <n v="30"/>
    <x v="10"/>
    <x v="0"/>
    <m/>
  </r>
  <r>
    <d v="2019-11-30T00:00:00"/>
    <x v="4"/>
    <x v="0"/>
    <x v="4"/>
    <m/>
    <m/>
    <s v="Partie commande"/>
    <s v="PB électrique axe plongeurs"/>
    <s v="Réparation"/>
    <s v="Changement d'un module d'automate siemens "/>
    <d v="2019-11-30T00:00:00"/>
    <m/>
    <m/>
    <x v="10"/>
    <x v="0"/>
    <m/>
  </r>
  <r>
    <d v="2019-11-30T00:00:00"/>
    <x v="4"/>
    <x v="0"/>
    <x v="4"/>
    <m/>
    <m/>
    <s v="Table elevatrice"/>
    <s v="Rupture de la chaine d'ajustement"/>
    <s v="Réparation"/>
    <s v="Changmement de la partie endommagée"/>
    <d v="2019-11-30T00:00:00"/>
    <m/>
    <n v="1"/>
    <x v="10"/>
    <x v="0"/>
    <m/>
  </r>
  <r>
    <d v="2019-11-30T00:00:00"/>
    <x v="2"/>
    <x v="1"/>
    <x v="2"/>
    <m/>
    <m/>
    <s v="Compresseur GA37"/>
    <s v="Fuite d'huile + Atteinte nombre d'heure vidange"/>
    <s v="Réparation"/>
    <s v="Revision du compresseur par air diffusion"/>
    <d v="2019-12-04T00:00:00"/>
    <s v="Attente intervention air diffusion"/>
    <n v="1"/>
    <x v="11"/>
    <x v="0"/>
    <m/>
  </r>
  <r>
    <d v="2019-11-30T00:00:00"/>
    <x v="3"/>
    <x v="1"/>
    <x v="3"/>
    <m/>
    <m/>
    <s v="Pince"/>
    <s v="Mouvement anormal de la pince"/>
    <s v="Réparation"/>
    <s v="Soudage de la rotule"/>
    <d v="2019-11-30T00:00:00"/>
    <m/>
    <m/>
    <x v="10"/>
    <x v="0"/>
    <m/>
  </r>
  <r>
    <d v="2019-12-02T00:00:00"/>
    <x v="2"/>
    <x v="1"/>
    <x v="2"/>
    <m/>
    <m/>
    <s v="Silo a ciment"/>
    <s v="Vis sans fin bloqué"/>
    <s v="Réparation"/>
    <s v="Débloquage de la vis"/>
    <d v="2019-11-02T00:00:00"/>
    <m/>
    <n v="30"/>
    <x v="10"/>
    <x v="0"/>
    <m/>
  </r>
  <r>
    <d v="2019-12-02T00:00:00"/>
    <x v="0"/>
    <x v="0"/>
    <x v="0"/>
    <m/>
    <m/>
    <s v="Régulateur de tension"/>
    <s v="Fin de course endommagée"/>
    <s v="Réparation"/>
    <s v="Réglage des fin de courses"/>
    <d v="2019-12-02T00:00:00"/>
    <m/>
    <m/>
    <x v="11"/>
    <x v="0"/>
    <m/>
  </r>
  <r>
    <d v="2019-12-02T00:00:00"/>
    <x v="17"/>
    <x v="0"/>
    <x v="17"/>
    <m/>
    <m/>
    <s v="Cisaille"/>
    <s v="Ressort de rappel endommagé"/>
    <s v="Réparation"/>
    <s v="Changement des vis de fixation"/>
    <d v="2019-12-02T00:00:00"/>
    <m/>
    <m/>
    <x v="11"/>
    <x v="0"/>
    <m/>
  </r>
  <r>
    <d v="2019-12-03T00:00:00"/>
    <x v="1"/>
    <x v="0"/>
    <x v="1"/>
    <m/>
    <m/>
    <s v="Cabestan N3"/>
    <s v="usure de surface "/>
    <s v="Réparation"/>
    <s v="Rectification de surface à la soudure "/>
    <d v="2019-12-03T00:00:00"/>
    <m/>
    <n v="4"/>
    <x v="11"/>
    <x v="0"/>
    <m/>
  </r>
  <r>
    <d v="2019-12-04T00:00:00"/>
    <x v="23"/>
    <x v="4"/>
    <x v="23"/>
    <m/>
    <m/>
    <s v="Système de translation"/>
    <s v="Galets usés"/>
    <s v="Réparation"/>
    <s v="Changement des galets endommagés"/>
    <d v="2019-12-04T00:00:00"/>
    <m/>
    <n v="6"/>
    <x v="11"/>
    <x v="0"/>
    <m/>
  </r>
  <r>
    <d v="2019-12-04T00:00:00"/>
    <x v="13"/>
    <x v="0"/>
    <x v="13"/>
    <m/>
    <m/>
    <s v="Cisaille"/>
    <s v="Fuite d'air + couteau usé"/>
    <s v="Réparation"/>
    <s v="Changement des prises rapides et rectification des lames de cisailles"/>
    <d v="2019-12-04T00:00:00"/>
    <m/>
    <n v="2"/>
    <x v="11"/>
    <x v="0"/>
    <m/>
  </r>
  <r>
    <d v="2019-12-04T00:00:00"/>
    <x v="11"/>
    <x v="0"/>
    <x v="11"/>
    <m/>
    <m/>
    <s v="Cabestan"/>
    <s v="usure de surface "/>
    <s v="Réparation"/>
    <s v="Rectification de surface à la soudure "/>
    <d v="2019-12-04T00:00:00"/>
    <m/>
    <n v="2"/>
    <x v="11"/>
    <x v="0"/>
    <m/>
  </r>
  <r>
    <d v="2019-12-06T00:00:00"/>
    <x v="3"/>
    <x v="1"/>
    <x v="3"/>
    <m/>
    <m/>
    <s v="Convoyeur de planches"/>
    <s v="Fuite d'air"/>
    <s v="Réparation"/>
    <s v="Changement des raccord droit 10- 3/8"/>
    <d v="2019-12-06T00:00:00"/>
    <m/>
    <m/>
    <x v="11"/>
    <x v="0"/>
    <m/>
  </r>
  <r>
    <d v="2019-12-06T00:00:00"/>
    <x v="3"/>
    <x v="1"/>
    <x v="3"/>
    <m/>
    <m/>
    <s v="Skip"/>
    <s v="Cable usé"/>
    <s v="Réparation"/>
    <s v="Changement du cable antigiratoire"/>
    <d v="2019-12-11T00:00:00"/>
    <m/>
    <n v="1"/>
    <x v="11"/>
    <x v="0"/>
    <m/>
  </r>
  <r>
    <d v="2019-12-06T00:00:00"/>
    <x v="0"/>
    <x v="0"/>
    <x v="0"/>
    <m/>
    <m/>
    <s v="Eclairage"/>
    <s v="Projecteur HS"/>
    <s v="Réparation"/>
    <s v="Changement d'une ampoule endommagée"/>
    <d v="2019-12-06T00:00:00"/>
    <m/>
    <m/>
    <x v="11"/>
    <x v="0"/>
    <m/>
  </r>
  <r>
    <d v="2019-12-06T00:00:00"/>
    <x v="0"/>
    <x v="0"/>
    <x v="0"/>
    <m/>
    <m/>
    <s v="Système d'avancement"/>
    <s v="Trou taraudés usés"/>
    <s v="Réparation"/>
    <s v="Taraudage et fixation des verins tir fils"/>
    <d v="2019-12-06T00:00:00"/>
    <m/>
    <n v="30"/>
    <x v="11"/>
    <x v="0"/>
    <m/>
  </r>
  <r>
    <d v="2019-12-06T00:00:00"/>
    <x v="3"/>
    <x v="1"/>
    <x v="3"/>
    <m/>
    <m/>
    <s v="Groupe hydraulique"/>
    <s v="Pompe endommagée"/>
    <s v="Réparation"/>
    <s v="Réparation de la pompe  chez hydrautech"/>
    <d v="2019-12-10T00:00:00"/>
    <s v="Revision generale du groupe hydraulique"/>
    <s v="=SI(ESTVIDE([@[Date"/>
    <x v="11"/>
    <x v="0"/>
    <m/>
  </r>
  <r>
    <d v="2019-12-09T00:00:00"/>
    <x v="24"/>
    <x v="4"/>
    <x v="24"/>
    <m/>
    <m/>
    <s v="Alimentation générale"/>
    <s v="Disjoncteur Haute tension HS"/>
    <s v="Réparation"/>
    <s v="Réarmement du disjoncteur"/>
    <d v="2019-12-09T00:00:00"/>
    <m/>
    <n v="30"/>
    <x v="11"/>
    <x v="0"/>
    <m/>
  </r>
  <r>
    <d v="2019-12-09T00:00:00"/>
    <x v="20"/>
    <x v="0"/>
    <x v="20"/>
    <m/>
    <m/>
    <s v="Cassette PR12"/>
    <s v="Galet cranté endommagé"/>
    <s v="Réparation"/>
    <s v="Changement du galet endommagé + 6 roulements"/>
    <d v="2019-12-09T00:00:00"/>
    <m/>
    <m/>
    <x v="11"/>
    <x v="0"/>
    <m/>
  </r>
  <r>
    <d v="2019-12-09T00:00:00"/>
    <x v="2"/>
    <x v="1"/>
    <x v="2"/>
    <m/>
    <m/>
    <s v="Malaxeur"/>
    <s v="Fuite d'huile au niveau du reducteur"/>
    <s v="Réparation"/>
    <s v="Changement d'arret d'huile + roulement"/>
    <d v="2019-12-09T00:00:00"/>
    <m/>
    <n v="4"/>
    <x v="11"/>
    <x v="0"/>
    <m/>
  </r>
  <r>
    <d v="2019-12-10T00:00:00"/>
    <x v="21"/>
    <x v="4"/>
    <x v="21"/>
    <m/>
    <m/>
    <s v="Treuil principal"/>
    <s v="Rupture du cable antigiratoire d6"/>
    <s v="Réparation"/>
    <s v="Changement du cable antigiratoire"/>
    <d v="2019-12-10T00:00:00"/>
    <m/>
    <n v="2"/>
    <x v="11"/>
    <x v="0"/>
    <m/>
  </r>
  <r>
    <d v="2019-12-10T00:00:00"/>
    <x v="0"/>
    <x v="0"/>
    <x v="0"/>
    <m/>
    <m/>
    <s v="Bloc de soudure"/>
    <s v="Pb presse de soudage"/>
    <s v="Réparation"/>
    <s v="Changement de la presse de soudage"/>
    <d v="2019-12-10T00:00:00"/>
    <m/>
    <n v="40"/>
    <x v="11"/>
    <x v="0"/>
    <m/>
  </r>
  <r>
    <d v="2019-12-11T00:00:00"/>
    <x v="20"/>
    <x v="0"/>
    <x v="20"/>
    <m/>
    <m/>
    <s v="Cassette PR09"/>
    <s v="Roulements partie crantée endommagés"/>
    <s v="Réparation"/>
    <s v="Changement de 6 roulements endommagés"/>
    <d v="2019-12-11T00:00:00"/>
    <m/>
    <n v="2"/>
    <x v="11"/>
    <x v="0"/>
    <m/>
  </r>
  <r>
    <d v="2019-12-11T00:00:00"/>
    <x v="1"/>
    <x v="0"/>
    <x v="1"/>
    <m/>
    <m/>
    <s v="Cassette PR3,90"/>
    <s v="Galet lisse usé"/>
    <s v="Réparation"/>
    <s v="Changement du galet usé"/>
    <d v="2019-12-11T00:00:00"/>
    <m/>
    <n v="1"/>
    <x v="11"/>
    <x v="0"/>
    <m/>
  </r>
  <r>
    <d v="2019-12-12T00:00:00"/>
    <x v="2"/>
    <x v="1"/>
    <x v="2"/>
    <m/>
    <m/>
    <s v="Transbordeur"/>
    <s v="Roulement endommagé"/>
    <s v="Réparation"/>
    <s v="Changement des roulements endommagés"/>
    <d v="2019-12-12T00:00:00"/>
    <m/>
    <n v="40"/>
    <x v="11"/>
    <x v="0"/>
    <m/>
  </r>
  <r>
    <d v="2019-12-12T00:00:00"/>
    <x v="2"/>
    <x v="1"/>
    <x v="2"/>
    <m/>
    <m/>
    <s v="Pince"/>
    <s v="Courroie usée"/>
    <s v="Réparation"/>
    <s v="Changement de la courroie usée 8M 1040"/>
    <d v="2019-12-12T00:00:00"/>
    <m/>
    <n v="30"/>
    <x v="11"/>
    <x v="0"/>
    <m/>
  </r>
  <r>
    <d v="2019-12-12T00:00:00"/>
    <x v="20"/>
    <x v="0"/>
    <x v="20"/>
    <m/>
    <m/>
    <s v="Chariot"/>
    <s v="Chariot usé"/>
    <s v="Réparation"/>
    <s v="Reparation du chariot "/>
    <d v="2019-12-12T00:00:00"/>
    <m/>
    <m/>
    <x v="11"/>
    <x v="0"/>
    <m/>
  </r>
  <r>
    <d v="2019-12-12T00:00:00"/>
    <x v="17"/>
    <x v="0"/>
    <x v="17"/>
    <m/>
    <m/>
    <s v="Variateur"/>
    <s v="Erreur FD022"/>
    <s v="Réparation"/>
    <s v="Elimination d'un court circuit"/>
    <d v="2019-12-12T00:00:00"/>
    <m/>
    <n v="2"/>
    <x v="11"/>
    <x v="0"/>
    <m/>
  </r>
  <r>
    <d v="2019-12-13T00:00:00"/>
    <x v="2"/>
    <x v="1"/>
    <x v="2"/>
    <m/>
    <m/>
    <s v="Table vibrante"/>
    <s v="Courroie 2800 endommagée"/>
    <s v="Réparation"/>
    <s v="Changement d'une courroie 2800"/>
    <d v="2019-12-13T00:00:00"/>
    <s v="Chnagement des roulements des masselotes à prévoir"/>
    <n v="3"/>
    <x v="11"/>
    <x v="0"/>
    <m/>
  </r>
  <r>
    <d v="2019-12-13T00:00:00"/>
    <x v="20"/>
    <x v="0"/>
    <x v="20"/>
    <m/>
    <m/>
    <s v="Cercleuse"/>
    <s v="Goupilles endommagées"/>
    <s v="Réparation"/>
    <s v="Changement des goupilles endommagées"/>
    <d v="2019-12-13T00:00:00"/>
    <m/>
    <n v="2"/>
    <x v="11"/>
    <x v="0"/>
    <m/>
  </r>
  <r>
    <d v="2019-12-13T00:00:00"/>
    <x v="7"/>
    <x v="0"/>
    <x v="7"/>
    <m/>
    <m/>
    <s v="Cisaille"/>
    <s v="Blocage du chariot de cisaille"/>
    <s v="Réparation"/>
    <s v="Changement des galet endommagés"/>
    <d v="2019-12-13T00:00:00"/>
    <m/>
    <m/>
    <x v="11"/>
    <x v="0"/>
    <m/>
  </r>
  <r>
    <d v="2019-12-13T00:00:00"/>
    <x v="12"/>
    <x v="0"/>
    <x v="12"/>
    <m/>
    <m/>
    <s v="Bloc d'entrainement"/>
    <s v="Courroie endommagée"/>
    <s v="Réparation"/>
    <s v="Changement de 4 courroies endommagée"/>
    <d v="2019-12-13T00:00:00"/>
    <m/>
    <n v="1"/>
    <x v="11"/>
    <x v="0"/>
    <m/>
  </r>
  <r>
    <d v="2019-12-14T00:00:00"/>
    <x v="3"/>
    <x v="1"/>
    <x v="3"/>
    <m/>
    <m/>
    <s v="Injecteur de planche"/>
    <s v="commande impossible"/>
    <s v="Réparation"/>
    <s v="Changement d'une carte d'automate"/>
    <d v="2019-12-14T00:00:00"/>
    <m/>
    <n v="2"/>
    <x v="11"/>
    <x v="0"/>
    <m/>
  </r>
  <r>
    <d v="2019-12-14T00:00:00"/>
    <x v="4"/>
    <x v="0"/>
    <x v="4"/>
    <m/>
    <m/>
    <s v="Bloc de soudure"/>
    <s v="Axe plongeur tordu"/>
    <s v="Réparation"/>
    <s v="Changement de l'axe plongeur endommagé"/>
    <d v="2019-12-14T00:00:00"/>
    <m/>
    <n v="2"/>
    <x v="11"/>
    <x v="0"/>
    <m/>
  </r>
  <r>
    <d v="2019-12-14T00:00:00"/>
    <x v="21"/>
    <x v="4"/>
    <x v="21"/>
    <m/>
    <m/>
    <s v="Treuil principal"/>
    <s v="Cable endommagé"/>
    <s v="Réparation"/>
    <s v="Changement du cable endommagé"/>
    <d v="2019-12-14T00:00:00"/>
    <m/>
    <n v="2"/>
    <x v="11"/>
    <x v="0"/>
    <m/>
  </r>
  <r>
    <d v="2019-12-16T00:00:00"/>
    <x v="2"/>
    <x v="1"/>
    <x v="2"/>
    <m/>
    <m/>
    <s v="Retourneur"/>
    <s v="Coincement"/>
    <s v="Réparation"/>
    <s v="Elimination d'un mauvais contact"/>
    <d v="2019-12-16T00:00:00"/>
    <m/>
    <n v="2"/>
    <x v="11"/>
    <x v="0"/>
    <m/>
  </r>
  <r>
    <d v="2019-12-16T00:00:00"/>
    <x v="2"/>
    <x v="1"/>
    <x v="2"/>
    <m/>
    <m/>
    <s v="Tiroir"/>
    <s v="Cadre glissant usé"/>
    <s v="Réparation"/>
    <s v="Changement de la partie usée du cadre glissant"/>
    <d v="2019-12-16T00:00:00"/>
    <m/>
    <m/>
    <x v="11"/>
    <x v="0"/>
    <m/>
  </r>
  <r>
    <d v="2019-12-16T00:00:00"/>
    <x v="2"/>
    <x v="1"/>
    <x v="2"/>
    <m/>
    <m/>
    <s v="Compresseur GA37"/>
    <s v="Fuite d'huile au niveau du compresseur"/>
    <s v="Réparation"/>
    <s v="Changement Temporaire du compresseur en attendant l'arrivée du flexible"/>
    <d v="2019-12-16T00:00:00"/>
    <m/>
    <m/>
    <x v="11"/>
    <x v="0"/>
    <m/>
  </r>
  <r>
    <d v="2019-12-16T00:00:00"/>
    <x v="7"/>
    <x v="0"/>
    <x v="7"/>
    <m/>
    <m/>
    <s v="Bloc de soudure"/>
    <s v="Chutte de presion"/>
    <s v="Réparation"/>
    <s v="Changement d'un limiteur de pression"/>
    <d v="2019-12-16T00:00:00"/>
    <m/>
    <m/>
    <x v="11"/>
    <x v="0"/>
    <m/>
  </r>
  <r>
    <d v="2019-12-17T00:00:00"/>
    <x v="3"/>
    <x v="1"/>
    <x v="3"/>
    <m/>
    <m/>
    <s v="Ascensseur"/>
    <s v="Blocage de l'ascensseur"/>
    <s v="Réparation"/>
    <s v="Reducteur endommagé - Modification réalisée pour adaptation d'un réducteur different (reducteur pince)"/>
    <d v="2019-12-18T00:00:00"/>
    <s v="RAS"/>
    <s v="=SI(ESTVIDE([@[Date"/>
    <x v="11"/>
    <x v="0"/>
    <m/>
  </r>
  <r>
    <d v="2019-12-17T00:00:00"/>
    <x v="3"/>
    <x v="1"/>
    <x v="3"/>
    <m/>
    <m/>
    <s v="Ascensseur"/>
    <s v="guide chaine usé"/>
    <s v="Réparation"/>
    <s v="Changement du guide chaîne"/>
    <d v="2019-12-17T00:00:00"/>
    <m/>
    <m/>
    <x v="11"/>
    <x v="0"/>
    <m/>
  </r>
  <r>
    <d v="2019-12-17T00:00:00"/>
    <x v="4"/>
    <x v="0"/>
    <x v="4"/>
    <m/>
    <m/>
    <s v="Bloc de soudure"/>
    <s v="Axe plongeur endommagé"/>
    <s v="Réparation"/>
    <s v="Changement de l'axe plongeur endommagé"/>
    <d v="2019-12-17T00:00:00"/>
    <m/>
    <n v="2"/>
    <x v="11"/>
    <x v="0"/>
    <m/>
  </r>
  <r>
    <d v="2019-12-17T00:00:00"/>
    <x v="1"/>
    <x v="0"/>
    <x v="1"/>
    <m/>
    <m/>
    <s v="Cassette PR3,90"/>
    <s v="Defaut de zoomage"/>
    <s v="Réparation"/>
    <s v="Zoomage de la cassette"/>
    <d v="2019-12-17T00:00:00"/>
    <m/>
    <m/>
    <x v="11"/>
    <x v="0"/>
    <m/>
  </r>
  <r>
    <d v="2019-12-17T00:00:00"/>
    <x v="5"/>
    <x v="2"/>
    <x v="5"/>
    <m/>
    <m/>
    <s v="Tremies"/>
    <s v="Tole de séparation endommagée"/>
    <s v="Réparation"/>
    <s v="Réparation prévue le 19/12/2019"/>
    <d v="2019-12-19T00:00:00"/>
    <s v="Réparation prévue le 19/12/2019"/>
    <s v="=SI(ESTVIDE([@[Date"/>
    <x v="11"/>
    <x v="0"/>
    <m/>
  </r>
  <r>
    <d v="2019-12-17T00:00:00"/>
    <x v="20"/>
    <x v="0"/>
    <x v="20"/>
    <m/>
    <m/>
    <s v="Cercleuse"/>
    <s v="Fuite d'air "/>
    <s v="Réparation"/>
    <s v="Changement d'un joint torique endommagé"/>
    <d v="2019-12-17T00:00:00"/>
    <m/>
    <n v="30"/>
    <x v="11"/>
    <x v="0"/>
    <m/>
  </r>
  <r>
    <d v="2019-12-18T00:00:00"/>
    <x v="0"/>
    <x v="0"/>
    <x v="0"/>
    <m/>
    <m/>
    <s v="Cisaille"/>
    <s v="Position dereglée"/>
    <s v="Réglage"/>
    <s v="Reglage de la position de la cisaille"/>
    <d v="2019-12-18T00:00:00"/>
    <m/>
    <n v="45"/>
    <x v="11"/>
    <x v="0"/>
    <m/>
  </r>
  <r>
    <d v="2019-12-18T00:00:00"/>
    <x v="0"/>
    <x v="0"/>
    <x v="0"/>
    <m/>
    <m/>
    <s v="Tir fil"/>
    <s v="Blocage d'un galet de tirage"/>
    <s v="Réparation"/>
    <s v="Liberation du galet et réglage de la position du vérin"/>
    <d v="2019-12-18T00:00:00"/>
    <m/>
    <m/>
    <x v="11"/>
    <x v="0"/>
    <m/>
  </r>
  <r>
    <d v="2019-12-18T00:00:00"/>
    <x v="13"/>
    <x v="0"/>
    <x v="13"/>
    <m/>
    <m/>
    <s v="Cisaille"/>
    <s v="Came endommagé"/>
    <s v="Réparation"/>
    <s v="Changement d'une came"/>
    <d v="2019-12-18T00:00:00"/>
    <m/>
    <n v="30"/>
    <x v="11"/>
    <x v="0"/>
    <m/>
  </r>
  <r>
    <d v="2019-12-19T00:00:00"/>
    <x v="1"/>
    <x v="0"/>
    <x v="1"/>
    <m/>
    <m/>
    <s v="Cassette PR3,20"/>
    <s v="Pb zoomage"/>
    <s v="Réparation"/>
    <s v="Zoomage de la cassette"/>
    <d v="2019-12-19T00:00:00"/>
    <m/>
    <n v="45"/>
    <x v="11"/>
    <x v="0"/>
    <m/>
  </r>
  <r>
    <d v="2019-12-20T00:00:00"/>
    <x v="3"/>
    <x v="1"/>
    <x v="3"/>
    <m/>
    <m/>
    <s v="Cercleuse 06"/>
    <s v="Chute de pression"/>
    <s v="Réglage"/>
    <s v="Réglage de la pression  de l'air comprimé"/>
    <d v="2019-12-20T00:00:00"/>
    <m/>
    <m/>
    <x v="11"/>
    <x v="0"/>
    <m/>
  </r>
  <r>
    <d v="2019-12-20T00:00:00"/>
    <x v="21"/>
    <x v="4"/>
    <x v="21"/>
    <m/>
    <m/>
    <s v="Boite à commande"/>
    <s v="Boite à commande endommagée"/>
    <s v="Réparation"/>
    <s v="Changement de la boite à commande"/>
    <d v="2019-12-20T00:00:00"/>
    <m/>
    <m/>
    <x v="11"/>
    <x v="0"/>
    <m/>
  </r>
  <r>
    <d v="2019-12-20T00:00:00"/>
    <x v="1"/>
    <x v="0"/>
    <x v="1"/>
    <m/>
    <m/>
    <s v="Cassette PR 3,90"/>
    <s v="Défaut de zoomage"/>
    <s v="Réparation"/>
    <s v="Zoomage de la cassette"/>
    <d v="2019-12-20T00:00:00"/>
    <m/>
    <n v="45"/>
    <x v="11"/>
    <x v="0"/>
    <m/>
  </r>
  <r>
    <d v="2019-12-21T00:00:00"/>
    <x v="3"/>
    <x v="1"/>
    <x v="3"/>
    <m/>
    <m/>
    <s v="Tiroir"/>
    <s v="Fuite au niveau du flexible du vérin"/>
    <s v="Réparation"/>
    <s v="Changement du flexible endommagé"/>
    <d v="2019-12-21T00:00:00"/>
    <m/>
    <n v="30"/>
    <x v="11"/>
    <x v="0"/>
    <m/>
  </r>
  <r>
    <d v="2019-12-21T00:00:00"/>
    <x v="3"/>
    <x v="1"/>
    <x v="3"/>
    <m/>
    <m/>
    <s v="Cercleuse"/>
    <s v="Pb de tirage feuillard"/>
    <s v="Réparation"/>
    <s v="Réglage de la position de la molette de tirage"/>
    <d v="2019-12-21T00:00:00"/>
    <m/>
    <n v="30"/>
    <x v="11"/>
    <x v="0"/>
    <m/>
  </r>
  <r>
    <d v="2019-12-23T00:00:00"/>
    <x v="2"/>
    <x v="1"/>
    <x v="2"/>
    <m/>
    <m/>
    <s v="Pilon"/>
    <s v="Support pilon endommagé"/>
    <s v="Réparation"/>
    <s v="Changement du support du vérin"/>
    <d v="2019-12-23T00:00:00"/>
    <m/>
    <n v="2"/>
    <x v="11"/>
    <x v="0"/>
    <m/>
  </r>
  <r>
    <d v="2019-12-23T00:00:00"/>
    <x v="16"/>
    <x v="0"/>
    <x v="16"/>
    <m/>
    <m/>
    <s v="Tir fil"/>
    <s v="Bruit anormal sur moteur"/>
    <s v="Réparation"/>
    <s v="Changement des roulements du moteur et palier de fixation"/>
    <d v="2019-12-24T00:00:00"/>
    <m/>
    <s v="=SI(ESTVIDE([@[Date"/>
    <x v="11"/>
    <x v="0"/>
    <m/>
  </r>
  <r>
    <d v="2019-12-23T00:00:00"/>
    <x v="8"/>
    <x v="4"/>
    <x v="8"/>
    <m/>
    <m/>
    <s v="Boite à commande"/>
    <s v="Rupture du cable d'alimentation"/>
    <s v="Réparation"/>
    <s v="Raccordement du cable sur l'armoire d'alimentation"/>
    <d v="2019-12-23T00:00:00"/>
    <m/>
    <n v="3"/>
    <x v="11"/>
    <x v="0"/>
    <m/>
  </r>
  <r>
    <d v="2019-12-24T00:00:00"/>
    <x v="1"/>
    <x v="0"/>
    <x v="1"/>
    <m/>
    <m/>
    <s v="Cercleuse"/>
    <s v="Fuite d'air sur cisaille"/>
    <s v="Réparation"/>
    <s v="Changement des joints toriques"/>
    <d v="2019-12-24T00:00:00"/>
    <m/>
    <n v="30"/>
    <x v="11"/>
    <x v="0"/>
    <m/>
  </r>
  <r>
    <d v="2019-12-24T00:00:00"/>
    <x v="4"/>
    <x v="0"/>
    <x v="4"/>
    <m/>
    <m/>
    <s v="Système d'avancement"/>
    <s v="Pb de trirage du fil"/>
    <s v="Réparation"/>
    <s v="Changement de deux galets cranté endommagé"/>
    <d v="2019-12-24T00:00:00"/>
    <m/>
    <n v="2"/>
    <x v="11"/>
    <x v="0"/>
    <m/>
  </r>
  <r>
    <d v="2019-12-25T00:00:00"/>
    <x v="3"/>
    <x v="1"/>
    <x v="3"/>
    <m/>
    <m/>
    <s v="Cercleuse"/>
    <s v="Problème de soudage du feuillard"/>
    <s v="Réparation"/>
    <s v="Changement de la resistance de la plaque chauffante"/>
    <d v="2019-12-25T00:00:00"/>
    <m/>
    <m/>
    <x v="11"/>
    <x v="0"/>
    <m/>
  </r>
  <r>
    <d v="2019-12-25T00:00:00"/>
    <x v="2"/>
    <x v="1"/>
    <x v="2"/>
    <m/>
    <m/>
    <s v="Convoyeur sortie presse "/>
    <s v="Courroies thermosoudables usées"/>
    <s v="Réparation"/>
    <s v="Changement de deux courroies thermosoudables"/>
    <d v="2019-12-25T00:00:00"/>
    <m/>
    <m/>
    <x v="11"/>
    <x v="0"/>
    <m/>
  </r>
  <r>
    <d v="2019-12-25T00:00:00"/>
    <x v="20"/>
    <x v="0"/>
    <x v="20"/>
    <m/>
    <m/>
    <s v="Relacheur"/>
    <s v="Roulement usé"/>
    <s v="Réparation"/>
    <s v="Changement de deux roulements 6304"/>
    <d v="2019-12-25T00:00:00"/>
    <m/>
    <n v="45"/>
    <x v="11"/>
    <x v="0"/>
    <m/>
  </r>
  <r>
    <d v="2019-12-25T00:00:00"/>
    <x v="16"/>
    <x v="0"/>
    <x v="16"/>
    <m/>
    <m/>
    <s v="Plieuse"/>
    <s v="Vérin bloqué"/>
    <s v="Réparation"/>
    <s v="Elimination d'un court circuit nettoyage de l'ectrovanne et changement du cable de commande de l'electrovanne"/>
    <d v="2019-12-25T00:00:00"/>
    <m/>
    <n v="4"/>
    <x v="11"/>
    <x v="0"/>
    <m/>
  </r>
  <r>
    <d v="2019-12-25T00:00:00"/>
    <x v="34"/>
    <x v="0"/>
    <x v="34"/>
    <m/>
    <m/>
    <s v="Cisaille"/>
    <s v="Couteau usé"/>
    <s v="Réparation"/>
    <s v="Affutage du couteau de cisaillement"/>
    <d v="2019-12-25T00:00:00"/>
    <m/>
    <n v="1"/>
    <x v="11"/>
    <x v="0"/>
    <m/>
  </r>
  <r>
    <d v="2019-12-25T00:00:00"/>
    <x v="7"/>
    <x v="0"/>
    <x v="7"/>
    <m/>
    <m/>
    <s v="Circuit de refroidissement"/>
    <s v="Eau usée"/>
    <s v="Vidange"/>
    <s v="Vidange du bac ( eau distillée et antigel)"/>
    <d v="2019-12-25T00:00:00"/>
    <m/>
    <m/>
    <x v="11"/>
    <x v="0"/>
    <m/>
  </r>
  <r>
    <d v="2019-12-25T00:00:00"/>
    <x v="26"/>
    <x v="0"/>
    <x v="26"/>
    <m/>
    <m/>
    <s v="Bloc de soudure"/>
    <s v="Electrodes usées"/>
    <s v="Confection"/>
    <s v="Confection de deux electrodes usées"/>
    <d v="2019-12-25T00:00:00"/>
    <m/>
    <m/>
    <x v="11"/>
    <x v="0"/>
    <m/>
  </r>
  <r>
    <d v="2019-12-26T00:00:00"/>
    <x v="2"/>
    <x v="1"/>
    <x v="2"/>
    <m/>
    <m/>
    <s v="Pince"/>
    <s v="Pb encodeur"/>
    <s v="Réparation"/>
    <s v="Tension de la chaine et fixation de la roue codeuse"/>
    <d v="2019-12-26T00:00:00"/>
    <m/>
    <n v="1"/>
    <x v="11"/>
    <x v="0"/>
    <m/>
  </r>
  <r>
    <d v="2019-12-26T00:00:00"/>
    <x v="4"/>
    <x v="0"/>
    <x v="4"/>
    <m/>
    <m/>
    <s v="Circuit de refroidissement"/>
    <s v="Eau usée"/>
    <s v="Vidange"/>
    <s v="Vidange du bac ( eau distillée et antigel)"/>
    <d v="2019-12-26T00:00:00"/>
    <m/>
    <n v="1"/>
    <x v="11"/>
    <x v="0"/>
    <m/>
  </r>
  <r>
    <d v="2019-12-26T00:00:00"/>
    <x v="4"/>
    <x v="0"/>
    <x v="4"/>
    <m/>
    <m/>
    <s v="Bloc de soudure"/>
    <s v="Fuite d'air + mauvais contact des electrodes"/>
    <s v="Réparation"/>
    <s v="Changement d'un raccord usé + Réctification et remontage des electrodes"/>
    <d v="2019-12-26T00:00:00"/>
    <m/>
    <n v="1"/>
    <x v="11"/>
    <x v="0"/>
    <m/>
  </r>
  <r>
    <d v="2019-12-26T00:00:00"/>
    <x v="7"/>
    <x v="0"/>
    <x v="7"/>
    <m/>
    <m/>
    <s v="Empileur"/>
    <s v="Déformation des bras d'empileur"/>
    <s v="Réparation"/>
    <s v="Dressage du bras"/>
    <d v="2019-12-26T00:00:00"/>
    <m/>
    <n v="1"/>
    <x v="11"/>
    <x v="0"/>
    <m/>
  </r>
  <r>
    <d v="2019-12-26T00:00:00"/>
    <x v="20"/>
    <x v="0"/>
    <x v="20"/>
    <m/>
    <m/>
    <s v="Cassette PR 12"/>
    <s v="Galet endommagé ( à cause d'un roulement mal graissé )"/>
    <s v="Réparation"/>
    <s v="Changement du galet avec roulements neufs+ zoomage"/>
    <d v="2019-12-26T00:00:00"/>
    <m/>
    <n v="2"/>
    <x v="11"/>
    <x v="0"/>
    <m/>
  </r>
  <r>
    <d v="2019-12-26T00:00:00"/>
    <x v="1"/>
    <x v="0"/>
    <x v="1"/>
    <m/>
    <m/>
    <s v="Canivaux"/>
    <s v="Armoire electrique poussiereuse"/>
    <s v="Amélioration"/>
    <s v="Début des travaux de nettoyage et refection des chemins de cable de la machine et construction d'une chambre de protection pour l'armoire"/>
    <d v="2020-02-24T00:00:00"/>
    <s v="Travaux en cours"/>
    <s v="=SI(ESTVIDE([@[Date"/>
    <x v="1"/>
    <x v="1"/>
    <m/>
  </r>
  <r>
    <d v="2019-12-27T00:00:00"/>
    <x v="0"/>
    <x v="0"/>
    <x v="0"/>
    <m/>
    <m/>
    <s v="Bloc de soudure"/>
    <s v="Entretien généneral"/>
    <s v="Réparation"/>
    <s v=" - Démontage des presse et support de presses_x000a_ - Démontage des portes électrodes et support des portes électrodes_x000a_ - Démontage des prises rapides et flexibles de refroidissement du bloc_x000a_ - Démontage des supports et de l'embrayage de la cisaille_x000a_ - Extraction des vis de fixation et démontage des rails inferieurs et supérieur pour confection"/>
    <d v="2020-01-07T00:00:00"/>
    <s v="Travaux en cours"/>
    <s v="=SI(ESTVIDE([@[Date"/>
    <x v="0"/>
    <x v="1"/>
    <m/>
  </r>
  <r>
    <d v="2019-12-27T00:00:00"/>
    <x v="16"/>
    <x v="0"/>
    <x v="16"/>
    <m/>
    <m/>
    <s v="Plieuse"/>
    <s v="Vérin bloqué"/>
    <s v="Réparation"/>
    <s v="Nettoyage de l'electrovanne"/>
    <d v="2019-12-27T00:00:00"/>
    <m/>
    <n v="2"/>
    <x v="11"/>
    <x v="0"/>
    <m/>
  </r>
  <r>
    <d v="2019-12-27T00:00:00"/>
    <x v="7"/>
    <x v="0"/>
    <x v="7"/>
    <m/>
    <m/>
    <s v="Empileur"/>
    <s v="Transporteur de poutrelle bloqué"/>
    <s v="Réparation"/>
    <s v="Changement d'un connecteur endommagé"/>
    <d v="2019-12-27T00:00:00"/>
    <m/>
    <n v="1"/>
    <x v="11"/>
    <x v="0"/>
    <m/>
  </r>
  <r>
    <d v="2019-12-27T00:00:00"/>
    <x v="2"/>
    <x v="1"/>
    <x v="2"/>
    <m/>
    <m/>
    <s v="Silo 7"/>
    <s v="Blocage de la vis à ciment"/>
    <s v="Réparation"/>
    <s v="Confection d'un nouvel accouplement pour la vis à ciment"/>
    <d v="2020-01-03T00:00:00"/>
    <m/>
    <s v="=SI(ESTVIDE([@[Date"/>
    <x v="0"/>
    <x v="1"/>
    <m/>
  </r>
  <r>
    <d v="2019-12-27T00:00:00"/>
    <x v="3"/>
    <x v="1"/>
    <x v="3"/>
    <m/>
    <m/>
    <s v="Tremie n°2"/>
    <s v="Absence courroie pour cause d'absence magasin"/>
    <s v="Réparation"/>
    <s v="Remise en place du moteur vibreur"/>
    <d v="2019-12-27T00:00:00"/>
    <m/>
    <n v="3"/>
    <x v="11"/>
    <x v="0"/>
    <m/>
  </r>
  <r>
    <d v="2019-12-27T00:00:00"/>
    <x v="20"/>
    <x v="0"/>
    <x v="20"/>
    <m/>
    <m/>
    <s v="Cassette PR 7"/>
    <s v="Roulements usés"/>
    <s v="Réparation"/>
    <s v="Changement de deux roulements et zoomage de la cassette"/>
    <d v="2019-12-27T00:00:00"/>
    <m/>
    <n v="6"/>
    <x v="11"/>
    <x v="0"/>
    <m/>
  </r>
  <r>
    <d v="2019-12-28T00:00:00"/>
    <x v="3"/>
    <x v="1"/>
    <x v="3"/>
    <m/>
    <m/>
    <s v="Transbordeur"/>
    <s v="Manque de phase sur contacteur"/>
    <s v="Réparation"/>
    <s v="Changement du contacteur endommagé"/>
    <d v="2019-12-28T00:00:00"/>
    <m/>
    <n v="1"/>
    <x v="11"/>
    <x v="0"/>
    <m/>
  </r>
  <r>
    <d v="2019-12-28T00:00:00"/>
    <x v="3"/>
    <x v="1"/>
    <x v="3"/>
    <m/>
    <m/>
    <s v="Pilon"/>
    <s v="Fuite d'huile "/>
    <s v="Réparation"/>
    <s v="Changement du flexible endommagé"/>
    <d v="2019-12-28T00:00:00"/>
    <m/>
    <n v="40"/>
    <x v="11"/>
    <x v="0"/>
    <m/>
  </r>
  <r>
    <d v="2019-12-28T00:00:00"/>
    <x v="1"/>
    <x v="0"/>
    <x v="1"/>
    <m/>
    <m/>
    <s v="Armoire électrique"/>
    <s v="Armoire poussireuse"/>
    <s v="Amélioration"/>
    <s v="Déplacement de l'armoire électrique et nettoyage des canivaux"/>
    <d v="2019-12-28T00:00:00"/>
    <m/>
    <n v="6"/>
    <x v="11"/>
    <x v="0"/>
    <m/>
  </r>
  <r>
    <d v="2019-12-29T00:00:00"/>
    <x v="20"/>
    <x v="0"/>
    <x v="20"/>
    <m/>
    <m/>
    <s v="Cabestan"/>
    <s v="usure de surface "/>
    <s v="Réparation"/>
    <s v="Chargement de surface du cabestan"/>
    <d v="2019-12-29T00:00:00"/>
    <m/>
    <n v="5"/>
    <x v="11"/>
    <x v="0"/>
    <m/>
  </r>
  <r>
    <d v="2019-12-30T00:00:00"/>
    <x v="3"/>
    <x v="1"/>
    <x v="3"/>
    <m/>
    <m/>
    <s v="Moule"/>
    <s v="Fuite au niveau du vérin du moule"/>
    <s v="Réparation"/>
    <s v="Changement du vérin endommagé"/>
    <d v="2019-12-30T00:00:00"/>
    <m/>
    <n v="2"/>
    <x v="11"/>
    <x v="0"/>
    <m/>
  </r>
  <r>
    <d v="2019-12-30T00:00:00"/>
    <x v="11"/>
    <x v="0"/>
    <x v="11"/>
    <m/>
    <m/>
    <s v="Bobinoir"/>
    <s v="Fuite d'huile sur Boite d'engrenage du bobinoir"/>
    <s v="Réparation"/>
    <s v="Changament d'un arrêt d'huile usé"/>
    <d v="2019-12-30T00:00:00"/>
    <m/>
    <n v="9"/>
    <x v="11"/>
    <x v="0"/>
    <m/>
  </r>
  <r>
    <d v="2019-12-31T00:00:00"/>
    <x v="16"/>
    <x v="0"/>
    <x v="16"/>
    <m/>
    <m/>
    <s v="Distrubuteur d'air"/>
    <s v="Filetage usé"/>
    <s v="Réparation"/>
    <s v="Rectification de surface + réparation du filetage du dispositif"/>
    <d v="2019-12-31T00:00:00"/>
    <m/>
    <n v="2"/>
    <x v="11"/>
    <x v="0"/>
    <m/>
  </r>
  <r>
    <d v="2020-01-01T00:00:00"/>
    <x v="26"/>
    <x v="0"/>
    <x v="26"/>
    <m/>
    <m/>
    <s v="Ecarteur"/>
    <s v="Vis de fixation endommagé"/>
    <s v="Réparation"/>
    <s v="Extraction de la vis et dépannage du dispositif"/>
    <d v="2020-01-01T00:00:00"/>
    <s v="confection vis spécial en cours"/>
    <m/>
    <x v="0"/>
    <x v="1"/>
    <m/>
  </r>
  <r>
    <d v="2020-01-01T00:00:00"/>
    <x v="3"/>
    <x v="1"/>
    <x v="3"/>
    <m/>
    <m/>
    <s v="Cercleuse 06"/>
    <s v="Pb de fixation du vérin pneumatique"/>
    <s v="Réparation"/>
    <s v="Soudage de deux plaques avec support et réajustement de la fixation du vérin"/>
    <d v="2020-01-01T00:00:00"/>
    <m/>
    <n v="1"/>
    <x v="0"/>
    <x v="1"/>
    <m/>
  </r>
  <r>
    <d v="2020-01-01T00:00:00"/>
    <x v="23"/>
    <x v="4"/>
    <x v="23"/>
    <m/>
    <m/>
    <s v="Chariot principal"/>
    <s v="Moteur monté descente endommagé"/>
    <s v="Réparation"/>
    <s v="Réparation et montage moteur"/>
    <d v="2020-01-03T00:00:00"/>
    <m/>
    <s v="=SI(ESTVIDE([@[Date"/>
    <x v="0"/>
    <x v="1"/>
    <m/>
  </r>
  <r>
    <d v="2020-01-02T00:00:00"/>
    <x v="20"/>
    <x v="0"/>
    <x v="20"/>
    <m/>
    <m/>
    <s v="Cercleuse"/>
    <s v="Pb de pincement"/>
    <s v="Réparation"/>
    <s v="Changement de la plaque de la machoire + deux goupilles D7 + ressort de rappel du couteau"/>
    <d v="2020-01-02T00:00:00"/>
    <m/>
    <m/>
    <x v="0"/>
    <x v="1"/>
    <m/>
  </r>
  <r>
    <d v="2020-01-02T00:00:00"/>
    <x v="1"/>
    <x v="0"/>
    <x v="1"/>
    <m/>
    <m/>
    <s v="Cassette PR3,20"/>
    <s v="Roulements Endommagés"/>
    <s v="Réparation"/>
    <s v="Changement de deux roulements 32008"/>
    <d v="2020-01-02T00:00:00"/>
    <m/>
    <n v="1"/>
    <x v="0"/>
    <x v="1"/>
    <m/>
  </r>
  <r>
    <d v="2020-01-02T00:00:00"/>
    <x v="11"/>
    <x v="0"/>
    <x v="11"/>
    <m/>
    <m/>
    <s v="Poste de soudage"/>
    <s v="Court circuit "/>
    <s v="Réparation"/>
    <s v="Changement d'une fiche endommagée"/>
    <d v="2020-01-02T00:00:00"/>
    <m/>
    <m/>
    <x v="0"/>
    <x v="1"/>
    <m/>
  </r>
  <r>
    <d v="2020-01-02T00:00:00"/>
    <x v="5"/>
    <x v="2"/>
    <x v="5"/>
    <m/>
    <m/>
    <s v="Vibreur"/>
    <s v="Fiche endommagé"/>
    <s v="Réparation"/>
    <s v="Changement de fiche "/>
    <d v="2020-01-02T00:00:00"/>
    <m/>
    <m/>
    <x v="0"/>
    <x v="1"/>
    <m/>
  </r>
  <r>
    <d v="2020-01-03T00:00:00"/>
    <x v="2"/>
    <x v="1"/>
    <x v="2"/>
    <m/>
    <m/>
    <s v="Radiateur"/>
    <s v="Fuite d'huile"/>
    <s v="Réparation"/>
    <s v="Réparation du radiateur"/>
    <d v="2020-01-04T00:00:00"/>
    <m/>
    <s v="=SI(ESTVIDE([@[Date"/>
    <x v="0"/>
    <x v="1"/>
    <m/>
  </r>
  <r>
    <d v="2020-01-03T00:00:00"/>
    <x v="2"/>
    <x v="1"/>
    <x v="2"/>
    <m/>
    <m/>
    <s v="Machine"/>
    <s v="Préventif"/>
    <s v="Réparation"/>
    <s v="Changement du  vérin du pilon - Vis à ciment - Débouchage du circuit d'eau du malaxeur"/>
    <d v="2020-01-03T00:00:00"/>
    <m/>
    <n v="8"/>
    <x v="0"/>
    <x v="1"/>
    <m/>
  </r>
  <r>
    <d v="2020-01-03T00:00:00"/>
    <x v="3"/>
    <x v="1"/>
    <x v="3"/>
    <m/>
    <m/>
    <s v="Groupe hydraulique"/>
    <s v="Court circuit sur bobine de démarrage"/>
    <s v="Réparation"/>
    <s v="Shunt du circuit et mise en marche"/>
    <d v="2020-01-03T00:00:00"/>
    <s v="Achat bobine neuve en cours"/>
    <m/>
    <x v="0"/>
    <x v="1"/>
    <m/>
  </r>
  <r>
    <d v="2020-01-04T00:00:00"/>
    <x v="2"/>
    <x v="1"/>
    <x v="2"/>
    <m/>
    <m/>
    <s v="Malaxeur"/>
    <s v="Pb d'alimentation d'eau"/>
    <s v="Réparation"/>
    <s v="Réparation de l'eletrovanne et mise en marche"/>
    <d v="2020-01-04T00:00:00"/>
    <m/>
    <n v="1"/>
    <x v="0"/>
    <x v="1"/>
    <m/>
  </r>
  <r>
    <d v="2020-01-05T00:00:00"/>
    <x v="2"/>
    <x v="1"/>
    <x v="2"/>
    <m/>
    <m/>
    <s v="Groupe hydraulique"/>
    <s v="Pompe hydraulique endommagée"/>
    <s v="Réparation"/>
    <s v="Réparation de la pompe + vidange et nettoyage du circtuit de groupe"/>
    <d v="2020-01-07T00:00:00"/>
    <m/>
    <s v="=SI(ESTVIDE([@[Date"/>
    <x v="0"/>
    <x v="1"/>
    <m/>
  </r>
  <r>
    <d v="2020-01-05T00:00:00"/>
    <x v="3"/>
    <x v="1"/>
    <x v="3"/>
    <m/>
    <m/>
    <s v="Transbordeur"/>
    <s v="Arbre de sortie du réducteur cisaillé"/>
    <s v="Réparation"/>
    <s v="Changement du réducteur et réparation de l'ancien"/>
    <d v="2020-01-05T00:00:00"/>
    <s v=" réparation chez ATT en cours"/>
    <n v="2"/>
    <x v="0"/>
    <x v="1"/>
    <m/>
  </r>
  <r>
    <d v="2020-01-06T00:00:00"/>
    <x v="3"/>
    <x v="1"/>
    <x v="3"/>
    <m/>
    <m/>
    <s v="Ascensseur"/>
    <s v="Chaine détendu "/>
    <s v="Réparation"/>
    <s v="Tension de la chaine porte cornière"/>
    <d v="2020-01-06T00:00:00"/>
    <m/>
    <n v="30"/>
    <x v="0"/>
    <x v="1"/>
    <m/>
  </r>
  <r>
    <d v="2020-01-07T00:00:00"/>
    <x v="3"/>
    <x v="1"/>
    <x v="3"/>
    <m/>
    <m/>
    <s v="Tiroir d'agitation"/>
    <s v="Chaine de transmission endommagée"/>
    <s v="Réparation"/>
    <s v="Changement de la chaîne"/>
    <d v="2020-01-07T00:00:00"/>
    <m/>
    <n v="30"/>
    <x v="0"/>
    <x v="1"/>
    <m/>
  </r>
  <r>
    <d v="2020-01-07T00:00:00"/>
    <x v="2"/>
    <x v="1"/>
    <x v="2"/>
    <m/>
    <m/>
    <s v="Pousse planche"/>
    <s v="Moteur à la masse"/>
    <s v="Réparation"/>
    <s v="Changement du moteur 1,5 par moteur de la trémie de sable"/>
    <d v="2020-01-07T00:00:00"/>
    <s v="Moteur à remettre sur la trémie"/>
    <n v="1"/>
    <x v="0"/>
    <x v="1"/>
    <m/>
  </r>
  <r>
    <d v="2020-01-08T00:00:00"/>
    <x v="4"/>
    <x v="0"/>
    <x v="4"/>
    <m/>
    <m/>
    <s v="Bloc de soudure"/>
    <s v="Filetage tresse de soudage foiré"/>
    <s v="Réparation"/>
    <s v="Taraudage du trou et mise en place d'un filet rapporté"/>
    <d v="2020-01-08T00:00:00"/>
    <m/>
    <m/>
    <x v="0"/>
    <x v="1"/>
    <m/>
  </r>
  <r>
    <d v="2020-01-08T00:00:00"/>
    <x v="4"/>
    <x v="0"/>
    <x v="4"/>
    <m/>
    <m/>
    <s v="Table élevatrice"/>
    <s v="Ecou de la vis sans fin endommagé"/>
    <s v="Réparation"/>
    <s v="Monte d'un ecrou en bronze neuf"/>
    <d v="2020-01-08T00:00:00"/>
    <m/>
    <n v="2"/>
    <x v="0"/>
    <x v="1"/>
    <m/>
  </r>
  <r>
    <d v="2020-01-08T00:00:00"/>
    <x v="16"/>
    <x v="0"/>
    <x v="16"/>
    <m/>
    <m/>
    <s v="Refroidisseur"/>
    <s v="Fuite grave sur échangeur"/>
    <s v="Réparation"/>
    <s v="Etude de la possibilité d'utilisation de refroidisseur de la machine techno"/>
    <d v="2020-02-18T00:00:00"/>
    <s v="En attente de devis d'installation"/>
    <s v="=SI(ESTVIDE([@[Date"/>
    <x v="1"/>
    <x v="1"/>
    <m/>
  </r>
  <r>
    <d v="2020-01-09T00:00:00"/>
    <x v="3"/>
    <x v="1"/>
    <x v="3"/>
    <m/>
    <m/>
    <s v="Moule"/>
    <s v="Fuite d'huile sur raccord"/>
    <s v="Réparation"/>
    <s v="Soudage du raccord usé"/>
    <d v="2020-01-09T00:00:00"/>
    <m/>
    <m/>
    <x v="0"/>
    <x v="1"/>
    <m/>
  </r>
  <r>
    <d v="2020-01-09T00:00:00"/>
    <x v="3"/>
    <x v="1"/>
    <x v="3"/>
    <m/>
    <m/>
    <s v="Cecleuse 08"/>
    <s v="Disque d'embrayage usé"/>
    <s v="Réparation"/>
    <s v="Changement du disque d'embrayage"/>
    <d v="2020-01-09T00:00:00"/>
    <s v="Plus de disque en stock - Prévoir achat"/>
    <m/>
    <x v="0"/>
    <x v="1"/>
    <m/>
  </r>
  <r>
    <d v="2020-01-09T00:00:00"/>
    <x v="26"/>
    <x v="0"/>
    <x v="26"/>
    <m/>
    <m/>
    <s v="Refroidisseur"/>
    <s v="Eau usée"/>
    <s v="Vidange"/>
    <s v="Vidange du bac ( eau distillée et antigel)"/>
    <d v="2020-01-09T00:00:00"/>
    <m/>
    <m/>
    <x v="0"/>
    <x v="1"/>
    <m/>
  </r>
  <r>
    <d v="2020-01-09T00:00:00"/>
    <x v="1"/>
    <x v="0"/>
    <x v="1"/>
    <m/>
    <m/>
    <s v="Guide fil"/>
    <s v="Galets usés"/>
    <s v="Réparation"/>
    <s v="Changement de quatre galets guide fil du danseur n 3"/>
    <d v="2020-01-09T00:00:00"/>
    <m/>
    <n v="2"/>
    <x v="0"/>
    <x v="1"/>
    <m/>
  </r>
  <r>
    <d v="2020-01-09T00:00:00"/>
    <x v="1"/>
    <x v="0"/>
    <x v="1"/>
    <m/>
    <m/>
    <s v="Circuit de refroidissement"/>
    <s v="Circuit bouché"/>
    <s v="Réparation"/>
    <s v="Débouchage du circuit d'eau"/>
    <d v="2020-01-09T00:00:00"/>
    <m/>
    <m/>
    <x v="0"/>
    <x v="1"/>
    <m/>
  </r>
  <r>
    <d v="2020-01-10T00:00:00"/>
    <x v="2"/>
    <x v="1"/>
    <x v="2"/>
    <m/>
    <m/>
    <s v="Silo 07"/>
    <s v="Coincement de la vis a ciment"/>
    <s v="Réparation"/>
    <s v="Changement du moteur électrique"/>
    <d v="2020-01-10T00:00:00"/>
    <m/>
    <n v="1"/>
    <x v="0"/>
    <x v="1"/>
    <m/>
  </r>
  <r>
    <d v="2020-01-12T00:00:00"/>
    <x v="3"/>
    <x v="1"/>
    <x v="3"/>
    <m/>
    <m/>
    <s v="Alimentation générale"/>
    <s v="Pb de démarrage de la machine"/>
    <s v="Réparation"/>
    <s v="Liberation des lames de contact coincées du contacteur d'alimentation et mise en marche"/>
    <d v="2020-01-12T00:00:00"/>
    <m/>
    <n v="40"/>
    <x v="0"/>
    <x v="1"/>
    <m/>
  </r>
  <r>
    <d v="2020-01-13T00:00:00"/>
    <x v="4"/>
    <x v="0"/>
    <x v="4"/>
    <m/>
    <m/>
    <s v="Bloc de soudure"/>
    <s v="Trou taraudés usés"/>
    <s v="Réparation"/>
    <s v="Taraudage et fixation du porte électrode"/>
    <d v="2020-01-13T00:00:00"/>
    <m/>
    <n v="45"/>
    <x v="0"/>
    <x v="1"/>
    <m/>
  </r>
  <r>
    <d v="2020-01-13T00:00:00"/>
    <x v="0"/>
    <x v="0"/>
    <x v="0"/>
    <m/>
    <m/>
    <s v="Compresseur GA 75"/>
    <s v="Blocage moteur"/>
    <s v="Réparation"/>
    <s v="En cours de réparation chez Atlas copco"/>
    <d v="2020-03-10T00:00:00"/>
    <s v="En cours de réparation chez atlas Copco"/>
    <s v="=SI(ESTVIDE([@[Date"/>
    <x v="2"/>
    <x v="1"/>
    <m/>
  </r>
  <r>
    <d v="2020-01-13T00:00:00"/>
    <x v="31"/>
    <x v="4"/>
    <x v="31"/>
    <m/>
    <m/>
    <s v="Tambour principale"/>
    <s v="Cable coincé"/>
    <s v="Réparation"/>
    <s v="Libération du cable et ajustement du guide cable"/>
    <d v="2020-01-13T00:00:00"/>
    <m/>
    <n v="1"/>
    <x v="0"/>
    <x v="1"/>
    <m/>
  </r>
  <r>
    <d v="2020-01-13T00:00:00"/>
    <x v="17"/>
    <x v="0"/>
    <x v="17"/>
    <m/>
    <m/>
    <s v="Redresseur"/>
    <s v="Courroies endommagée"/>
    <s v="Réparation"/>
    <s v="Changement des courroies endommagées"/>
    <d v="2020-01-13T00:00:00"/>
    <m/>
    <n v="1"/>
    <x v="0"/>
    <x v="1"/>
    <m/>
  </r>
  <r>
    <d v="2020-01-13T00:00:00"/>
    <x v="0"/>
    <x v="0"/>
    <x v="0"/>
    <m/>
    <m/>
    <s v="Devidoir"/>
    <s v="Déreglage des freins des devidoirs"/>
    <s v="Réparation"/>
    <s v="Réglage des freins des devidoir"/>
    <d v="2020-01-13T00:00:00"/>
    <m/>
    <n v="1"/>
    <x v="0"/>
    <x v="1"/>
    <m/>
  </r>
  <r>
    <d v="2020-01-14T00:00:00"/>
    <x v="2"/>
    <x v="1"/>
    <x v="2"/>
    <m/>
    <m/>
    <s v="Table vibrante"/>
    <s v="Fissure de la tole de la table vibrante"/>
    <s v="Réparation"/>
    <s v="Soudage de la partie fissurée"/>
    <d v="2020-01-14T00:00:00"/>
    <s v="Achat tôle pour confection de nouvelle tôle pour la table en cours"/>
    <n v="2"/>
    <x v="0"/>
    <x v="1"/>
    <m/>
  </r>
  <r>
    <d v="2020-01-14T00:00:00"/>
    <x v="3"/>
    <x v="1"/>
    <x v="3"/>
    <m/>
    <m/>
    <s v="Moule"/>
    <s v="Contact entre vérins et support du moule"/>
    <s v="Réparation"/>
    <s v="Changement des vérins par des vérins CL 261"/>
    <d v="2020-01-14T00:00:00"/>
    <m/>
    <n v="1"/>
    <x v="0"/>
    <x v="1"/>
    <m/>
  </r>
  <r>
    <d v="2020-01-14T00:00:00"/>
    <x v="3"/>
    <x v="1"/>
    <x v="3"/>
    <m/>
    <m/>
    <s v="Descenseur"/>
    <s v="Course du descenseur mal réglée"/>
    <s v="Réparation"/>
    <s v="Fixation et ajustement de position du fin de course"/>
    <d v="2020-01-14T00:00:00"/>
    <m/>
    <m/>
    <x v="0"/>
    <x v="1"/>
    <m/>
  </r>
  <r>
    <d v="2020-01-14T00:00:00"/>
    <x v="0"/>
    <x v="0"/>
    <x v="0"/>
    <m/>
    <m/>
    <s v="Compresseur GA 37"/>
    <s v="Pb de chute de pression"/>
    <s v="Réparation"/>
    <s v="Réparation du Thermostat et elimination des fuite hydrauliques et pneumatique"/>
    <d v="2020-01-14T00:00:00"/>
    <m/>
    <n v="2"/>
    <x v="0"/>
    <x v="1"/>
    <m/>
  </r>
  <r>
    <d v="2020-01-14T00:00:00"/>
    <x v="13"/>
    <x v="0"/>
    <x v="13"/>
    <m/>
    <m/>
    <s v="Guide fil"/>
    <s v="Tube carré guide fil endommagé"/>
    <s v="Réparation"/>
    <s v="Soudure de la barre et ajustage d'alignement"/>
    <d v="2020-01-14T00:00:00"/>
    <m/>
    <n v="1"/>
    <x v="0"/>
    <x v="1"/>
    <m/>
  </r>
  <r>
    <d v="2020-01-14T00:00:00"/>
    <x v="21"/>
    <x v="4"/>
    <x v="21"/>
    <m/>
    <m/>
    <s v="Moufle"/>
    <s v="Blocage sur poulie de renvoie"/>
    <s v="Réparation"/>
    <s v="Ajustement des cartère de protection"/>
    <d v="2020-01-14T00:00:00"/>
    <m/>
    <m/>
    <x v="0"/>
    <x v="1"/>
    <m/>
  </r>
  <r>
    <d v="2020-01-14T00:00:00"/>
    <x v="4"/>
    <x v="0"/>
    <x v="4"/>
    <m/>
    <m/>
    <s v="Bloc de soudure"/>
    <s v="Axes plongeur déformés"/>
    <s v="Réparation"/>
    <s v="Changement de deux axes plongeurs et tresse neuve"/>
    <d v="2020-01-14T00:00:00"/>
    <m/>
    <n v="3"/>
    <x v="0"/>
    <x v="1"/>
    <m/>
  </r>
  <r>
    <d v="2020-01-14T00:00:00"/>
    <x v="4"/>
    <x v="0"/>
    <x v="4"/>
    <m/>
    <m/>
    <s v="Table élévatrice"/>
    <s v="Détension de la chaine"/>
    <s v="Réparation"/>
    <s v="Tension de la chaîne et mise à niveau de la table"/>
    <d v="2020-01-14T00:00:00"/>
    <m/>
    <n v="40"/>
    <x v="0"/>
    <x v="1"/>
    <m/>
  </r>
  <r>
    <d v="2020-01-15T00:00:00"/>
    <x v="2"/>
    <x v="1"/>
    <x v="2"/>
    <m/>
    <m/>
    <s v="Cercleuse 08"/>
    <s v="PB de mise en marche"/>
    <s v="Réparation"/>
    <s v="réparation du selecteur MAN/AUT et mise en marche"/>
    <d v="2020-01-15T00:00:00"/>
    <m/>
    <n v="30"/>
    <x v="0"/>
    <x v="1"/>
    <m/>
  </r>
  <r>
    <d v="2020-01-15T00:00:00"/>
    <x v="26"/>
    <x v="0"/>
    <x v="26"/>
    <m/>
    <m/>
    <s v="Refroidisseur"/>
    <s v="Pb sur ventilateur "/>
    <s v="Réparation"/>
    <s v="Roulement du moteur du ventilateur"/>
    <d v="2020-01-15T00:00:00"/>
    <m/>
    <n v="3"/>
    <x v="0"/>
    <x v="1"/>
    <m/>
  </r>
  <r>
    <d v="2020-01-16T00:00:00"/>
    <x v="3"/>
    <x v="1"/>
    <x v="3"/>
    <m/>
    <m/>
    <s v="Malaxeur"/>
    <s v="Ecoulement continu de l'eau au niveau du malaxeur"/>
    <s v="Réparation"/>
    <s v="Elimination des morceaux de calcaire qui bloquent l'electrovanne"/>
    <d v="2020-01-16T00:00:00"/>
    <m/>
    <n v="40"/>
    <x v="0"/>
    <x v="1"/>
    <m/>
  </r>
  <r>
    <d v="2020-01-16T00:00:00"/>
    <x v="2"/>
    <x v="1"/>
    <x v="2"/>
    <m/>
    <m/>
    <s v="Groupe hydraulique"/>
    <s v="Fuite d'huile au niveau du groupe hydraulique"/>
    <s v="Réparation"/>
    <s v="Rembourage de la partie fissuré par du polyfibre"/>
    <d v="2020-01-16T00:00:00"/>
    <m/>
    <m/>
    <x v="0"/>
    <x v="1"/>
    <m/>
  </r>
  <r>
    <d v="2020-01-16T00:00:00"/>
    <x v="1"/>
    <x v="0"/>
    <x v="1"/>
    <m/>
    <m/>
    <s v="Danseur"/>
    <s v="Roulement de galets usés"/>
    <s v="Réparation"/>
    <s v="Changement des roulements usés"/>
    <d v="2020-01-16T00:00:00"/>
    <m/>
    <n v="2"/>
    <x v="0"/>
    <x v="1"/>
    <m/>
  </r>
  <r>
    <d v="2020-01-16T00:00:00"/>
    <x v="13"/>
    <x v="0"/>
    <x v="13"/>
    <m/>
    <m/>
    <s v="Circuit pneumatique"/>
    <s v="Fuite d'air"/>
    <s v="Réparation"/>
    <s v="Changement d'une prise rapide endommagée et d'une chappe de vérin"/>
    <d v="2020-01-16T00:00:00"/>
    <m/>
    <m/>
    <x v="0"/>
    <x v="1"/>
    <m/>
  </r>
  <r>
    <d v="2020-01-18T00:00:00"/>
    <x v="17"/>
    <x v="0"/>
    <x v="17"/>
    <m/>
    <m/>
    <s v="Cisaille"/>
    <s v="Ressort de rappel endommagé"/>
    <s v="Réparation"/>
    <s v="Changement du ressort endommagé"/>
    <d v="2020-01-18T00:00:00"/>
    <m/>
    <m/>
    <x v="0"/>
    <x v="1"/>
    <m/>
  </r>
  <r>
    <d v="2020-01-18T00:00:00"/>
    <x v="13"/>
    <x v="0"/>
    <x v="13"/>
    <m/>
    <m/>
    <s v="Guide fil"/>
    <s v="Tube carré guide fil endommagé"/>
    <s v="Réparation"/>
    <s v="Soudure de la barre et ajustage d'alignement"/>
    <d v="2020-01-18T00:00:00"/>
    <s v="Tube carré guide fil à confectionner"/>
    <n v="1"/>
    <x v="0"/>
    <x v="1"/>
    <m/>
  </r>
  <r>
    <d v="2020-01-18T00:00:00"/>
    <x v="1"/>
    <x v="0"/>
    <x v="1"/>
    <m/>
    <m/>
    <s v="Cassette PR 4,8"/>
    <s v="Circuit de refroidissement bouché"/>
    <s v="Réparation"/>
    <s v="Débouchage du circuit de refroidissement "/>
    <d v="2020-01-18T00:00:00"/>
    <m/>
    <n v="30"/>
    <x v="0"/>
    <x v="1"/>
    <m/>
  </r>
  <r>
    <d v="2020-01-18T00:00:00"/>
    <x v="16"/>
    <x v="0"/>
    <x v="16"/>
    <m/>
    <m/>
    <s v="Bloc de soudure"/>
    <s v="Rupture de la vis de fixation"/>
    <s v="Réparation"/>
    <s v="Extraction de vis taraudage et remontage du système de soudage"/>
    <d v="2020-01-18T00:00:00"/>
    <m/>
    <n v="4"/>
    <x v="0"/>
    <x v="1"/>
    <m/>
  </r>
  <r>
    <d v="2020-01-20T00:00:00"/>
    <x v="3"/>
    <x v="1"/>
    <x v="3"/>
    <m/>
    <m/>
    <s v="Cercleuse 06"/>
    <s v="Blocage du feuillard"/>
    <s v="Réparation"/>
    <s v="Réglage du système de récupération du feuillard"/>
    <d v="2020-01-20T00:00:00"/>
    <m/>
    <m/>
    <x v="0"/>
    <x v="1"/>
    <m/>
  </r>
  <r>
    <d v="2020-01-20T00:00:00"/>
    <x v="11"/>
    <x v="0"/>
    <x v="11"/>
    <m/>
    <m/>
    <s v="Moteur bobinoir"/>
    <s v="Pb sur encodeur"/>
    <s v="Réparation"/>
    <s v="Resserage et fixation de l'encodeur"/>
    <d v="2020-01-20T00:00:00"/>
    <m/>
    <m/>
    <x v="0"/>
    <x v="1"/>
    <m/>
  </r>
  <r>
    <d v="2020-01-20T00:00:00"/>
    <x v="7"/>
    <x v="0"/>
    <x v="7"/>
    <m/>
    <m/>
    <s v="Système d'entrainement"/>
    <s v="Rupture de liaison bati / pignon"/>
    <s v="Réparation"/>
    <s v="Soudage du pignon au bati"/>
    <d v="2020-01-20T00:00:00"/>
    <m/>
    <n v="2"/>
    <x v="0"/>
    <x v="1"/>
    <m/>
  </r>
  <r>
    <d v="2020-01-20T00:00:00"/>
    <x v="4"/>
    <x v="0"/>
    <x v="4"/>
    <m/>
    <m/>
    <s v="Bloc de soudure"/>
    <s v="Filet rapporté usé"/>
    <s v="Réparation"/>
    <s v="Changement du filet rapporté"/>
    <d v="2020-01-20T00:00:00"/>
    <m/>
    <m/>
    <x v="0"/>
    <x v="1"/>
    <m/>
  </r>
  <r>
    <d v="2020-01-21T00:00:00"/>
    <x v="2"/>
    <x v="1"/>
    <x v="2"/>
    <m/>
    <m/>
    <s v="Silo 7"/>
    <s v="Raccord d'alimentation en ciment endommagé"/>
    <s v="Réparation"/>
    <s v="Dépannage en attendant réception d'un nouveau raccord symétrique"/>
    <d v="2020-01-21T00:00:00"/>
    <m/>
    <m/>
    <x v="0"/>
    <x v="1"/>
    <m/>
  </r>
  <r>
    <d v="2020-01-21T00:00:00"/>
    <x v="14"/>
    <x v="4"/>
    <x v="14"/>
    <m/>
    <m/>
    <s v="Moteur latéral"/>
    <s v="2 éme vitésse endommagé"/>
    <s v="Réparation"/>
    <s v="Rebobinage chez CEDP"/>
    <d v="2020-01-23T00:00:00"/>
    <s v="En attente de livraison relance 22/01/2020"/>
    <s v="=SI(ESTVIDE([@[Date"/>
    <x v="0"/>
    <x v="1"/>
    <m/>
  </r>
  <r>
    <d v="2020-01-21T00:00:00"/>
    <x v="29"/>
    <x v="4"/>
    <x v="29"/>
    <m/>
    <m/>
    <s v="Tambour principale"/>
    <s v="PB monté descente"/>
    <s v="Réparation"/>
    <s v="Nettoyage du contacteur et mise en marche"/>
    <d v="2020-01-21T00:00:00"/>
    <m/>
    <m/>
    <x v="0"/>
    <x v="1"/>
    <m/>
  </r>
  <r>
    <d v="2020-01-21T00:00:00"/>
    <x v="1"/>
    <x v="0"/>
    <x v="1"/>
    <m/>
    <m/>
    <s v="Variateur"/>
    <s v="Ventilateur variateur endommagé"/>
    <s v="Réparation"/>
    <s v="Changement du ventilateur du variateur"/>
    <d v="2020-01-21T00:00:00"/>
    <m/>
    <n v="3"/>
    <x v="0"/>
    <x v="1"/>
    <m/>
  </r>
  <r>
    <d v="2020-01-21T00:00:00"/>
    <x v="13"/>
    <x v="0"/>
    <x v="13"/>
    <m/>
    <m/>
    <s v="Guide fil"/>
    <s v="Chape du vérin endommagée"/>
    <s v="Réparation"/>
    <s v="Changement de la chappe "/>
    <d v="2020-01-21T00:00:00"/>
    <m/>
    <m/>
    <x v="0"/>
    <x v="1"/>
    <m/>
  </r>
  <r>
    <d v="2020-01-21T00:00:00"/>
    <x v="4"/>
    <x v="0"/>
    <x v="4"/>
    <m/>
    <m/>
    <s v="Alimentation générale"/>
    <s v="Pb de démarrage de la machine"/>
    <s v="Réparation"/>
    <s v="Changement d'un fusible endommagé et mise en marche"/>
    <d v="2020-01-21T00:00:00"/>
    <m/>
    <n v="2"/>
    <x v="0"/>
    <x v="1"/>
    <m/>
  </r>
  <r>
    <d v="2020-01-21T00:00:00"/>
    <x v="28"/>
    <x v="0"/>
    <x v="28"/>
    <m/>
    <m/>
    <s v="Tir fil"/>
    <s v="Pb de tirage fil"/>
    <s v="Réparation"/>
    <s v="Changement de 12 roulements 6206 Extraction des vis cassés et Réajustement du niveau d'huile de la machine"/>
    <d v="2020-01-21T00:00:00"/>
    <m/>
    <n v="5"/>
    <x v="0"/>
    <x v="1"/>
    <m/>
  </r>
  <r>
    <d v="2020-01-22T00:00:00"/>
    <x v="3"/>
    <x v="1"/>
    <x v="3"/>
    <m/>
    <m/>
    <s v="Pousse planche"/>
    <s v="Variation de l'avance du vérin pousse planche"/>
    <s v="Réparation"/>
    <s v="Changement du régulateur de pression et réglage de l'avance de vérin pousse planche"/>
    <d v="2020-01-22T00:00:00"/>
    <m/>
    <m/>
    <x v="0"/>
    <x v="1"/>
    <m/>
  </r>
  <r>
    <d v="2020-01-22T00:00:00"/>
    <x v="3"/>
    <x v="1"/>
    <x v="3"/>
    <m/>
    <m/>
    <s v="Transbordeur"/>
    <s v="Déformation des fourches du transbordeur"/>
    <s v="Réparation"/>
    <s v="Dressage des fourches"/>
    <d v="2020-01-22T00:00:00"/>
    <m/>
    <n v="1"/>
    <x v="0"/>
    <x v="1"/>
    <m/>
  </r>
  <r>
    <d v="2020-01-22T00:00:00"/>
    <x v="3"/>
    <x v="1"/>
    <x v="3"/>
    <m/>
    <m/>
    <s v="Cercleuse 08"/>
    <s v="Déformation des lévres du lance"/>
    <s v="Réparation"/>
    <s v="Changement des lévres par d'autres neuves"/>
    <d v="2020-01-22T00:00:00"/>
    <m/>
    <n v="1"/>
    <x v="0"/>
    <x v="1"/>
    <m/>
  </r>
  <r>
    <d v="2020-01-22T00:00:00"/>
    <x v="11"/>
    <x v="0"/>
    <x v="11"/>
    <m/>
    <m/>
    <s v="Cercleuse"/>
    <s v="Goupilles endommagées"/>
    <s v="Réparation"/>
    <s v="Changement des goupilles endommagées"/>
    <d v="2020-01-22T00:00:00"/>
    <m/>
    <m/>
    <x v="0"/>
    <x v="1"/>
    <m/>
  </r>
  <r>
    <d v="2020-01-22T00:00:00"/>
    <x v="17"/>
    <x v="0"/>
    <x v="17"/>
    <m/>
    <m/>
    <s v="Redresseur"/>
    <s v="Courroies endommagée"/>
    <s v="Réparation"/>
    <s v="Changement de 4 courroies de transmission"/>
    <d v="2020-01-22T00:00:00"/>
    <m/>
    <n v="2"/>
    <x v="0"/>
    <x v="1"/>
    <m/>
  </r>
  <r>
    <d v="2020-01-22T00:00:00"/>
    <x v="26"/>
    <x v="0"/>
    <x v="26"/>
    <m/>
    <m/>
    <s v="Groupe hydraulique"/>
    <s v="Chute de pression"/>
    <s v="Réparation"/>
    <s v="Changement d'une électrovanne et reglage de pression"/>
    <d v="2020-01-22T00:00:00"/>
    <m/>
    <n v="1"/>
    <x v="0"/>
    <x v="1"/>
    <m/>
  </r>
  <r>
    <d v="2020-01-22T00:00:00"/>
    <x v="1"/>
    <x v="0"/>
    <x v="1"/>
    <m/>
    <m/>
    <s v="Danseur"/>
    <s v="Défaut de communication Danseur/Variateur"/>
    <s v="Réparation"/>
    <s v="Dressage du bras du danseur"/>
    <d v="2020-01-22T00:00:00"/>
    <m/>
    <m/>
    <x v="0"/>
    <x v="1"/>
    <m/>
  </r>
  <r>
    <d v="2020-01-23T00:00:00"/>
    <x v="22"/>
    <x v="0"/>
    <x v="22"/>
    <m/>
    <m/>
    <s v="Resdresseur"/>
    <s v="Jeu en arbre et poulie"/>
    <s v="Réparation"/>
    <s v="Réparation chez tourneur"/>
    <d v="2020-01-27T00:00:00"/>
    <m/>
    <s v="=SI(ESTVIDE([@[Date"/>
    <x v="0"/>
    <x v="1"/>
    <m/>
  </r>
  <r>
    <d v="2020-01-23T00:00:00"/>
    <x v="11"/>
    <x v="0"/>
    <x v="11"/>
    <m/>
    <m/>
    <s v="Cercleuse"/>
    <s v="Goupilles endommagées"/>
    <s v="Réparation"/>
    <s v="changement des goupilles endommagées et régage des mouvements des griffes"/>
    <d v="2020-01-23T00:00:00"/>
    <m/>
    <m/>
    <x v="0"/>
    <x v="1"/>
    <m/>
  </r>
  <r>
    <d v="2020-01-23T00:00:00"/>
    <x v="29"/>
    <x v="4"/>
    <x v="29"/>
    <m/>
    <m/>
    <s v="Tambour principale"/>
    <s v="PB monté descente"/>
    <s v="Réparation"/>
    <s v="Changement de deux contacteur usés"/>
    <d v="2020-01-23T00:00:00"/>
    <m/>
    <n v="1"/>
    <x v="0"/>
    <x v="1"/>
    <m/>
  </r>
  <r>
    <d v="2020-01-24T00:00:00"/>
    <x v="2"/>
    <x v="1"/>
    <x v="2"/>
    <m/>
    <m/>
    <s v="Grille d'agitation"/>
    <s v="Manque de phase su moteur d'agitation"/>
    <s v="Réparation"/>
    <s v="Elimination du manque de phase"/>
    <d v="2020-01-24T00:00:00"/>
    <m/>
    <n v="40"/>
    <x v="0"/>
    <x v="1"/>
    <m/>
  </r>
  <r>
    <d v="2020-01-24T00:00:00"/>
    <x v="20"/>
    <x v="0"/>
    <x v="20"/>
    <m/>
    <m/>
    <s v="Relacheur"/>
    <s v="Roulements usés"/>
    <s v="Réparation"/>
    <s v="Changement de 4 roulements 6304-22"/>
    <d v="2020-01-24T00:00:00"/>
    <m/>
    <n v="1"/>
    <x v="0"/>
    <x v="1"/>
    <m/>
  </r>
  <r>
    <d v="2020-01-24T00:00:00"/>
    <x v="0"/>
    <x v="0"/>
    <x v="0"/>
    <m/>
    <m/>
    <s v="Empileur"/>
    <s v="Raccord rotatif endommagé"/>
    <s v="Réparation"/>
    <s v="Dépannage du raccord tournant"/>
    <d v="2020-01-24T00:00:00"/>
    <m/>
    <m/>
    <x v="0"/>
    <x v="1"/>
    <m/>
  </r>
  <r>
    <d v="2020-01-24T00:00:00"/>
    <x v="7"/>
    <x v="0"/>
    <x v="7"/>
    <m/>
    <m/>
    <s v="Groupe hydraulique"/>
    <s v="Chute de pression"/>
    <s v="Réparation"/>
    <s v="Changement d'un distributeur endommagé"/>
    <d v="2020-01-24T00:00:00"/>
    <m/>
    <m/>
    <x v="0"/>
    <x v="1"/>
    <m/>
  </r>
  <r>
    <d v="2020-01-24T00:00:00"/>
    <x v="16"/>
    <x v="0"/>
    <x v="16"/>
    <m/>
    <m/>
    <s v="Redresseur"/>
    <s v="PB de mise en marche"/>
    <s v="Réparation"/>
    <s v="Changement d'un disjoncteur endommagé"/>
    <d v="2020-01-24T00:00:00"/>
    <m/>
    <m/>
    <x v="0"/>
    <x v="1"/>
    <m/>
  </r>
  <r>
    <d v="2020-01-25T00:00:00"/>
    <x v="2"/>
    <x v="1"/>
    <x v="2"/>
    <m/>
    <m/>
    <s v="Skip"/>
    <s v="Disque de frein endommmagé"/>
    <s v="Réparation"/>
    <s v="Garniture du frein du moteur du skip"/>
    <d v="2020-01-28T00:00:00"/>
    <m/>
    <s v="=SI(ESTVIDE([@[Date"/>
    <x v="0"/>
    <x v="1"/>
    <m/>
  </r>
  <r>
    <d v="2020-01-25T00:00:00"/>
    <x v="21"/>
    <x v="4"/>
    <x v="21"/>
    <m/>
    <m/>
    <s v="Tambour principale"/>
    <s v="Moteur HS"/>
    <s v="Réparation"/>
    <s v="Rebobinage chez CEDP"/>
    <d v="2020-01-28T00:00:00"/>
    <m/>
    <s v="=SI(ESTVIDE([@[Date"/>
    <x v="0"/>
    <x v="1"/>
    <m/>
  </r>
  <r>
    <d v="2020-01-27T00:00:00"/>
    <x v="3"/>
    <x v="1"/>
    <x v="3"/>
    <m/>
    <m/>
    <s v="Malaxeur"/>
    <s v="Pales du pattes usée "/>
    <s v="Réparation"/>
    <s v="Changement des pales de pates du malaxeur"/>
    <d v="2020-01-27T00:00:00"/>
    <m/>
    <m/>
    <x v="0"/>
    <x v="1"/>
    <m/>
  </r>
  <r>
    <d v="2020-01-27T00:00:00"/>
    <x v="2"/>
    <x v="1"/>
    <x v="2"/>
    <m/>
    <m/>
    <s v="Table vibrante"/>
    <s v="Délais vidange atteint"/>
    <s v="Vidange"/>
    <s v="Vidange de la table vibrante"/>
    <d v="2020-01-27T00:00:00"/>
    <m/>
    <n v="1"/>
    <x v="0"/>
    <x v="1"/>
    <m/>
  </r>
  <r>
    <d v="2020-01-28T00:00:00"/>
    <x v="2"/>
    <x v="1"/>
    <x v="2"/>
    <m/>
    <m/>
    <s v="Pilon"/>
    <s v="Détecteur endommagée "/>
    <s v="Réparation"/>
    <s v="Changement du detecteur"/>
    <d v="2020-01-28T00:00:00"/>
    <m/>
    <m/>
    <x v="0"/>
    <x v="1"/>
    <m/>
  </r>
  <r>
    <d v="2020-01-28T00:00:00"/>
    <x v="3"/>
    <x v="1"/>
    <x v="3"/>
    <m/>
    <m/>
    <s v="Convoyeur"/>
    <s v="Rouleaux usé "/>
    <s v="Réparation"/>
    <s v="Changements des rouleaux endommagés"/>
    <d v="2020-01-28T00:00:00"/>
    <m/>
    <m/>
    <x v="0"/>
    <x v="1"/>
    <m/>
  </r>
  <r>
    <d v="2020-01-28T00:00:00"/>
    <x v="12"/>
    <x v="0"/>
    <x v="12"/>
    <m/>
    <m/>
    <s v="Redresseur"/>
    <s v="Poulie de transmission usée"/>
    <s v="Réparation"/>
    <s v="Réparation che Tourneur"/>
    <d v="2020-01-30T00:00:00"/>
    <m/>
    <s v="=SI(ESTVIDE([@[Date"/>
    <x v="0"/>
    <x v="1"/>
    <m/>
  </r>
  <r>
    <d v="2020-01-29T00:00:00"/>
    <x v="11"/>
    <x v="0"/>
    <x v="11"/>
    <m/>
    <m/>
    <s v="Cabestan"/>
    <s v="Jeu sur poulie de transmission"/>
    <s v="Réparation"/>
    <s v="Rebage de la poulie de transmission"/>
    <d v="2020-01-30T00:00:00"/>
    <m/>
    <s v="=SI(ESTVIDE([@[Date"/>
    <x v="0"/>
    <x v="1"/>
    <m/>
  </r>
  <r>
    <d v="2020-02-01T00:00:00"/>
    <x v="3"/>
    <x v="1"/>
    <x v="3"/>
    <m/>
    <m/>
    <s v="Tiroir"/>
    <s v="Pb su moteur d'agitation"/>
    <s v="Réparation"/>
    <s v="Chnagment du moteur d'agitation"/>
    <d v="2020-02-01T00:00:00"/>
    <m/>
    <n v="1"/>
    <x v="1"/>
    <x v="1"/>
    <m/>
  </r>
  <r>
    <d v="2020-02-01T00:00:00"/>
    <x v="11"/>
    <x v="0"/>
    <x v="11"/>
    <m/>
    <m/>
    <s v="Cabestan"/>
    <s v="Poulie de transmission endommagé"/>
    <s v="Réparation"/>
    <s v="Rebaguage intérieur de la poulie"/>
    <d v="2020-02-03T00:00:00"/>
    <m/>
    <s v="=SI(ESTVIDE([@[Date"/>
    <x v="1"/>
    <x v="1"/>
    <m/>
  </r>
  <r>
    <d v="2020-02-01T00:00:00"/>
    <x v="13"/>
    <x v="0"/>
    <x v="13"/>
    <m/>
    <m/>
    <s v="Circuit d'air comprimé"/>
    <s v="Fuite d'air"/>
    <s v="Réparation"/>
    <s v="Changement d'une prise rapide endommagé"/>
    <d v="2020-02-01T00:00:00"/>
    <m/>
    <n v="20"/>
    <x v="1"/>
    <x v="1"/>
    <m/>
  </r>
  <r>
    <d v="2020-02-03T00:00:00"/>
    <x v="3"/>
    <x v="1"/>
    <x v="3"/>
    <m/>
    <m/>
    <s v="Moule"/>
    <s v="filetage  de la chappe du verin foiré"/>
    <s v="Réparation"/>
    <s v="Soudage de la chappe et la tige"/>
    <d v="2020-02-03T00:00:00"/>
    <m/>
    <n v="2"/>
    <x v="1"/>
    <x v="1"/>
    <m/>
  </r>
  <r>
    <d v="2020-02-03T00:00:00"/>
    <x v="16"/>
    <x v="0"/>
    <x v="16"/>
    <m/>
    <m/>
    <s v="Soudeuse"/>
    <s v="Bagues isolantes usée"/>
    <s v="Réparation"/>
    <s v="Changement des bagues d'isolation endommagées"/>
    <d v="2020-02-03T00:00:00"/>
    <m/>
    <n v="2"/>
    <x v="1"/>
    <x v="1"/>
    <m/>
  </r>
  <r>
    <d v="2020-02-03T00:00:00"/>
    <x v="17"/>
    <x v="0"/>
    <x v="17"/>
    <m/>
    <m/>
    <s v="Cisaille"/>
    <s v="Déréglage des longueurs de trame"/>
    <s v="Réparation"/>
    <s v="Taraudage de la partie foirée du pivot"/>
    <d v="2020-02-03T00:00:00"/>
    <m/>
    <n v="1"/>
    <x v="1"/>
    <x v="1"/>
    <m/>
  </r>
  <r>
    <d v="2020-02-03T00:00:00"/>
    <x v="3"/>
    <x v="1"/>
    <x v="3"/>
    <m/>
    <m/>
    <s v="Malaxeur"/>
    <s v="Pales de pattes usée "/>
    <s v="Réparation"/>
    <s v="Changement des pales de pates du malaxeur"/>
    <d v="2020-02-03T00:00:00"/>
    <m/>
    <n v="40"/>
    <x v="1"/>
    <x v="1"/>
    <m/>
  </r>
  <r>
    <d v="2020-02-04T00:00:00"/>
    <x v="2"/>
    <x v="1"/>
    <x v="2"/>
    <m/>
    <m/>
    <s v="Tiroir"/>
    <s v="Rupture du cable moteur + chaine guide cable"/>
    <s v="Réparation"/>
    <s v="Raccordement du cable + chaine guide cable"/>
    <d v="2020-02-04T00:00:00"/>
    <m/>
    <n v="1"/>
    <x v="1"/>
    <x v="1"/>
    <m/>
  </r>
  <r>
    <d v="2020-02-04T00:00:00"/>
    <x v="3"/>
    <x v="1"/>
    <x v="3"/>
    <m/>
    <m/>
    <s v="Tiroir"/>
    <s v="Jeu sur arbre d'agitation"/>
    <s v="Réparation"/>
    <s v="Changement d'un palier usé + capteur de proximité"/>
    <d v="2020-02-04T00:00:00"/>
    <m/>
    <n v="2"/>
    <x v="1"/>
    <x v="1"/>
    <m/>
  </r>
  <r>
    <d v="2020-02-04T00:00:00"/>
    <x v="1"/>
    <x v="0"/>
    <x v="1"/>
    <m/>
    <m/>
    <s v="Cassette PR 4,6"/>
    <s v="Fuite d'eau + défaut de zoomage"/>
    <s v="Réparation"/>
    <s v="Changement du flexible d'eau + zoomage"/>
    <d v="2020-02-04T00:00:00"/>
    <m/>
    <n v="1"/>
    <x v="1"/>
    <x v="1"/>
    <m/>
  </r>
  <r>
    <d v="2020-02-05T00:00:00"/>
    <x v="3"/>
    <x v="1"/>
    <x v="3"/>
    <m/>
    <m/>
    <s v="Groupe hydraulique"/>
    <s v="Fuite sur radiateur"/>
    <s v="Réparation"/>
    <s v="Soudage de la partie usée"/>
    <d v="2020-02-06T00:00:00"/>
    <m/>
    <s v="=SI(ESTVIDE([@[Date"/>
    <x v="1"/>
    <x v="1"/>
    <m/>
  </r>
  <r>
    <d v="2020-02-05T00:00:00"/>
    <x v="17"/>
    <x v="0"/>
    <x v="17"/>
    <m/>
    <m/>
    <s v="Moteur principal"/>
    <s v="Moteur à la masse"/>
    <s v="Réparation"/>
    <s v="Rebobinage chez CEDP"/>
    <d v="2020-02-07T00:00:00"/>
    <m/>
    <s v="=SI(ESTVIDE([@[Date"/>
    <x v="1"/>
    <x v="1"/>
    <m/>
  </r>
  <r>
    <d v="2020-02-06T00:00:00"/>
    <x v="3"/>
    <x v="1"/>
    <x v="3"/>
    <m/>
    <m/>
    <s v="Moule"/>
    <s v="Fuite d'huile sur vérin du moule"/>
    <s v="Réparation"/>
    <s v="Changement du vérin endommagé"/>
    <d v="2020-02-06T00:00:00"/>
    <m/>
    <m/>
    <x v="1"/>
    <x v="1"/>
    <m/>
  </r>
  <r>
    <d v="2020-02-07T00:00:00"/>
    <x v="3"/>
    <x v="1"/>
    <x v="3"/>
    <m/>
    <m/>
    <s v="Retourneur"/>
    <s v="Rupture d'une courroie thermosoudable"/>
    <s v="Réparation"/>
    <s v="Soudage de la courroie thermosoudable"/>
    <d v="2020-02-07T00:00:00"/>
    <m/>
    <n v="30"/>
    <x v="1"/>
    <x v="1"/>
    <m/>
  </r>
  <r>
    <d v="2020-02-07T00:00:00"/>
    <x v="3"/>
    <x v="1"/>
    <x v="3"/>
    <m/>
    <m/>
    <s v="Cercleuse 08"/>
    <s v="Freinage d'embrayage defaillant"/>
    <s v="Réparation"/>
    <s v="Réglage du jeu d'embrayage"/>
    <d v="2020-02-07T00:00:00"/>
    <m/>
    <m/>
    <x v="1"/>
    <x v="1"/>
    <m/>
  </r>
  <r>
    <d v="2020-02-07T00:00:00"/>
    <x v="20"/>
    <x v="0"/>
    <x v="20"/>
    <m/>
    <m/>
    <s v="Relacheur"/>
    <s v="Roulements usés"/>
    <s v="Réparation"/>
    <s v="Changements des roulements endommagés"/>
    <d v="2020-02-07T00:00:00"/>
    <m/>
    <n v="1"/>
    <x v="1"/>
    <x v="1"/>
    <m/>
  </r>
  <r>
    <d v="2020-02-07T00:00:00"/>
    <x v="4"/>
    <x v="0"/>
    <x v="4"/>
    <m/>
    <m/>
    <s v="Bloc de soudure"/>
    <s v="Axe plongeur endommagé"/>
    <s v="Réparation"/>
    <s v="Changement d'un axe plongeur"/>
    <d v="2020-02-07T00:00:00"/>
    <m/>
    <n v="1"/>
    <x v="1"/>
    <x v="1"/>
    <m/>
  </r>
  <r>
    <d v="2020-02-08T00:00:00"/>
    <x v="4"/>
    <x v="0"/>
    <x v="4"/>
    <m/>
    <m/>
    <s v="Bloc de soudure"/>
    <s v="Axe plongeur endommagé"/>
    <s v="Réparation"/>
    <s v="Changement de l'axe plongeur endommagé"/>
    <d v="2020-02-08T00:00:00"/>
    <m/>
    <n v="2"/>
    <x v="1"/>
    <x v="1"/>
    <m/>
  </r>
  <r>
    <d v="2020-02-08T00:00:00"/>
    <x v="17"/>
    <x v="0"/>
    <x v="17"/>
    <m/>
    <m/>
    <s v="Cisaille"/>
    <s v="Déréglage de la cisaille"/>
    <s v="Réparation"/>
    <s v="Resserage des vis et reglage de position"/>
    <d v="2020-02-08T00:00:00"/>
    <m/>
    <n v="1"/>
    <x v="1"/>
    <x v="1"/>
    <m/>
  </r>
  <r>
    <d v="2020-02-08T00:00:00"/>
    <x v="20"/>
    <x v="0"/>
    <x v="20"/>
    <m/>
    <m/>
    <s v="Cassette PR10"/>
    <s v="Jeu sur galets"/>
    <s v="Réparation"/>
    <s v="Changement de 6 roulements endommagés"/>
    <d v="2020-02-08T00:00:00"/>
    <m/>
    <n v="2"/>
    <x v="1"/>
    <x v="1"/>
    <m/>
  </r>
  <r>
    <d v="2020-02-10T00:00:00"/>
    <x v="13"/>
    <x v="0"/>
    <x v="13"/>
    <m/>
    <m/>
    <s v="Cisaille"/>
    <s v="Couteau de cisaille bloqué"/>
    <s v="Réparation"/>
    <s v="Extraction de la vis et reglage de position"/>
    <d v="2020-02-11T00:00:00"/>
    <m/>
    <s v="=SI(ESTVIDE([@[Date"/>
    <x v="1"/>
    <x v="1"/>
    <m/>
  </r>
  <r>
    <d v="2020-02-11T00:00:00"/>
    <x v="3"/>
    <x v="1"/>
    <x v="3"/>
    <m/>
    <m/>
    <s v="Transbordeur"/>
    <s v="Connecteurs tordu"/>
    <s v="Réparation"/>
    <s v="Changement des connecteurs de contact et mise en marche du transbordeur"/>
    <d v="2020-02-11T00:00:00"/>
    <m/>
    <n v="2"/>
    <x v="1"/>
    <x v="1"/>
    <m/>
  </r>
  <r>
    <d v="2020-02-11T00:00:00"/>
    <x v="2"/>
    <x v="1"/>
    <x v="2"/>
    <m/>
    <m/>
    <s v="Tiroir"/>
    <s v="Pignon endommagée"/>
    <s v="Réparation"/>
    <s v="Changement du pignon d'accouplement moteur/réducteur"/>
    <d v="2020-02-11T00:00:00"/>
    <m/>
    <n v="2"/>
    <x v="1"/>
    <x v="1"/>
    <m/>
  </r>
  <r>
    <d v="2020-02-11T00:00:00"/>
    <x v="35"/>
    <x v="8"/>
    <x v="35"/>
    <m/>
    <m/>
    <s v="Distribution"/>
    <s v="Electrovanne démontée"/>
    <s v="Réparation"/>
    <s v="Remontage de l'electrovanne et mise en marche"/>
    <d v="2020-02-11T00:00:00"/>
    <m/>
    <n v="40"/>
    <x v="1"/>
    <x v="1"/>
    <m/>
  </r>
  <r>
    <d v="2020-02-12T00:00:00"/>
    <x v="2"/>
    <x v="1"/>
    <x v="2"/>
    <m/>
    <m/>
    <s v="Table vibrante"/>
    <s v="Courroie 2800 endommagée"/>
    <s v="Réparation"/>
    <s v="Changement d'une courroie 2800"/>
    <d v="2020-02-12T00:00:00"/>
    <m/>
    <n v="2"/>
    <x v="1"/>
    <x v="1"/>
    <m/>
  </r>
  <r>
    <d v="2020-02-12T00:00:00"/>
    <x v="21"/>
    <x v="4"/>
    <x v="21"/>
    <m/>
    <m/>
    <s v="Tambour principale"/>
    <s v="Rupture du cable antigiratoire "/>
    <s v="Réparation"/>
    <s v="Changement du cable antigiratoire D8"/>
    <d v="2020-02-12T00:00:00"/>
    <m/>
    <n v="2"/>
    <x v="1"/>
    <x v="1"/>
    <m/>
  </r>
  <r>
    <d v="2020-02-12T00:00:00"/>
    <x v="13"/>
    <x v="0"/>
    <x v="13"/>
    <m/>
    <m/>
    <s v="Guide fil"/>
    <s v="Jeu sur chappe de vérin "/>
    <s v="Réparation"/>
    <s v="Changement de la chappe du vérin "/>
    <d v="2020-02-12T00:00:00"/>
    <m/>
    <n v="1"/>
    <x v="1"/>
    <x v="1"/>
    <m/>
  </r>
  <r>
    <d v="2020-02-12T00:00:00"/>
    <x v="10"/>
    <x v="0"/>
    <x v="10"/>
    <m/>
    <m/>
    <s v="Partie de soudage"/>
    <s v="Courroies détendu "/>
    <s v="Réparation"/>
    <s v="tension des courroies"/>
    <d v="2020-02-12T00:00:00"/>
    <m/>
    <n v="40"/>
    <x v="1"/>
    <x v="1"/>
    <m/>
  </r>
  <r>
    <d v="2020-02-12T00:00:00"/>
    <x v="26"/>
    <x v="0"/>
    <x v="26"/>
    <m/>
    <m/>
    <s v="Zigzag"/>
    <s v="Usure du guide fil"/>
    <s v="Réparation"/>
    <s v="Changement du guide fil endommagé"/>
    <d v="2020-02-12T00:00:00"/>
    <m/>
    <n v="1"/>
    <x v="1"/>
    <x v="1"/>
    <m/>
  </r>
  <r>
    <d v="2020-02-12T00:00:00"/>
    <x v="4"/>
    <x v="0"/>
    <x v="4"/>
    <m/>
    <m/>
    <s v="Bloc de soudure"/>
    <s v="Mauvais contact sur cassette siemens"/>
    <s v="Réparation"/>
    <s v="Réparation des cassettes"/>
    <d v="2020-02-12T00:00:00"/>
    <m/>
    <n v="2"/>
    <x v="1"/>
    <x v="1"/>
    <m/>
  </r>
  <r>
    <d v="2020-02-13T00:00:00"/>
    <x v="2"/>
    <x v="1"/>
    <x v="2"/>
    <m/>
    <m/>
    <s v="Pilon"/>
    <s v="Mauvais contact sur relais"/>
    <s v="Réparation"/>
    <s v="Changement du relais endommagé"/>
    <d v="2020-02-13T00:00:00"/>
    <m/>
    <n v="2"/>
    <x v="1"/>
    <x v="1"/>
    <m/>
  </r>
  <r>
    <d v="2020-02-13T00:00:00"/>
    <x v="2"/>
    <x v="1"/>
    <x v="2"/>
    <m/>
    <m/>
    <s v="Skip"/>
    <s v="Essai frein moteur"/>
    <s v="Changement"/>
    <s v="Branchement frein moteur D'occasion  et mise en marche"/>
    <d v="2020-02-13T00:00:00"/>
    <s v="Frein Opérationnel - Ancien frein stocké au magasin"/>
    <n v="1"/>
    <x v="1"/>
    <x v="1"/>
    <m/>
  </r>
  <r>
    <d v="2020-02-13T00:00:00"/>
    <x v="10"/>
    <x v="0"/>
    <x v="10"/>
    <m/>
    <m/>
    <s v="Cassette PR10"/>
    <s v="Circuit de refroidissement bouché"/>
    <s v="Réparation"/>
    <s v="Débouchage du circuit de refroidissement "/>
    <d v="2020-02-13T00:00:00"/>
    <m/>
    <n v="2"/>
    <x v="1"/>
    <x v="1"/>
    <m/>
  </r>
  <r>
    <d v="2020-02-13T00:00:00"/>
    <x v="4"/>
    <x v="0"/>
    <x v="4"/>
    <m/>
    <m/>
    <s v="Système de tirage"/>
    <s v="Galets usés"/>
    <s v="Réparation"/>
    <s v="Changement de 2 galets de tirage"/>
    <d v="2020-02-13T00:00:00"/>
    <m/>
    <n v="2"/>
    <x v="1"/>
    <x v="1"/>
    <m/>
  </r>
  <r>
    <d v="2020-02-14T00:00:00"/>
    <x v="3"/>
    <x v="1"/>
    <x v="3"/>
    <m/>
    <m/>
    <s v="Sortie presse"/>
    <s v="Courroie endommagée"/>
    <s v="Réparation"/>
    <s v="Changement de deux courroies thermosoudables"/>
    <d v="2020-02-14T00:00:00"/>
    <m/>
    <m/>
    <x v="1"/>
    <x v="1"/>
    <m/>
  </r>
  <r>
    <d v="2020-02-14T00:00:00"/>
    <x v="3"/>
    <x v="1"/>
    <x v="3"/>
    <m/>
    <m/>
    <s v="Transbordeur"/>
    <s v="Pb électrique"/>
    <s v="Réparation"/>
    <s v="Changement d'un connecteur endommagé"/>
    <d v="2020-02-14T00:00:00"/>
    <m/>
    <m/>
    <x v="1"/>
    <x v="1"/>
    <m/>
  </r>
  <r>
    <d v="2020-02-14T00:00:00"/>
    <x v="1"/>
    <x v="0"/>
    <x v="1"/>
    <m/>
    <m/>
    <s v="Cassette 4,80"/>
    <s v="Jeu sur galets"/>
    <s v="Réparation"/>
    <s v="Changement de deux roulements + zoomage"/>
    <d v="2020-02-14T00:00:00"/>
    <m/>
    <n v="1"/>
    <x v="1"/>
    <x v="1"/>
    <m/>
  </r>
  <r>
    <d v="2020-02-15T00:00:00"/>
    <x v="4"/>
    <x v="0"/>
    <x v="4"/>
    <m/>
    <m/>
    <s v="Tir fil"/>
    <s v="Moteurs de tirage HS"/>
    <s v="Réparation"/>
    <s v="Servomoteur réparé"/>
    <d v="2020-02-24T00:00:00"/>
    <s v="La machine tourne à vitesse réduite / En attente de décision de la DG pour assistance sur place d'un technicien EVG"/>
    <s v="=SI(ESTVIDE([@[Date"/>
    <x v="1"/>
    <x v="1"/>
    <m/>
  </r>
  <r>
    <d v="2020-02-15T00:00:00"/>
    <x v="4"/>
    <x v="0"/>
    <x v="4"/>
    <m/>
    <m/>
    <s v="Transformateur n3"/>
    <s v="Echauffement du transformateur"/>
    <s v="Réparation"/>
    <s v="Purge du cicuit de refroidissement"/>
    <d v="2020-02-15T00:00:00"/>
    <m/>
    <n v="30"/>
    <x v="1"/>
    <x v="1"/>
    <m/>
  </r>
  <r>
    <d v="2020-02-16T00:00:00"/>
    <x v="3"/>
    <x v="1"/>
    <x v="3"/>
    <m/>
    <m/>
    <s v="Malaxeur"/>
    <s v="Usure des toles de malaxeur"/>
    <s v="Réparation"/>
    <s v="Changement des toles usées"/>
    <d v="2020-02-16T00:00:00"/>
    <m/>
    <n v="7"/>
    <x v="1"/>
    <x v="1"/>
    <m/>
  </r>
  <r>
    <d v="2020-02-16T00:00:00"/>
    <x v="3"/>
    <x v="1"/>
    <x v="3"/>
    <m/>
    <m/>
    <s v="Transbordeur"/>
    <s v="Entretien préventif"/>
    <s v="Réparation"/>
    <s v="Changement des contacteur d'alimentation + Cable méplat du transbordeur"/>
    <d v="2020-02-16T00:00:00"/>
    <m/>
    <n v="7"/>
    <x v="1"/>
    <x v="1"/>
    <m/>
  </r>
  <r>
    <d v="2020-02-17T00:00:00"/>
    <x v="16"/>
    <x v="0"/>
    <x v="16"/>
    <m/>
    <m/>
    <s v="Refroidisseur"/>
    <s v="Refroidisseur HS"/>
    <s v="Rénovation"/>
    <s v="Installation d'un nouveau refroidisseur"/>
    <d v="2020-02-17T00:00:00"/>
    <m/>
    <n v="3"/>
    <x v="1"/>
    <x v="1"/>
    <m/>
  </r>
  <r>
    <d v="2020-02-18T00:00:00"/>
    <x v="3"/>
    <x v="1"/>
    <x v="3"/>
    <m/>
    <m/>
    <s v="Groupe hydraulique"/>
    <s v="Pb de passage à la deuxieme vitesse"/>
    <s v="Réparation"/>
    <s v="Dépannage d'un bloc auxiliaire de contact"/>
    <d v="2020-02-18T00:00:00"/>
    <s v="Attente réception Bloc de contact"/>
    <n v="1"/>
    <x v="1"/>
    <x v="1"/>
    <m/>
  </r>
  <r>
    <d v="2020-02-18T00:00:00"/>
    <x v="13"/>
    <x v="0"/>
    <x v="13"/>
    <m/>
    <m/>
    <s v="Devidoir"/>
    <s v="Circuit d'air bouché"/>
    <s v="Réparation"/>
    <s v="Réparation du circuit d'air comprimé"/>
    <d v="2020-02-18T00:00:00"/>
    <m/>
    <n v="1"/>
    <x v="1"/>
    <x v="1"/>
    <m/>
  </r>
  <r>
    <d v="2020-02-20T00:00:00"/>
    <x v="27"/>
    <x v="2"/>
    <x v="27"/>
    <m/>
    <m/>
    <s v="Vis à ciment"/>
    <s v="Colmatage de la vis"/>
    <s v="Réparation"/>
    <s v="Démontage, débouchage et remontage du système"/>
    <d v="2020-02-20T00:00:00"/>
    <m/>
    <n v="1"/>
    <x v="1"/>
    <x v="1"/>
    <m/>
  </r>
  <r>
    <d v="2020-02-20T00:00:00"/>
    <x v="10"/>
    <x v="0"/>
    <x v="10"/>
    <m/>
    <m/>
    <s v="Cassette PR10"/>
    <s v="Galet endommagé"/>
    <s v="Réparation"/>
    <s v="Changement du galet endommagé + 6 roulements"/>
    <d v="2020-02-20T00:00:00"/>
    <m/>
    <n v="2"/>
    <x v="1"/>
    <x v="1"/>
    <m/>
  </r>
  <r>
    <d v="2020-02-21T00:00:00"/>
    <x v="26"/>
    <x v="0"/>
    <x v="26"/>
    <m/>
    <m/>
    <s v="Redresseur"/>
    <s v="Galets usés"/>
    <s v="Réparation"/>
    <s v="Changement de deux galets endommagés"/>
    <d v="2020-02-21T00:00:00"/>
    <m/>
    <n v="2"/>
    <x v="1"/>
    <x v="1"/>
    <m/>
  </r>
  <r>
    <d v="2020-02-22T00:00:00"/>
    <x v="3"/>
    <x v="1"/>
    <x v="3"/>
    <m/>
    <m/>
    <s v="Transbordeur"/>
    <s v="Capteur de proximité endommagé"/>
    <s v="Réparation"/>
    <s v="Changement du détecteur"/>
    <d v="2020-02-22T00:00:00"/>
    <m/>
    <n v="1"/>
    <x v="1"/>
    <x v="1"/>
    <m/>
  </r>
  <r>
    <d v="2020-02-22T00:00:00"/>
    <x v="3"/>
    <x v="1"/>
    <x v="3"/>
    <m/>
    <m/>
    <s v="Descenseur"/>
    <s v="Déformation cornière descenceur"/>
    <s v="Réparation"/>
    <s v="Dressage et remontage des cornière"/>
    <d v="2020-02-22T00:00:00"/>
    <m/>
    <n v="1"/>
    <x v="1"/>
    <x v="1"/>
    <m/>
  </r>
  <r>
    <d v="2020-02-22T00:00:00"/>
    <x v="13"/>
    <x v="0"/>
    <x v="13"/>
    <m/>
    <m/>
    <s v="Guide fil"/>
    <s v="Entretien du dispositif "/>
    <s v="Réparation"/>
    <s v="Entretien du dispositif guide fil"/>
    <d v="2020-02-24T00:00:00"/>
    <m/>
    <s v="=SI(ESTVIDE([@[Date"/>
    <x v="1"/>
    <x v="1"/>
    <m/>
  </r>
  <r>
    <d v="2020-02-23T00:00:00"/>
    <x v="11"/>
    <x v="0"/>
    <x v="11"/>
    <m/>
    <m/>
    <s v="Cabestan"/>
    <s v="Jeu sur arbre d'entrainement"/>
    <s v="Réparation"/>
    <s v="Rectification chez tourneur"/>
    <d v="2020-03-03T00:00:00"/>
    <m/>
    <s v="=SI(ESTVIDE([@[Date"/>
    <x v="2"/>
    <x v="1"/>
    <m/>
  </r>
  <r>
    <d v="2020-02-24T00:00:00"/>
    <x v="3"/>
    <x v="1"/>
    <x v="3"/>
    <m/>
    <m/>
    <s v="G.H"/>
    <s v="Chute de pression sur accumulateur"/>
    <s v="Réparation"/>
    <s v="Changement d'accumulateur et mise en marche"/>
    <d v="2020-02-24T00:00:00"/>
    <m/>
    <n v="2"/>
    <x v="1"/>
    <x v="1"/>
    <m/>
  </r>
  <r>
    <d v="2020-02-24T00:00:00"/>
    <x v="2"/>
    <x v="1"/>
    <x v="2"/>
    <m/>
    <m/>
    <s v="Pilon"/>
    <s v="Fuite sur vessie pneumatique"/>
    <s v="Réparation"/>
    <s v="Changement d'une vessie pneumatique"/>
    <d v="2020-02-24T00:00:00"/>
    <m/>
    <n v="1"/>
    <x v="1"/>
    <x v="1"/>
    <m/>
  </r>
  <r>
    <d v="2020-02-24T00:00:00"/>
    <x v="13"/>
    <x v="0"/>
    <x v="13"/>
    <m/>
    <m/>
    <s v="Cisaille"/>
    <s v="Entretien correctif"/>
    <s v="Réparation"/>
    <s v="Changement d'axe de came + Réglage de la machine "/>
    <d v="2020-02-24T00:00:00"/>
    <m/>
    <n v="2"/>
    <x v="1"/>
    <x v="1"/>
    <m/>
  </r>
  <r>
    <d v="2020-02-25T00:00:00"/>
    <x v="12"/>
    <x v="0"/>
    <x v="12"/>
    <m/>
    <m/>
    <s v="Devidoir"/>
    <s v="Déformation du devidoir suite à un accident (Rupture feuillard + chutte bobine en acier)"/>
    <s v="Réparation"/>
    <s v="Dressage du bobinoir"/>
    <d v="2020-02-25T00:00:00"/>
    <m/>
    <n v="1"/>
    <x v="1"/>
    <x v="1"/>
    <m/>
  </r>
  <r>
    <d v="2020-02-26T00:00:00"/>
    <x v="3"/>
    <x v="1"/>
    <x v="3"/>
    <m/>
    <m/>
    <s v="Presse"/>
    <s v="Moteur de vibration grillé"/>
    <s v="Réparation"/>
    <s v="Changement du moteur de vibration"/>
    <d v="2020-02-26T00:00:00"/>
    <s v="Rebobinage du moteur endommagé chez CEDP"/>
    <n v="5"/>
    <x v="1"/>
    <x v="1"/>
    <m/>
  </r>
  <r>
    <d v="2020-02-26T00:00:00"/>
    <x v="2"/>
    <x v="1"/>
    <x v="2"/>
    <m/>
    <m/>
    <s v="Malaxeur"/>
    <s v="Pales de pattes usée "/>
    <s v="Réparation"/>
    <s v="Changement de deux pales de pates"/>
    <d v="2020-02-26T00:00:00"/>
    <m/>
    <n v="1"/>
    <x v="1"/>
    <x v="1"/>
    <m/>
  </r>
  <r>
    <d v="2020-02-26T00:00:00"/>
    <x v="1"/>
    <x v="0"/>
    <x v="1"/>
    <m/>
    <m/>
    <s v="Poste de soudage"/>
    <s v="Mauvais contact"/>
    <s v="Réparation"/>
    <s v="Changement d'un disjoncteur endommagé"/>
    <d v="2020-02-26T00:00:00"/>
    <m/>
    <n v="1"/>
    <x v="1"/>
    <x v="1"/>
    <m/>
  </r>
  <r>
    <d v="2020-02-26T00:00:00"/>
    <x v="10"/>
    <x v="0"/>
    <x v="10"/>
    <m/>
    <m/>
    <s v="Cassette PR12"/>
    <s v="Fuite d'eau"/>
    <s v="Réparation"/>
    <s v="Changement d'un flexible endommagé"/>
    <d v="2020-02-27T00:00:00"/>
    <m/>
    <n v="40"/>
    <x v="1"/>
    <x v="1"/>
    <m/>
  </r>
  <r>
    <d v="2020-02-27T00:00:00"/>
    <x v="10"/>
    <x v="0"/>
    <x v="10"/>
    <m/>
    <m/>
    <s v="Bobinoir"/>
    <s v="Jeu sur poulie d'entrainement"/>
    <s v="Réparation"/>
    <s v="Elimination du jeu par fixation d'une tôle entre arbre et alésage"/>
    <d v="2020-02-27T00:00:00"/>
    <m/>
    <n v="1"/>
    <x v="1"/>
    <x v="1"/>
    <m/>
  </r>
  <r>
    <d v="2020-02-27T00:00:00"/>
    <x v="7"/>
    <x v="0"/>
    <x v="7"/>
    <m/>
    <m/>
    <s v="Porte électrode "/>
    <s v="Electrodes usées"/>
    <s v="Réparation"/>
    <s v="Confection de deux electrodes usées"/>
    <d v="2020-02-27T00:00:00"/>
    <m/>
    <n v="1"/>
    <x v="1"/>
    <x v="1"/>
    <m/>
  </r>
  <r>
    <d v="2020-02-28T00:00:00"/>
    <x v="3"/>
    <x v="1"/>
    <x v="3"/>
    <m/>
    <m/>
    <s v="Cercleuse"/>
    <s v="Pb de glissement de l'embrayage"/>
    <s v="Réparation"/>
    <s v="Réglage de l'embrayage"/>
    <d v="2020-02-28T00:00:00"/>
    <m/>
    <n v="1"/>
    <x v="1"/>
    <x v="1"/>
    <m/>
  </r>
  <r>
    <d v="2020-02-28T00:00:00"/>
    <x v="7"/>
    <x v="0"/>
    <x v="7"/>
    <m/>
    <m/>
    <s v="Cisaille"/>
    <s v="Fuite sur vérin de cisaille"/>
    <s v="Réparation"/>
    <s v="Changement des joints du vérin de cisaille"/>
    <d v="2020-02-28T00:00:00"/>
    <m/>
    <n v="1"/>
    <x v="1"/>
    <x v="1"/>
    <m/>
  </r>
  <r>
    <d v="2020-02-29T00:00:00"/>
    <x v="3"/>
    <x v="1"/>
    <x v="3"/>
    <m/>
    <m/>
    <s v="Transbordeur"/>
    <s v="Jeu sur galet de tranbordeur"/>
    <s v="Réparation"/>
    <s v="Démontage chargement de surface et réctification du support de galet du transbordeur"/>
    <d v="2020-02-29T00:00:00"/>
    <m/>
    <n v="2"/>
    <x v="1"/>
    <x v="1"/>
    <m/>
  </r>
  <r>
    <d v="2020-03-03T00:00:00"/>
    <x v="3"/>
    <x v="1"/>
    <x v="3"/>
    <m/>
    <m/>
    <s v="Groupe hydraulique"/>
    <s v="Chute de pression"/>
    <s v="Réparation"/>
    <s v="Changement de l'accumulateur"/>
    <d v="2020-03-03T00:00:00"/>
    <m/>
    <n v="20"/>
    <x v="2"/>
    <x v="1"/>
    <m/>
  </r>
  <r>
    <d v="2020-03-03T00:00:00"/>
    <x v="17"/>
    <x v="0"/>
    <x v="17"/>
    <m/>
    <m/>
    <s v="Unité de dressage"/>
    <s v="Pb sur galet de dressage"/>
    <s v="Réparation"/>
    <s v="Changement du galet endommagé "/>
    <d v="2020-03-03T00:00:00"/>
    <m/>
    <n v="40"/>
    <x v="2"/>
    <x v="1"/>
    <m/>
  </r>
  <r>
    <d v="2020-03-03T00:00:00"/>
    <x v="4"/>
    <x v="0"/>
    <x v="4"/>
    <m/>
    <m/>
    <s v="Bloc de soudure"/>
    <s v="Filetage du porte électrode foiré"/>
    <s v="Réparation"/>
    <s v="Changement d'un filet rapporté"/>
    <d v="2020-03-03T00:00:00"/>
    <m/>
    <n v="1"/>
    <x v="2"/>
    <x v="1"/>
    <m/>
  </r>
  <r>
    <d v="2020-03-04T00:00:00"/>
    <x v="3"/>
    <x v="1"/>
    <x v="3"/>
    <m/>
    <m/>
    <s v="Table vibrante"/>
    <s v="Courroie 2800 endommagée"/>
    <s v="Réparation"/>
    <s v="Changement d'une courroie 2800"/>
    <d v="2020-03-04T00:00:00"/>
    <m/>
    <n v="1"/>
    <x v="2"/>
    <x v="1"/>
    <m/>
  </r>
  <r>
    <d v="2020-03-04T00:00:00"/>
    <x v="24"/>
    <x v="4"/>
    <x v="24"/>
    <m/>
    <m/>
    <s v="Alimentation générale"/>
    <s v="Manque de phase"/>
    <s v="Réparation"/>
    <s v="Réarmement du disjoncteur"/>
    <d v="2020-03-04T00:00:00"/>
    <m/>
    <n v="30"/>
    <x v="2"/>
    <x v="1"/>
    <m/>
  </r>
  <r>
    <d v="2020-03-05T00:00:00"/>
    <x v="3"/>
    <x v="1"/>
    <x v="3"/>
    <m/>
    <m/>
    <s v="Table vibrante"/>
    <s v="Tole fissurée"/>
    <s v="Réparation"/>
    <s v="Changement de la tole de la table vibrante"/>
    <d v="2020-03-05T00:00:00"/>
    <m/>
    <n v="3"/>
    <x v="2"/>
    <x v="1"/>
    <m/>
  </r>
  <r>
    <d v="2020-03-05T00:00:00"/>
    <x v="13"/>
    <x v="0"/>
    <x v="13"/>
    <m/>
    <m/>
    <s v="Boite de galet"/>
    <s v="Heure vidange atteint"/>
    <s v="Réparation"/>
    <s v="Vidange de la boite"/>
    <d v="2020-03-05T00:00:00"/>
    <m/>
    <n v="1"/>
    <x v="2"/>
    <x v="1"/>
    <m/>
  </r>
  <r>
    <d v="2020-03-05T00:00:00"/>
    <x v="10"/>
    <x v="0"/>
    <x v="10"/>
    <m/>
    <m/>
    <s v="Cassette 4,80"/>
    <s v="Roulements usés"/>
    <s v="Réparation"/>
    <s v="Changement de 4 roulements 32008"/>
    <d v="2020-03-05T00:00:00"/>
    <m/>
    <n v="1"/>
    <x v="2"/>
    <x v="1"/>
    <m/>
  </r>
  <r>
    <d v="2020-03-06T00:00:00"/>
    <x v="3"/>
    <x v="1"/>
    <x v="3"/>
    <m/>
    <m/>
    <s v="Presse"/>
    <s v="Rupture d'une courroie thermosoudable"/>
    <s v="Réparation"/>
    <s v="Jonction de deux courroies thermosoudables sortie presse"/>
    <d v="2020-03-06T00:00:00"/>
    <m/>
    <n v="40"/>
    <x v="2"/>
    <x v="1"/>
    <m/>
  </r>
  <r>
    <d v="2020-03-07T00:00:00"/>
    <x v="20"/>
    <x v="0"/>
    <x v="20"/>
    <m/>
    <m/>
    <s v="Cassette PR 7"/>
    <s v="Absence de variateur"/>
    <s v="Réparation"/>
    <s v="Montage d'un variateur de puissance"/>
    <d v="2020-03-07T00:00:00"/>
    <m/>
    <n v="2"/>
    <x v="2"/>
    <x v="1"/>
    <m/>
  </r>
  <r>
    <d v="2020-03-07T00:00:00"/>
    <x v="3"/>
    <x v="1"/>
    <x v="3"/>
    <m/>
    <m/>
    <s v="Moteur de vibration"/>
    <s v="Manque de phase"/>
    <s v="Réparation"/>
    <s v="Elimination du manque de phase et mise en marche"/>
    <d v="2020-03-07T00:00:00"/>
    <m/>
    <n v="1"/>
    <x v="2"/>
    <x v="1"/>
    <m/>
  </r>
  <r>
    <d v="2020-03-09T00:00:00"/>
    <x v="10"/>
    <x v="0"/>
    <x v="10"/>
    <m/>
    <m/>
    <s v="Chariot principal"/>
    <s v="Blocage de la chaine de levage"/>
    <s v="Réparation"/>
    <s v="Déblocage de la chaine de levage"/>
    <d v="2020-03-09T00:00:00"/>
    <m/>
    <n v="40"/>
    <x v="2"/>
    <x v="1"/>
    <m/>
  </r>
  <r>
    <d v="2020-03-10T00:00:00"/>
    <x v="0"/>
    <x v="0"/>
    <x v="0"/>
    <m/>
    <m/>
    <s v="Compresseur GA75"/>
    <s v="Suite - Révision générale"/>
    <s v="Réparation"/>
    <s v="Remontage de l'element d'aspiration et misqe en marche"/>
    <d v="2020-03-10T00:00:00"/>
    <m/>
    <n v="3"/>
    <x v="2"/>
    <x v="1"/>
    <m/>
  </r>
  <r>
    <d v="2020-03-10T00:00:00"/>
    <x v="16"/>
    <x v="0"/>
    <x v="16"/>
    <m/>
    <m/>
    <s v="Alimentation générale"/>
    <s v="Rupture d'un cable de tension"/>
    <s v="Réparation"/>
    <s v="Shunt du circuit et mise en marche"/>
    <d v="2020-03-10T00:00:00"/>
    <m/>
    <n v="1"/>
    <x v="2"/>
    <x v="1"/>
    <m/>
  </r>
  <r>
    <d v="2020-03-10T00:00:00"/>
    <x v="3"/>
    <x v="1"/>
    <x v="3"/>
    <m/>
    <m/>
    <s v="Retourneur"/>
    <s v="Rupture d'une corroie thermosoudable"/>
    <s v="Réparation"/>
    <s v="Jonction de la courroie thermosoudable du retourneur"/>
    <d v="2020-03-10T00:00:00"/>
    <m/>
    <n v="30"/>
    <x v="2"/>
    <x v="1"/>
    <m/>
  </r>
  <r>
    <d v="2020-03-11T00:00:00"/>
    <x v="7"/>
    <x v="0"/>
    <x v="7"/>
    <m/>
    <m/>
    <s v="Cisaille"/>
    <s v="rupture d'un flexible"/>
    <s v="Réparation"/>
    <s v="Changement du flexible endommagé"/>
    <d v="2020-03-11T00:00:00"/>
    <m/>
    <n v="40"/>
    <x v="2"/>
    <x v="1"/>
    <m/>
  </r>
  <r>
    <d v="2020-03-11T00:00:00"/>
    <x v="3"/>
    <x v="1"/>
    <x v="3"/>
    <m/>
    <m/>
    <s v="Skip"/>
    <s v="Pb sur galet du skip"/>
    <s v="Réparation"/>
    <s v="Montage d'un arbre neuf"/>
    <d v="2020-03-11T00:00:00"/>
    <m/>
    <n v="2"/>
    <x v="2"/>
    <x v="1"/>
    <m/>
  </r>
  <r>
    <d v="2020-03-11T00:00:00"/>
    <x v="3"/>
    <x v="1"/>
    <x v="3"/>
    <m/>
    <m/>
    <s v="Transbordeur"/>
    <s v="Prise de mesure"/>
    <s v="Réparation"/>
    <s v="Démontage des galets du transbordeur pour prises des cotes"/>
    <d v="2020-03-12T00:00:00"/>
    <m/>
    <s v="=SI(ESTVIDE([@[Date"/>
    <x v="2"/>
    <x v="1"/>
    <m/>
  </r>
  <r>
    <d v="2020-03-12T00:00:00"/>
    <x v="17"/>
    <x v="0"/>
    <x v="17"/>
    <m/>
    <m/>
    <s v="Guide fil"/>
    <s v="Guide fil usé"/>
    <s v="Réparation"/>
    <s v="Chargement de la partie usée  Remontage et mise en marche"/>
    <d v="2020-03-12T00:00:00"/>
    <m/>
    <n v="1"/>
    <x v="2"/>
    <x v="1"/>
    <m/>
  </r>
  <r>
    <d v="2020-03-12T00:00:00"/>
    <x v="2"/>
    <x v="1"/>
    <x v="2"/>
    <m/>
    <m/>
    <s v="Retour planche"/>
    <s v="Moteur 1,5kw endommagé"/>
    <s v="Réparation"/>
    <s v="Changement du moteur 1,5kw"/>
    <d v="2020-03-12T00:00:00"/>
    <m/>
    <n v="1"/>
    <x v="2"/>
    <x v="1"/>
    <m/>
  </r>
  <r>
    <d v="2020-03-14T00:00:00"/>
    <x v="4"/>
    <x v="0"/>
    <x v="4"/>
    <m/>
    <m/>
    <s v="Bloc de soudure"/>
    <s v="Axe plongeur endommagé"/>
    <s v="Réparation"/>
    <s v="Changement de l'axe plongeur endommagé"/>
    <d v="2020-03-14T00:00:00"/>
    <m/>
    <n v="1"/>
    <x v="2"/>
    <x v="1"/>
    <m/>
  </r>
  <r>
    <d v="2020-03-15T00:00:00"/>
    <x v="2"/>
    <x v="1"/>
    <x v="2"/>
    <m/>
    <m/>
    <s v="Table vibrante"/>
    <s v="Entretien"/>
    <s v="Réparation"/>
    <s v="Changement des roulements des masselottes et montage des masselottes réparées"/>
    <d v="2020-04-16T00:00:00"/>
    <m/>
    <s v="=SI(ESTVIDE([@[Date"/>
    <x v="3"/>
    <x v="1"/>
    <m/>
  </r>
  <r>
    <d v="2020-03-16T00:00:00"/>
    <x v="3"/>
    <x v="1"/>
    <x v="3"/>
    <m/>
    <m/>
    <s v="Transbordeur"/>
    <s v="Revision du transbordeur"/>
    <s v="Réparation"/>
    <s v="Montage des galets et arbres confectionnés et dressage des fourches"/>
    <d v="2020-03-17T00:00:00"/>
    <m/>
    <s v="=SI(ESTVIDE([@[Date"/>
    <x v="2"/>
    <x v="1"/>
    <m/>
  </r>
  <r>
    <d v="2020-03-16T00:00:00"/>
    <x v="0"/>
    <x v="0"/>
    <x v="0"/>
    <m/>
    <m/>
    <s v="Système d'avancement"/>
    <s v="Panne rouleau d'avancement"/>
    <s v="Réparation"/>
    <s v="Changement d'un relais endommagé"/>
    <d v="2020-03-16T00:00:00"/>
    <m/>
    <n v="1"/>
    <x v="2"/>
    <x v="1"/>
    <m/>
  </r>
  <r>
    <d v="2020-03-16T00:00:00"/>
    <x v="4"/>
    <x v="0"/>
    <x v="4"/>
    <m/>
    <m/>
    <s v="Dispositif de tirage"/>
    <s v="Echeance vidange"/>
    <s v="Vidange"/>
    <s v="Vidange réducteur"/>
    <d v="2020-03-16T00:00:00"/>
    <m/>
    <n v="45"/>
    <x v="2"/>
    <x v="1"/>
    <m/>
  </r>
  <r>
    <d v="2020-03-17T00:00:00"/>
    <x v="2"/>
    <x v="1"/>
    <x v="2"/>
    <m/>
    <m/>
    <s v="Table vibrante"/>
    <s v="rupture d'une courroie 2800"/>
    <s v="Réparation"/>
    <s v="Changement de la courroie endommagée et remontage des masselottes réparées"/>
    <d v="2020-03-18T00:00:00"/>
    <m/>
    <s v="=SI(ESTVIDE([@[Date"/>
    <x v="2"/>
    <x v="1"/>
    <m/>
  </r>
  <r>
    <d v="2020-03-25T00:00:00"/>
    <x v="4"/>
    <x v="0"/>
    <x v="4"/>
    <m/>
    <m/>
    <s v="Système de tirage"/>
    <s v="Pb sur chaine de transmission"/>
    <s v="Réparation"/>
    <s v="Tension de la chaine"/>
    <d v="2020-03-25T00:00:00"/>
    <m/>
    <n v="30"/>
    <x v="2"/>
    <x v="1"/>
    <m/>
  </r>
  <r>
    <d v="2020-03-28T00:00:00"/>
    <x v="4"/>
    <x v="0"/>
    <x v="4"/>
    <m/>
    <m/>
    <s v="Table elevatrice"/>
    <s v="Défaut de reglage de la table elevatrice"/>
    <s v="Réparation"/>
    <s v="Réglage de hauteur et mise en marche"/>
    <d v="2020-03-28T00:00:00"/>
    <m/>
    <n v="1"/>
    <x v="2"/>
    <x v="1"/>
    <m/>
  </r>
  <r>
    <d v="2020-03-28T00:00:00"/>
    <x v="4"/>
    <x v="0"/>
    <x v="4"/>
    <m/>
    <m/>
    <s v="Table élevatrice"/>
    <s v="Capteur endommagé"/>
    <s v="Réparation"/>
    <s v="Changement du capteur endommagé"/>
    <d v="2020-03-28T00:00:00"/>
    <m/>
    <n v="1"/>
    <x v="2"/>
    <x v="1"/>
    <m/>
  </r>
  <r>
    <d v="2020-04-03T00:00:00"/>
    <x v="16"/>
    <x v="0"/>
    <x v="16"/>
    <m/>
    <m/>
    <s v="Cisaille"/>
    <s v="Vérin de cisaille bloqué"/>
    <s v="Réparation"/>
    <s v="Changement de la chappe endommagée"/>
    <d v="2020-04-03T00:00:00"/>
    <m/>
    <n v="1"/>
    <x v="3"/>
    <x v="1"/>
    <m/>
  </r>
  <r>
    <d v="2020-04-08T00:00:00"/>
    <x v="1"/>
    <x v="0"/>
    <x v="1"/>
    <m/>
    <m/>
    <s v="Cassette d4,80"/>
    <s v="Roulements Endommagés"/>
    <s v="Réparation"/>
    <s v="Changments des rouelements endommagés + Zoomage"/>
    <d v="2020-04-08T00:00:00"/>
    <m/>
    <n v="1"/>
    <x v="3"/>
    <x v="1"/>
    <m/>
  </r>
  <r>
    <d v="2020-04-09T00:00:00"/>
    <x v="3"/>
    <x v="1"/>
    <x v="3"/>
    <m/>
    <m/>
    <s v="Table vibrante"/>
    <s v="Défaut de fixation du moteur de vibration"/>
    <s v="Réparation"/>
    <s v="Démontage - Réparation des supports de fixation et mise en marche"/>
    <d v="2020-04-09T00:00:00"/>
    <m/>
    <n v="3"/>
    <x v="3"/>
    <x v="1"/>
    <m/>
  </r>
  <r>
    <d v="2020-04-10T00:00:00"/>
    <x v="3"/>
    <x v="1"/>
    <x v="3"/>
    <m/>
    <m/>
    <s v="Tiroir chargeur"/>
    <s v="Moteur d'agitation HS"/>
    <s v="Réparation"/>
    <s v="Changement du moteur d'agitation et rebobinage du moteur endommagé"/>
    <d v="2020-04-10T00:00:00"/>
    <m/>
    <n v="1"/>
    <x v="3"/>
    <x v="1"/>
    <m/>
  </r>
  <r>
    <d v="2020-04-14T00:00:00"/>
    <x v="1"/>
    <x v="0"/>
    <x v="1"/>
    <m/>
    <m/>
    <s v="Cassette d3,5"/>
    <s v="Défaut de zoomage"/>
    <s v="Réparation"/>
    <s v="Changement d'un roulement et zoomage de la cssette"/>
    <d v="2020-04-14T00:00:00"/>
    <m/>
    <n v="1"/>
    <x v="3"/>
    <x v="1"/>
    <m/>
  </r>
  <r>
    <d v="2020-04-16T00:00:00"/>
    <x v="13"/>
    <x v="0"/>
    <x v="13"/>
    <m/>
    <m/>
    <s v="Guide fil"/>
    <s v="Défaut d'alignement du fil de chaine"/>
    <s v="Réparation"/>
    <s v="Reglage des guides fils"/>
    <d v="2020-04-16T00:00:00"/>
    <m/>
    <n v="1"/>
    <x v="3"/>
    <x v="1"/>
    <m/>
  </r>
  <r>
    <d v="2020-04-20T00:00:00"/>
    <x v="17"/>
    <x v="0"/>
    <x v="17"/>
    <m/>
    <m/>
    <s v="Redresseur"/>
    <s v="Taraudage foiré"/>
    <s v="Réparation"/>
    <s v="Rebaguage et taraudage du redresseur "/>
    <d v="2020-04-23T00:00:00"/>
    <m/>
    <s v="=SI(ESTVIDE([@[Date"/>
    <x v="3"/>
    <x v="1"/>
    <m/>
  </r>
  <r>
    <d v="2020-04-21T00:00:00"/>
    <x v="0"/>
    <x v="0"/>
    <x v="0"/>
    <m/>
    <m/>
    <s v="Hacheur de freinage"/>
    <s v="Hacheur de freinage endommagé"/>
    <s v="Réparation"/>
    <s v="Changement du Hacheur"/>
    <d v="2020-04-21T00:00:00"/>
    <s v="Devis de Réparation en cours (Drive center Automation)"/>
    <n v="30"/>
    <x v="3"/>
    <x v="1"/>
    <m/>
  </r>
  <r>
    <d v="2020-04-21T00:00:00"/>
    <x v="8"/>
    <x v="4"/>
    <x v="8"/>
    <m/>
    <m/>
    <s v="Palan"/>
    <s v="Montage du palan"/>
    <s v="Réparation"/>
    <s v="Debut des travaux de montage du Palan acheté à la feraille"/>
    <d v="2020-04-25T00:00:00"/>
    <s v="Pont roulant opérationel"/>
    <s v="=SI(ESTVIDE([@[Date"/>
    <x v="3"/>
    <x v="1"/>
    <m/>
  </r>
  <r>
    <d v="2020-04-21T00:00:00"/>
    <x v="10"/>
    <x v="0"/>
    <x v="10"/>
    <m/>
    <m/>
    <s v="Cassette PR8"/>
    <s v="Roulement endommagé"/>
    <s v="Réparation"/>
    <s v="Changement des roulements endommagés"/>
    <d v="2020-04-21T00:00:00"/>
    <m/>
    <n v="3"/>
    <x v="3"/>
    <x v="1"/>
    <m/>
  </r>
  <r>
    <d v="2020-04-22T00:00:00"/>
    <x v="3"/>
    <x v="1"/>
    <x v="3"/>
    <m/>
    <m/>
    <s v="Transbordeur"/>
    <s v="Arret pour entretien"/>
    <s v="Réparation"/>
    <s v="Dressage des fourches du transbordeur et réglage des fins de courses"/>
    <d v="2020-04-22T00:00:00"/>
    <m/>
    <n v="4"/>
    <x v="3"/>
    <x v="1"/>
    <m/>
  </r>
  <r>
    <d v="2020-04-22T00:00:00"/>
    <x v="24"/>
    <x v="4"/>
    <x v="24"/>
    <m/>
    <m/>
    <s v="Tambour principale"/>
    <s v="Bruit anormal sur moteur"/>
    <s v="Réparation"/>
    <s v="Démontage du moteur "/>
    <d v="2020-09-28T00:00:00"/>
    <s v="Moteur  endommagé-en cours de prospection/ Essai de réparation chez spécialiste"/>
    <s v="=SI(ESTVIDE([@[Date"/>
    <x v="7"/>
    <x v="1"/>
    <m/>
  </r>
  <r>
    <d v="2020-04-23T00:00:00"/>
    <x v="21"/>
    <x v="4"/>
    <x v="21"/>
    <m/>
    <m/>
    <s v="Tambour principale"/>
    <s v="Rupture du cable antigiratoire"/>
    <s v="Réparation"/>
    <s v="Changement du cable endommagé"/>
    <d v="2020-04-23T00:00:00"/>
    <m/>
    <n v="1"/>
    <x v="3"/>
    <x v="1"/>
    <m/>
  </r>
  <r>
    <d v="2020-04-24T00:00:00"/>
    <x v="17"/>
    <x v="0"/>
    <x v="17"/>
    <m/>
    <m/>
    <s v="Redresseur"/>
    <s v="Rupture d'un courroie"/>
    <s v="Réparation"/>
    <s v="Changement de la courroie endommagée"/>
    <d v="2020-04-24T00:00:00"/>
    <m/>
    <n v="20"/>
    <x v="3"/>
    <x v="1"/>
    <m/>
  </r>
  <r>
    <d v="2020-04-25T00:00:00"/>
    <x v="21"/>
    <x v="4"/>
    <x v="21"/>
    <m/>
    <m/>
    <s v="Tambour principale"/>
    <s v="Rupture du cable antigiratoire"/>
    <s v="Réparation"/>
    <s v="Changement du cable endommagé"/>
    <d v="2020-04-25T00:00:00"/>
    <m/>
    <n v="1"/>
    <x v="3"/>
    <x v="1"/>
    <m/>
  </r>
  <r>
    <d v="2020-04-27T00:00:00"/>
    <x v="10"/>
    <x v="0"/>
    <x v="10"/>
    <m/>
    <m/>
    <s v="Cassette PR8"/>
    <s v="Desserage du moyeu de galet"/>
    <s v="Réparation"/>
    <s v="Démontage - changement de roulement et resserrage des moyeux"/>
    <d v="2020-04-28T00:00:00"/>
    <m/>
    <s v="=SI(ESTVIDE([@[Date"/>
    <x v="3"/>
    <x v="1"/>
    <m/>
  </r>
  <r>
    <d v="2020-04-27T00:00:00"/>
    <x v="17"/>
    <x v="0"/>
    <x v="17"/>
    <m/>
    <m/>
    <s v="Redresseur"/>
    <s v="Jeu au  niveau du support de fixation"/>
    <s v="Réparation"/>
    <s v="Démontage -changement des segments du support et mise en marche"/>
    <d v="2020-04-28T00:00:00"/>
    <m/>
    <s v="=SI(ESTVIDE([@[Date"/>
    <x v="3"/>
    <x v="1"/>
    <m/>
  </r>
  <r>
    <d v="2020-04-28T00:00:00"/>
    <x v="36"/>
    <x v="4"/>
    <x v="36"/>
    <m/>
    <m/>
    <s v="Cassette PR12"/>
    <s v="Entretien"/>
    <s v="Réparation"/>
    <s v="débouchage du circuit de refroidissement et zoomage"/>
    <d v="2020-04-28T00:00:00"/>
    <m/>
    <n v="1"/>
    <x v="3"/>
    <x v="1"/>
    <m/>
  </r>
  <r>
    <d v="2020-04-29T00:00:00"/>
    <x v="13"/>
    <x v="0"/>
    <x v="13"/>
    <m/>
    <m/>
    <s v="Guide fil"/>
    <s v="Glissiere endommagée"/>
    <s v="Réparation"/>
    <s v="Changement de la rail endommagée"/>
    <d v="2020-04-29T00:00:00"/>
    <m/>
    <n v="2"/>
    <x v="3"/>
    <x v="1"/>
    <m/>
  </r>
  <r>
    <d v="2020-04-29T00:00:00"/>
    <x v="2"/>
    <x v="1"/>
    <x v="2"/>
    <m/>
    <m/>
    <s v="cercleuse"/>
    <s v="Entretien géneral"/>
    <s v="Contrôle"/>
    <s v="Nettoyage et graissage général"/>
    <d v="2020-04-29T00:00:00"/>
    <m/>
    <n v="1"/>
    <x v="3"/>
    <x v="1"/>
    <m/>
  </r>
  <r>
    <d v="2020-04-30T00:00:00"/>
    <x v="12"/>
    <x v="0"/>
    <x v="12"/>
    <m/>
    <m/>
    <s v="Cisaille"/>
    <s v="Poblème de synchronisation"/>
    <s v="Réparation"/>
    <s v="Changement d'un circlip endommagé"/>
    <d v="2020-04-30T00:00:00"/>
    <m/>
    <n v="1"/>
    <x v="3"/>
    <x v="1"/>
    <m/>
  </r>
  <r>
    <d v="2020-04-30T00:00:00"/>
    <x v="7"/>
    <x v="0"/>
    <x v="7"/>
    <m/>
    <m/>
    <s v="Dispositif de dressage"/>
    <s v="Galets de dressage usés"/>
    <s v="Réparation"/>
    <s v="Changement des galets endommagés"/>
    <d v="2020-04-30T00:00:00"/>
    <m/>
    <n v="1"/>
    <x v="3"/>
    <x v="1"/>
    <m/>
  </r>
  <r>
    <d v="2020-05-01T00:00:00"/>
    <x v="4"/>
    <x v="0"/>
    <x v="4"/>
    <m/>
    <m/>
    <s v="Magasin FT"/>
    <s v="Echeance vidange"/>
    <s v="Vidange"/>
    <s v="Vidange réducteur"/>
    <d v="2020-05-01T00:00:00"/>
    <m/>
    <n v="45"/>
    <x v="5"/>
    <x v="1"/>
    <m/>
  </r>
  <r>
    <d v="2020-05-02T00:00:00"/>
    <x v="7"/>
    <x v="0"/>
    <x v="7"/>
    <m/>
    <m/>
    <s v="Zigzag"/>
    <s v="Surface Téton usée"/>
    <s v="Réparation"/>
    <s v="Chargement de surface et mise en marche"/>
    <d v="2020-05-02T00:00:00"/>
    <m/>
    <n v="1"/>
    <x v="5"/>
    <x v="1"/>
    <m/>
  </r>
  <r>
    <d v="2020-05-04T00:00:00"/>
    <x v="3"/>
    <x v="1"/>
    <x v="3"/>
    <m/>
    <m/>
    <s v="Retourneur"/>
    <s v="Rupture d'une courroie thermosoudable"/>
    <s v="Réparation"/>
    <s v="Jonction de la courroie thermosoudable du retourneur"/>
    <d v="2020-05-04T00:00:00"/>
    <m/>
    <n v="20"/>
    <x v="5"/>
    <x v="1"/>
    <m/>
  </r>
  <r>
    <d v="2020-05-04T00:00:00"/>
    <x v="4"/>
    <x v="0"/>
    <x v="4"/>
    <m/>
    <m/>
    <s v="Système d'avancement"/>
    <s v="Roulement endommagé"/>
    <s v="Réparation"/>
    <s v="Changement du roulement endommagé"/>
    <d v="2020-05-04T00:00:00"/>
    <m/>
    <n v="1"/>
    <x v="5"/>
    <x v="1"/>
    <m/>
  </r>
  <r>
    <d v="2020-05-04T00:00:00"/>
    <x v="22"/>
    <x v="0"/>
    <x v="22"/>
    <m/>
    <m/>
    <s v="Système d'ejection des FT"/>
    <s v="Bras du système cassé"/>
    <s v="Réparation"/>
    <s v="Soudage du bras et mise en marche"/>
    <d v="2020-05-04T00:00:00"/>
    <m/>
    <n v="1"/>
    <x v="5"/>
    <x v="1"/>
    <m/>
  </r>
  <r>
    <d v="2020-05-05T00:00:00"/>
    <x v="4"/>
    <x v="0"/>
    <x v="4"/>
    <m/>
    <m/>
    <s v="Devidoir"/>
    <s v="Raccord pneumatique endommagé"/>
    <s v="Réparation"/>
    <s v="Changement du raccord endommagé "/>
    <d v="2020-05-05T00:00:00"/>
    <m/>
    <n v="25"/>
    <x v="5"/>
    <x v="1"/>
    <m/>
  </r>
  <r>
    <d v="2020-05-05T00:00:00"/>
    <x v="7"/>
    <x v="0"/>
    <x v="7"/>
    <m/>
    <m/>
    <s v="Système d'avancement"/>
    <s v="Nb heure vidange atteint"/>
    <s v="Vidange"/>
    <s v="Vidange du réducteur du sytème d'avancement"/>
    <d v="2020-05-05T00:00:00"/>
    <m/>
    <n v="1"/>
    <x v="5"/>
    <x v="1"/>
    <m/>
  </r>
  <r>
    <d v="2020-05-05T00:00:00"/>
    <x v="2"/>
    <x v="1"/>
    <x v="2"/>
    <m/>
    <m/>
    <s v="Pilon"/>
    <s v="Fiche de detecteur endommagé"/>
    <s v="Réparation"/>
    <s v="Changement de la fiche endommagée"/>
    <d v="2020-05-05T00:00:00"/>
    <m/>
    <n v="20"/>
    <x v="5"/>
    <x v="1"/>
    <m/>
  </r>
  <r>
    <d v="2020-05-08T00:00:00"/>
    <x v="4"/>
    <x v="0"/>
    <x v="4"/>
    <m/>
    <m/>
    <s v="Bloc de soudure"/>
    <s v="Axe plongeur endommagé"/>
    <s v="Réparation"/>
    <s v="Changement d'un axe plongeur"/>
    <d v="2020-05-08T00:00:00"/>
    <m/>
    <n v="1"/>
    <x v="5"/>
    <x v="1"/>
    <m/>
  </r>
  <r>
    <d v="2020-05-09T00:00:00"/>
    <x v="4"/>
    <x v="0"/>
    <x v="4"/>
    <m/>
    <m/>
    <s v="Refroidisseur"/>
    <s v="Eau usée"/>
    <s v="Réparation"/>
    <s v="Vidange à l'eau distillé"/>
    <d v="2020-05-09T00:00:00"/>
    <m/>
    <n v="1"/>
    <x v="5"/>
    <x v="1"/>
    <m/>
  </r>
  <r>
    <d v="2020-05-09T00:00:00"/>
    <x v="13"/>
    <x v="0"/>
    <x v="13"/>
    <m/>
    <m/>
    <s v="Système de tirage"/>
    <s v="Travaux de réparation "/>
    <s v="Réparation"/>
    <s v="Début des travaux de réparation du système de tirage"/>
    <d v="2020-05-12T00:00:00"/>
    <m/>
    <s v="=SI(ESTVIDE([@[Date"/>
    <x v="5"/>
    <x v="1"/>
    <m/>
  </r>
  <r>
    <d v="2020-05-09T00:00:00"/>
    <x v="21"/>
    <x v="4"/>
    <x v="21"/>
    <m/>
    <m/>
    <s v="Tambour principale"/>
    <s v="Rupture du cable antigiratoire"/>
    <s v="Réparation"/>
    <s v="Changement du cable endommagé"/>
    <d v="2020-05-09T00:00:00"/>
    <m/>
    <n v="2"/>
    <x v="5"/>
    <x v="1"/>
    <m/>
  </r>
  <r>
    <d v="2020-05-10T00:00:00"/>
    <x v="17"/>
    <x v="0"/>
    <x v="17"/>
    <m/>
    <m/>
    <s v="Redresseur"/>
    <s v="Entretien général"/>
    <s v="Réparation"/>
    <s v="Début des travaux d'entretien"/>
    <d v="2020-06-09T00:00:00"/>
    <s v="Attente réception roulements commandés le 13/05/2020"/>
    <s v="=SI(ESTVIDE([@[Date"/>
    <x v="4"/>
    <x v="1"/>
    <m/>
  </r>
  <r>
    <d v="2020-05-12T00:00:00"/>
    <x v="0"/>
    <x v="0"/>
    <x v="0"/>
    <m/>
    <m/>
    <s v="Bloc de soudure"/>
    <s v="Panne de presse de soudage"/>
    <s v="Réparation"/>
    <s v="Lubrification et déblocage de l'axe vérin"/>
    <d v="2020-05-12T00:00:00"/>
    <m/>
    <n v="1"/>
    <x v="5"/>
    <x v="1"/>
    <m/>
  </r>
  <r>
    <d v="2020-05-16T00:00:00"/>
    <x v="14"/>
    <x v="4"/>
    <x v="14"/>
    <m/>
    <m/>
    <s v="Galet de déplacement "/>
    <s v="Galet et roulement de galet endommagé"/>
    <s v="Réparation"/>
    <s v="confection des galets suivant model"/>
    <d v="2020-06-04T00:00:00"/>
    <s v="En attente confection chez Tourneur"/>
    <s v="=SI(ESTVIDE([@[Date"/>
    <x v="4"/>
    <x v="1"/>
    <m/>
  </r>
  <r>
    <d v="2020-06-02T00:00:00"/>
    <x v="4"/>
    <x v="0"/>
    <x v="4"/>
    <m/>
    <m/>
    <s v="Refroidisseur"/>
    <s v="Entretien annuel"/>
    <s v="Réparation"/>
    <s v="Elimination d'une fuite d'huile, Réalimentation en gaz Réfrigérant, dépoussiérage "/>
    <d v="2020-06-03T00:00:00"/>
    <s v="Démontage du compresseur n°2 pour diagnostic"/>
    <s v="=SI(ESTVIDE([@[Date"/>
    <x v="4"/>
    <x v="1"/>
    <m/>
  </r>
  <r>
    <d v="2020-06-02T00:00:00"/>
    <x v="8"/>
    <x v="4"/>
    <x v="8"/>
    <m/>
    <m/>
    <s v="Commande"/>
    <s v="Bouton endommagé"/>
    <s v="Réparation"/>
    <s v="DA réalisée pour bouttons neufs -Traitement en cours"/>
    <d v="2020-06-02T00:00:00"/>
    <s v="DA réalisée pour bouttons neufs -Traitement en cours"/>
    <m/>
    <x v="4"/>
    <x v="1"/>
    <m/>
  </r>
  <r>
    <d v="2020-06-03T00:00:00"/>
    <x v="1"/>
    <x v="0"/>
    <x v="1"/>
    <m/>
    <m/>
    <s v="Cabestan"/>
    <s v="Surface usée"/>
    <s v="Réparation"/>
    <s v="Rechargement de la surface du cabestan par soudage"/>
    <d v="2021-09-28T00:00:00"/>
    <m/>
    <n v="5"/>
    <x v="7"/>
    <x v="2"/>
    <m/>
  </r>
  <r>
    <d v="2020-06-03T00:00:00"/>
    <x v="3"/>
    <x v="1"/>
    <x v="3"/>
    <m/>
    <m/>
    <s v="Cercleuse"/>
    <s v="Blocage du mécanisime de soudage"/>
    <s v="Réparation"/>
    <s v="Lubrification et déblocage du sytème"/>
    <d v="2021-09-28T00:00:00"/>
    <m/>
    <n v="1"/>
    <x v="7"/>
    <x v="2"/>
    <m/>
  </r>
  <r>
    <d v="2020-06-03T00:00:00"/>
    <x v="3"/>
    <x v="1"/>
    <x v="3"/>
    <m/>
    <m/>
    <s v="Moule"/>
    <s v="Cale du moule usée"/>
    <s v="Réparation"/>
    <s v="Changement des cales du moule"/>
    <d v="2021-10-13T00:00:00"/>
    <m/>
    <n v="1"/>
    <x v="9"/>
    <x v="2"/>
    <m/>
  </r>
  <r>
    <d v="2020-06-03T00:00:00"/>
    <x v="1"/>
    <x v="0"/>
    <x v="1"/>
    <m/>
    <m/>
    <s v="Pompe de graissage"/>
    <s v="Circuit d'air bouché"/>
    <s v="Réparation"/>
    <s v="Débouchage du circuit + lubrfication"/>
    <d v="2021-11-25T00:00:00"/>
    <m/>
    <n v="1"/>
    <x v="10"/>
    <x v="2"/>
    <m/>
  </r>
  <r>
    <d v="2020-06-04T00:00:00"/>
    <x v="2"/>
    <x v="1"/>
    <x v="2"/>
    <m/>
    <m/>
    <s v="Tiroir"/>
    <s v="Cadre glissant usé"/>
    <s v="Réparation"/>
    <s v="Changement du cadre et réglage de la grille"/>
    <d v="2021-12-04T00:00:00"/>
    <m/>
    <n v="1"/>
    <x v="11"/>
    <x v="2"/>
    <m/>
  </r>
  <r>
    <d v="2020-06-04T00:00:00"/>
    <x v="2"/>
    <x v="1"/>
    <x v="2"/>
    <m/>
    <m/>
    <s v="Enrouleur"/>
    <s v="Porte enrouleur béton usée"/>
    <s v="Réparation"/>
    <s v="dressage et rectification de la plaque"/>
    <d v="2022-04-09T00:00:00"/>
    <m/>
    <n v="1"/>
    <x v="3"/>
    <x v="3"/>
    <m/>
  </r>
  <r>
    <d v="2020-06-05T00:00:00"/>
    <x v="28"/>
    <x v="0"/>
    <x v="28"/>
    <m/>
    <m/>
    <s v="Système de tirage"/>
    <s v="Fuite d'huile au niveau du moteur hydraulique"/>
    <s v="Réparation"/>
    <s v="Changement d'arrêt d'huile endommagée"/>
    <d v="2020-06-07T00:00:00"/>
    <m/>
    <n v="2"/>
    <x v="4"/>
    <x v="1"/>
    <m/>
  </r>
  <r>
    <d v="2020-06-05T00:00:00"/>
    <x v="10"/>
    <x v="0"/>
    <x v="10"/>
    <m/>
    <m/>
    <s v="Guide fil"/>
    <s v="Guide file endommagé"/>
    <s v="Réparation"/>
    <s v="Chargement de surface et rectification"/>
    <d v="2020-06-05T00:00:00"/>
    <m/>
    <n v="1"/>
    <x v="4"/>
    <x v="1"/>
    <m/>
  </r>
  <r>
    <d v="2020-06-05T00:00:00"/>
    <x v="10"/>
    <x v="0"/>
    <x v="10"/>
    <m/>
    <m/>
    <s v="Savonniere"/>
    <s v="Tole inférieure usée"/>
    <s v="Réparation"/>
    <s v="Changement de la tole inférieur"/>
    <d v="2020-06-05T00:00:00"/>
    <m/>
    <n v="1"/>
    <x v="4"/>
    <x v="1"/>
    <m/>
  </r>
  <r>
    <d v="2020-06-06T00:00:00"/>
    <x v="2"/>
    <x v="1"/>
    <x v="2"/>
    <m/>
    <m/>
    <s v="Table vibrante"/>
    <s v="Lubrification"/>
    <s v="Contrôle"/>
    <s v="Lubrification de tous les graisseurs de la table"/>
    <d v="2020-06-06T00:00:00"/>
    <m/>
    <n v="1"/>
    <x v="4"/>
    <x v="1"/>
    <m/>
  </r>
  <r>
    <d v="2020-06-06T00:00:00"/>
    <x v="10"/>
    <x v="0"/>
    <x v="10"/>
    <m/>
    <m/>
    <s v="Bobinoir"/>
    <s v="Fuite d'huile"/>
    <s v="Réparation"/>
    <s v="Changement d'un roulement endommagé + arrêt d'huile"/>
    <d v="2020-06-09T00:00:00"/>
    <m/>
    <s v="=SI(ESTVIDE([@[Date"/>
    <x v="4"/>
    <x v="1"/>
    <m/>
  </r>
  <r>
    <d v="2020-06-06T00:00:00"/>
    <x v="1"/>
    <x v="0"/>
    <x v="1"/>
    <m/>
    <m/>
    <s v="Danseur"/>
    <s v="Galet endommagé"/>
    <s v="Réparation"/>
    <s v="Rectification de surface"/>
    <d v="2020-06-06T00:00:00"/>
    <m/>
    <n v="1"/>
    <x v="4"/>
    <x v="1"/>
    <m/>
  </r>
  <r>
    <d v="2020-06-06T00:00:00"/>
    <x v="20"/>
    <x v="0"/>
    <x v="20"/>
    <m/>
    <m/>
    <s v="Circuit de refroidissement"/>
    <s v="Fuite d'eau "/>
    <s v="Réparation"/>
    <s v="Changement d'un flexible endommagé"/>
    <d v="2020-06-06T00:00:00"/>
    <m/>
    <n v="20"/>
    <x v="4"/>
    <x v="1"/>
    <m/>
  </r>
  <r>
    <d v="2020-06-06T00:00:00"/>
    <x v="1"/>
    <x v="0"/>
    <x v="1"/>
    <m/>
    <m/>
    <s v="Cassette 3,5"/>
    <s v="Fuite d'eau "/>
    <s v="Réparation"/>
    <s v="Changement d'un flexible endommagé"/>
    <d v="2020-06-06T00:00:00"/>
    <m/>
    <n v="20"/>
    <x v="4"/>
    <x v="1"/>
    <m/>
  </r>
  <r>
    <d v="2020-06-08T00:00:00"/>
    <x v="4"/>
    <x v="0"/>
    <x v="4"/>
    <m/>
    <m/>
    <s v="Bloc de soudure"/>
    <s v="Echauffement du système"/>
    <s v="Réparation"/>
    <s v="Changement d'une plaque isolante en bakélite+ changement des filets rapportés endommagés + rectification de surface"/>
    <d v="2020-06-08T00:00:00"/>
    <m/>
    <n v="1"/>
    <x v="4"/>
    <x v="1"/>
    <m/>
  </r>
  <r>
    <d v="2020-06-09T00:00:00"/>
    <x v="1"/>
    <x v="0"/>
    <x v="1"/>
    <m/>
    <m/>
    <s v="Cabestan n1"/>
    <s v="Surface usée"/>
    <s v="Réparation"/>
    <s v="Démontage pour soudage"/>
    <d v="2020-06-09T00:00:00"/>
    <m/>
    <n v="3"/>
    <x v="4"/>
    <x v="1"/>
    <m/>
  </r>
  <r>
    <d v="2020-06-09T00:00:00"/>
    <x v="1"/>
    <x v="0"/>
    <x v="1"/>
    <m/>
    <m/>
    <s v="Cassette 3,8"/>
    <s v="Roulement usés"/>
    <s v="Réparation"/>
    <s v="Changement de roulement + Zoomage"/>
    <d v="2020-06-10T00:00:00"/>
    <m/>
    <s v="=SI(ESTVIDE([@[Date"/>
    <x v="4"/>
    <x v="1"/>
    <m/>
  </r>
  <r>
    <d v="2020-06-16T00:00:00"/>
    <x v="20"/>
    <x v="0"/>
    <x v="20"/>
    <m/>
    <m/>
    <s v="Circuit air comprimé"/>
    <s v="Fuite d'air au niveau de la conduite d'alimentation en air comprimé"/>
    <s v="Réparation"/>
    <s v="Elimination de la fuite "/>
    <d v="2020-06-16T00:00:00"/>
    <m/>
    <n v="1"/>
    <x v="4"/>
    <x v="1"/>
    <m/>
  </r>
  <r>
    <d v="2020-06-16T00:00:00"/>
    <x v="4"/>
    <x v="0"/>
    <x v="4"/>
    <m/>
    <m/>
    <s v="Bloc de soudure"/>
    <s v="Filetage du porte électrode foiré"/>
    <s v="Réparation"/>
    <s v="Extraction et insertion d'un filet rapporté"/>
    <d v="2020-06-16T00:00:00"/>
    <m/>
    <n v="1"/>
    <x v="4"/>
    <x v="1"/>
    <m/>
  </r>
  <r>
    <d v="2020-06-16T00:00:00"/>
    <x v="7"/>
    <x v="0"/>
    <x v="7"/>
    <m/>
    <m/>
    <s v="Transporteur de poutrelle"/>
    <s v="Filtage de tige de fixation endommagé"/>
    <s v="Réparation"/>
    <s v="Changement de la tige filetée"/>
    <d v="2020-06-16T00:00:00"/>
    <m/>
    <n v="1"/>
    <x v="4"/>
    <x v="1"/>
    <m/>
  </r>
  <r>
    <d v="2020-06-16T00:00:00"/>
    <x v="10"/>
    <x v="0"/>
    <x v="10"/>
    <m/>
    <m/>
    <s v="Cassette PR7"/>
    <s v="Roulement endommagé"/>
    <s v="Réparation"/>
    <s v="Changement des roulement endommagé + zoomage"/>
    <d v="2020-06-17T00:00:00"/>
    <m/>
    <s v="=SI(ESTVIDE([@[Date"/>
    <x v="4"/>
    <x v="1"/>
    <m/>
  </r>
  <r>
    <d v="2020-06-16T00:00:00"/>
    <x v="3"/>
    <x v="1"/>
    <x v="3"/>
    <m/>
    <m/>
    <s v="Groupe hydraulique"/>
    <s v="Fuite d'huile"/>
    <s v="Réparation"/>
    <s v="Changement du flexible de refoulement de la pompe hydraulique"/>
    <d v="2020-06-16T00:00:00"/>
    <m/>
    <n v="1"/>
    <x v="4"/>
    <x v="1"/>
    <m/>
  </r>
  <r>
    <d v="2020-06-17T00:00:00"/>
    <x v="20"/>
    <x v="0"/>
    <x v="20"/>
    <m/>
    <m/>
    <s v="Danseur"/>
    <s v="défaut mécanisme"/>
    <s v="Réparation"/>
    <s v="Entretien du mécanisme de synchronisation"/>
    <d v="2020-06-17T00:00:00"/>
    <m/>
    <n v="1"/>
    <x v="4"/>
    <x v="1"/>
    <m/>
  </r>
  <r>
    <d v="2020-06-17T00:00:00"/>
    <x v="2"/>
    <x v="1"/>
    <x v="2"/>
    <m/>
    <m/>
    <s v="Tiroir d'agitation"/>
    <s v="Jeu au niveau du cadre glissant"/>
    <s v="Réparation"/>
    <s v="Changement de deux vis M16x50 endomagée"/>
    <d v="2020-06-17T00:00:00"/>
    <m/>
    <n v="1"/>
    <x v="4"/>
    <x v="1"/>
    <m/>
  </r>
  <r>
    <d v="2020-06-17T00:00:00"/>
    <x v="8"/>
    <x v="4"/>
    <x v="8"/>
    <m/>
    <m/>
    <s v="Chariot principal"/>
    <s v="absence de commande"/>
    <s v="Réparation"/>
    <s v="Libération du disjoncteur coincé"/>
    <d v="2020-06-17T00:00:00"/>
    <m/>
    <n v="15"/>
    <x v="4"/>
    <x v="1"/>
    <m/>
  </r>
  <r>
    <d v="2020-06-18T00:00:00"/>
    <x v="2"/>
    <x v="1"/>
    <x v="2"/>
    <m/>
    <m/>
    <s v="Silos"/>
    <s v="Cartouches colmatées"/>
    <s v="Réparation"/>
    <s v="Entretien général des silos de ciment"/>
    <d v="2020-06-20T00:00:00"/>
    <m/>
    <s v="=SI(ESTVIDE([@[Date"/>
    <x v="4"/>
    <x v="1"/>
    <m/>
  </r>
  <r>
    <d v="2020-06-18T00:00:00"/>
    <x v="7"/>
    <x v="0"/>
    <x v="7"/>
    <m/>
    <m/>
    <s v="Devidoir"/>
    <s v="Freinage du devidoir insuffisant"/>
    <s v="Réparation"/>
    <s v="Changement du vérin pneumatique et mise en marche"/>
    <d v="2020-06-18T00:00:00"/>
    <m/>
    <n v="1"/>
    <x v="4"/>
    <x v="1"/>
    <m/>
  </r>
  <r>
    <d v="2020-06-19T00:00:00"/>
    <x v="8"/>
    <x v="4"/>
    <x v="8"/>
    <m/>
    <m/>
    <s v="Système de translation"/>
    <s v="Moteur latéral endommagé"/>
    <s v="Réparation"/>
    <s v="Rebobinage chez CEDP"/>
    <d v="2020-06-21T00:00:00"/>
    <m/>
    <s v="=SI(ESTVIDE([@[Date"/>
    <x v="4"/>
    <x v="1"/>
    <m/>
  </r>
  <r>
    <d v="2020-06-19T00:00:00"/>
    <x v="10"/>
    <x v="0"/>
    <x v="10"/>
    <m/>
    <m/>
    <s v="Guide fil"/>
    <s v="Moyeu usé"/>
    <s v="Réparation"/>
    <s v="Réparation de la vis sans fin chez tourneur"/>
    <d v="2020-06-21T00:00:00"/>
    <m/>
    <s v="=SI(ESTVIDE([@[Date"/>
    <x v="4"/>
    <x v="1"/>
    <m/>
  </r>
  <r>
    <d v="2020-06-19T00:00:00"/>
    <x v="3"/>
    <x v="1"/>
    <x v="3"/>
    <m/>
    <m/>
    <s v="Tiroir d'agitation"/>
    <s v="Capteur de proximité endommagé"/>
    <s v="Réparation"/>
    <s v="Changement du capteur de proximité"/>
    <d v="2020-06-19T00:00:00"/>
    <m/>
    <n v="30"/>
    <x v="4"/>
    <x v="1"/>
    <m/>
  </r>
  <r>
    <d v="2020-06-19T00:00:00"/>
    <x v="0"/>
    <x v="0"/>
    <x v="0"/>
    <m/>
    <m/>
    <s v="Lance trame"/>
    <s v="Clavetage du vérin endommagé"/>
    <s v="Réparation"/>
    <s v="Changement de la calette endommagée"/>
    <d v="2020-06-19T00:00:00"/>
    <m/>
    <n v="1"/>
    <x v="4"/>
    <x v="1"/>
    <m/>
  </r>
  <r>
    <d v="2020-06-20T00:00:00"/>
    <x v="3"/>
    <x v="1"/>
    <x v="3"/>
    <m/>
    <m/>
    <s v="Cercleuse 08"/>
    <s v="Desserage du support porte détecteurs"/>
    <s v="Réparation"/>
    <s v="Resserage du support et nettoyage de la tête de cerclage"/>
    <d v="2020-06-20T00:00:00"/>
    <m/>
    <s v="1H"/>
    <x v="4"/>
    <x v="1"/>
    <m/>
  </r>
  <r>
    <d v="2020-06-20T00:00:00"/>
    <x v="1"/>
    <x v="0"/>
    <x v="1"/>
    <m/>
    <m/>
    <s v="Cassette 3,8"/>
    <s v="Fuite d'eau "/>
    <s v="Réparation"/>
    <s v="Changement d'un flexible endommagé"/>
    <d v="2020-06-20T00:00:00"/>
    <m/>
    <n v="30"/>
    <x v="4"/>
    <x v="1"/>
    <m/>
  </r>
  <r>
    <d v="2020-06-22T00:00:00"/>
    <x v="3"/>
    <x v="1"/>
    <x v="3"/>
    <m/>
    <m/>
    <s v="Silos"/>
    <s v="Cartouches colmatées"/>
    <s v="Réparation"/>
    <s v="Entretien général des silos de ciment"/>
    <d v="2020-06-27T00:00:00"/>
    <m/>
    <s v="=SI(ESTVIDE([@[Date"/>
    <x v="4"/>
    <x v="1"/>
    <m/>
  </r>
  <r>
    <d v="2020-06-22T00:00:00"/>
    <x v="3"/>
    <x v="1"/>
    <x v="3"/>
    <m/>
    <m/>
    <s v="Groupe hydraulique"/>
    <s v="Chute de pression et bruit anormal au niveau de la pompe"/>
    <s v="Réparation"/>
    <s v="Démontage et entretien général de la pompe"/>
    <d v="2020-06-23T00:00:00"/>
    <m/>
    <s v="=SI(ESTVIDE([@[Date"/>
    <x v="4"/>
    <x v="1"/>
    <m/>
  </r>
  <r>
    <d v="2020-06-23T00:00:00"/>
    <x v="2"/>
    <x v="1"/>
    <x v="2"/>
    <m/>
    <m/>
    <s v="Cercleuse 08"/>
    <s v="Blocage feuillard"/>
    <s v="Réparation"/>
    <s v="Nettoyage du circuit de passage du feuillard"/>
    <d v="2020-06-23T00:00:00"/>
    <m/>
    <n v="20"/>
    <x v="4"/>
    <x v="1"/>
    <m/>
  </r>
  <r>
    <d v="2020-06-24T00:00:00"/>
    <x v="3"/>
    <x v="1"/>
    <x v="3"/>
    <m/>
    <m/>
    <s v="Pince"/>
    <s v="Axe principal endommagé"/>
    <s v="Réparation"/>
    <s v="Réparation du réducteur chez tourneur"/>
    <d v="2020-06-24T00:00:00"/>
    <m/>
    <n v="1"/>
    <x v="4"/>
    <x v="1"/>
    <m/>
  </r>
  <r>
    <d v="2020-06-25T00:00:00"/>
    <x v="3"/>
    <x v="1"/>
    <x v="3"/>
    <m/>
    <m/>
    <s v="Transbordeur"/>
    <s v="Défaut en mode automatique"/>
    <s v="Réparation"/>
    <s v="Changement de la partie endommagée du cable"/>
    <d v="2020-06-25T00:00:00"/>
    <m/>
    <n v="1"/>
    <x v="4"/>
    <x v="1"/>
    <m/>
  </r>
  <r>
    <d v="2020-06-26T00:00:00"/>
    <x v="3"/>
    <x v="1"/>
    <x v="3"/>
    <m/>
    <m/>
    <s v="Table vibrante"/>
    <s v="Jeu au niveau des masselottes"/>
    <s v="Réparation"/>
    <s v="Changement des roulement et arrêt d'huiles  de la table"/>
    <d v="2020-06-27T00:00:00"/>
    <m/>
    <s v="=SI(ESTVIDE([@[Date"/>
    <x v="4"/>
    <x v="1"/>
    <m/>
  </r>
  <r>
    <d v="2020-07-01T00:00:00"/>
    <x v="4"/>
    <x v="0"/>
    <x v="4"/>
    <m/>
    <m/>
    <s v="Système d'avancement"/>
    <s v="Rouleaux usé"/>
    <s v="Réparation"/>
    <s v="Changement de deux galets de tirage"/>
    <d v="2020-07-01T00:00:00"/>
    <m/>
    <n v="2"/>
    <x v="6"/>
    <x v="1"/>
    <m/>
  </r>
  <r>
    <d v="2020-07-01T00:00:00"/>
    <x v="10"/>
    <x v="0"/>
    <x v="10"/>
    <m/>
    <m/>
    <s v="Cassette PR9"/>
    <s v="Usure des roulements"/>
    <s v="Réparation"/>
    <s v="Changements des roulements endommagés"/>
    <d v="2020-07-01T00:00:00"/>
    <m/>
    <n v="2"/>
    <x v="6"/>
    <x v="1"/>
    <m/>
  </r>
  <r>
    <d v="2020-07-02T00:00:00"/>
    <x v="17"/>
    <x v="0"/>
    <x v="17"/>
    <m/>
    <m/>
    <s v="Cisaille"/>
    <s v="Contacteur coincé"/>
    <s v="Réparation"/>
    <s v="Décoincement du contacteur"/>
    <d v="2020-07-02T00:00:00"/>
    <m/>
    <n v="1"/>
    <x v="6"/>
    <x v="1"/>
    <m/>
  </r>
  <r>
    <d v="2020-07-03T00:00:00"/>
    <x v="1"/>
    <x v="0"/>
    <x v="1"/>
    <m/>
    <m/>
    <s v="Poste de soudage"/>
    <s v="Disjoncteur HS"/>
    <s v="Réparation"/>
    <s v="Changement du disjoncteur endommagé"/>
    <d v="2020-07-03T00:00:00"/>
    <m/>
    <n v="1"/>
    <x v="6"/>
    <x v="1"/>
    <m/>
  </r>
  <r>
    <d v="2020-07-04T00:00:00"/>
    <x v="1"/>
    <x v="0"/>
    <x v="1"/>
    <m/>
    <m/>
    <s v="Guide fil"/>
    <s v="Usure des roulements"/>
    <s v="Réparation"/>
    <s v="Changement de deux roulements sur galets guide fil"/>
    <d v="2020-07-04T00:00:00"/>
    <m/>
    <n v="2"/>
    <x v="6"/>
    <x v="1"/>
    <m/>
  </r>
  <r>
    <d v="2020-07-04T00:00:00"/>
    <x v="2"/>
    <x v="1"/>
    <x v="2"/>
    <m/>
    <m/>
    <s v="Système de coloration"/>
    <s v="Blocage de la vis du système de coloration"/>
    <s v="Réparation"/>
    <s v="Réparation chez tourneur"/>
    <d v="2020-07-08T00:00:00"/>
    <m/>
    <s v="=SI(ESTVIDE([@[Date"/>
    <x v="6"/>
    <x v="1"/>
    <m/>
  </r>
  <r>
    <d v="2020-07-05T00:00:00"/>
    <x v="1"/>
    <x v="0"/>
    <x v="1"/>
    <m/>
    <m/>
    <s v="Danseur n3"/>
    <s v="Roulements usés"/>
    <s v="Réparation"/>
    <s v="Changement des roulements usés"/>
    <d v="2020-07-05T00:00:00"/>
    <m/>
    <n v="1"/>
    <x v="6"/>
    <x v="1"/>
    <m/>
  </r>
  <r>
    <d v="2020-07-06T00:00:00"/>
    <x v="20"/>
    <x v="0"/>
    <x v="20"/>
    <m/>
    <m/>
    <s v="Circuit de refroidissement"/>
    <s v="Circuit bouché"/>
    <s v="Réparation"/>
    <s v="Débouchage du circuit et purge de la pompe"/>
    <d v="2020-07-06T00:00:00"/>
    <m/>
    <n v="1"/>
    <x v="6"/>
    <x v="1"/>
    <m/>
  </r>
  <r>
    <d v="2020-07-06T00:00:00"/>
    <x v="10"/>
    <x v="0"/>
    <x v="10"/>
    <m/>
    <m/>
    <s v="Cercleuse "/>
    <s v="Goupille endommagée"/>
    <s v="Réparation"/>
    <s v="Changement de la goupille endommagée"/>
    <d v="2020-07-06T00:00:00"/>
    <m/>
    <n v="1"/>
    <x v="6"/>
    <x v="1"/>
    <m/>
  </r>
  <r>
    <d v="2020-07-06T00:00:00"/>
    <x v="13"/>
    <x v="0"/>
    <x v="13"/>
    <m/>
    <m/>
    <s v="Guide fil"/>
    <s v="Guide fil endommagé"/>
    <s v="Réparation"/>
    <s v="Dressage et soudage "/>
    <d v="2020-07-06T00:00:00"/>
    <m/>
    <n v="1"/>
    <x v="6"/>
    <x v="1"/>
    <m/>
  </r>
  <r>
    <d v="2020-07-07T00:00:00"/>
    <x v="4"/>
    <x v="0"/>
    <x v="4"/>
    <m/>
    <m/>
    <s v="Circuit de refroidissement"/>
    <s v="motocompresseur endommagé"/>
    <s v="Réparation"/>
    <s v="Rebobinage chez CEDP"/>
    <d v="2020-07-17T00:00:00"/>
    <m/>
    <s v="=SI(ESTVIDE([@[Date"/>
    <x v="6"/>
    <x v="1"/>
    <m/>
  </r>
  <r>
    <d v="2020-07-07T00:00:00"/>
    <x v="3"/>
    <x v="1"/>
    <x v="3"/>
    <m/>
    <m/>
    <s v="Convoyeur béton"/>
    <s v="le convoyeur patine"/>
    <s v="Réparation"/>
    <s v="En cours de décision pour Intervention Afric Roulement "/>
    <d v="2021-01-26T00:00:00"/>
    <s v="En cours de décision pour Intervention Afric Roulement "/>
    <s v="=SI(ESTVIDE([@[Date"/>
    <x v="0"/>
    <x v="2"/>
    <m/>
  </r>
  <r>
    <d v="2020-07-07T00:00:00"/>
    <x v="2"/>
    <x v="1"/>
    <x v="2"/>
    <m/>
    <m/>
    <s v="Transbordeur"/>
    <s v="Moteur lateral HS"/>
    <s v="Réparation"/>
    <s v="Rebobinage chez CEDP"/>
    <d v="2020-07-09T00:00:00"/>
    <m/>
    <s v="=SI(ESTVIDE([@[Date"/>
    <x v="6"/>
    <x v="1"/>
    <m/>
  </r>
  <r>
    <d v="2020-07-07T00:00:00"/>
    <x v="2"/>
    <x v="1"/>
    <x v="2"/>
    <m/>
    <m/>
    <s v="Table vibrante "/>
    <s v="Décalage de la table vibrante "/>
    <s v="Réparation"/>
    <s v="Calage de la table vibrante"/>
    <d v="2020-07-07T00:00:00"/>
    <m/>
    <n v="1"/>
    <x v="6"/>
    <x v="1"/>
    <m/>
  </r>
  <r>
    <d v="2020-07-08T00:00:00"/>
    <x v="20"/>
    <x v="0"/>
    <x v="20"/>
    <m/>
    <m/>
    <s v="Cabestan"/>
    <s v="usure de surface "/>
    <s v="Réparation"/>
    <s v="Chargement de surface à la soudure"/>
    <d v="2020-07-08T00:00:00"/>
    <m/>
    <n v="5"/>
    <x v="6"/>
    <x v="1"/>
    <m/>
  </r>
  <r>
    <d v="2020-07-08T00:00:00"/>
    <x v="3"/>
    <x v="1"/>
    <x v="3"/>
    <m/>
    <m/>
    <s v="Tremie n2"/>
    <s v="Moteur HS"/>
    <s v="Réparation"/>
    <s v="Rebobinage chez CEDP"/>
    <d v="2020-07-15T00:00:00"/>
    <m/>
    <s v="=SI(ESTVIDE([@[Date"/>
    <x v="6"/>
    <x v="1"/>
    <m/>
  </r>
  <r>
    <d v="2020-07-09T00:00:00"/>
    <x v="2"/>
    <x v="1"/>
    <x v="2"/>
    <m/>
    <m/>
    <s v="PInce"/>
    <s v="Cable electrique endommagé"/>
    <s v="Réparation"/>
    <s v="Changement des parties de cable endommagé"/>
    <d v="2020-07-09T00:00:00"/>
    <m/>
    <n v="4"/>
    <x v="6"/>
    <x v="1"/>
    <m/>
  </r>
  <r>
    <d v="2020-07-10T00:00:00"/>
    <x v="2"/>
    <x v="1"/>
    <x v="2"/>
    <m/>
    <m/>
    <s v="Tiroir d'agitation"/>
    <s v="Pignon endommagée"/>
    <s v="Réparation"/>
    <s v="Changement de pignon et de la clavette du reducteur "/>
    <d v="2020-07-10T00:00:00"/>
    <m/>
    <n v="1"/>
    <x v="6"/>
    <x v="1"/>
    <m/>
  </r>
  <r>
    <d v="2020-07-10T00:00:00"/>
    <x v="2"/>
    <x v="1"/>
    <x v="2"/>
    <m/>
    <m/>
    <s v="Transbordeur"/>
    <s v="rupture des boulons "/>
    <s v="Réparation"/>
    <s v="Renforcement par soudage de la partie endommagée"/>
    <d v="2020-07-10T00:00:00"/>
    <m/>
    <n v="1"/>
    <x v="6"/>
    <x v="1"/>
    <m/>
  </r>
  <r>
    <d v="2020-07-10T00:00:00"/>
    <x v="20"/>
    <x v="0"/>
    <x v="20"/>
    <m/>
    <m/>
    <s v="Cassette PR7"/>
    <s v="Roulements usés"/>
    <s v="Réparation"/>
    <s v="Changements des roulements et zoomage des galets"/>
    <d v="2020-07-10T00:00:00"/>
    <m/>
    <n v="4"/>
    <x v="6"/>
    <x v="1"/>
    <m/>
  </r>
  <r>
    <d v="2020-07-11T00:00:00"/>
    <x v="3"/>
    <x v="1"/>
    <x v="3"/>
    <m/>
    <m/>
    <s v="Transbordeur"/>
    <s v="Cables d'alimentation usés"/>
    <s v="Dépannage"/>
    <s v="Dépannage en attendant reception des chariots porte cable "/>
    <d v="2020-07-11T00:00:00"/>
    <m/>
    <n v="1"/>
    <x v="6"/>
    <x v="1"/>
    <m/>
  </r>
  <r>
    <d v="2020-07-11T00:00:00"/>
    <x v="10"/>
    <x v="0"/>
    <x v="10"/>
    <m/>
    <m/>
    <s v="Guide fil"/>
    <s v="poulie bloquée"/>
    <s v="Réparation"/>
    <s v="Changement des roulements enommagés"/>
    <d v="2020-07-11T00:00:00"/>
    <m/>
    <n v="1"/>
    <x v="6"/>
    <x v="1"/>
    <m/>
  </r>
  <r>
    <d v="2020-07-13T00:00:00"/>
    <x v="1"/>
    <x v="0"/>
    <x v="1"/>
    <m/>
    <m/>
    <s v="Cassette d3,8"/>
    <s v="Fuite d'eau "/>
    <s v="Réparation"/>
    <s v="Chnagement d'un flexible endommagé"/>
    <d v="2020-07-13T00:00:00"/>
    <m/>
    <n v="15"/>
    <x v="6"/>
    <x v="1"/>
    <m/>
  </r>
  <r>
    <d v="2020-07-14T00:00:00"/>
    <x v="2"/>
    <x v="1"/>
    <x v="2"/>
    <m/>
    <m/>
    <s v="Compresseur GA37"/>
    <s v="Fuite d'huile au niveau du compresseur"/>
    <s v="Réparation"/>
    <s v="Arrêt à prévoir pour confection  flexible"/>
    <d v="2020-07-14T00:00:00"/>
    <m/>
    <n v="1"/>
    <x v="6"/>
    <x v="1"/>
    <m/>
  </r>
  <r>
    <d v="2020-07-15T00:00:00"/>
    <x v="2"/>
    <x v="1"/>
    <x v="2"/>
    <m/>
    <m/>
    <s v="Table vibrante"/>
    <s v="Rupture de la courroie 2800"/>
    <s v="Réparation"/>
    <s v="Changement de la courroie "/>
    <d v="2020-07-15T00:00:00"/>
    <s v="Rapport d'incident envoyé a poyatos (en attente de réponse)"/>
    <n v="2"/>
    <x v="6"/>
    <x v="1"/>
    <m/>
  </r>
  <r>
    <d v="2020-07-16T00:00:00"/>
    <x v="4"/>
    <x v="0"/>
    <x v="4"/>
    <m/>
    <m/>
    <s v="Rouleau d'avancement"/>
    <s v="Rouleau bloqué"/>
    <s v="Réparation"/>
    <s v="Changement des roulements endommagés"/>
    <d v="2020-07-16T00:00:00"/>
    <m/>
    <n v="1"/>
    <x v="6"/>
    <x v="1"/>
    <m/>
  </r>
  <r>
    <d v="2020-07-16T00:00:00"/>
    <x v="4"/>
    <x v="0"/>
    <x v="4"/>
    <m/>
    <m/>
    <s v="Ridelles"/>
    <s v="Panne de ridelle d'empileur"/>
    <s v="Réparation"/>
    <s v="Soudage de la partie endommagée"/>
    <d v="2020-07-16T00:00:00"/>
    <m/>
    <n v="1"/>
    <x v="6"/>
    <x v="1"/>
    <m/>
  </r>
  <r>
    <d v="2020-07-17T00:00:00"/>
    <x v="2"/>
    <x v="1"/>
    <x v="2"/>
    <m/>
    <m/>
    <s v="Table vibrante"/>
    <s v="Rupture de la courroie 2800"/>
    <s v="Réparation"/>
    <s v="Changement de la courroie et revision des poulies"/>
    <d v="2020-07-18T00:00:00"/>
    <m/>
    <s v="=SI(ESTVIDE([@[Date"/>
    <x v="6"/>
    <x v="1"/>
    <m/>
  </r>
  <r>
    <d v="2020-07-20T00:00:00"/>
    <x v="3"/>
    <x v="1"/>
    <x v="3"/>
    <m/>
    <m/>
    <s v="Cercleuse 08"/>
    <s v="Lame de soudure usée"/>
    <s v="Réparation"/>
    <s v="Changement de la lame de soudure"/>
    <d v="2020-07-20T00:00:00"/>
    <m/>
    <n v="1"/>
    <x v="6"/>
    <x v="1"/>
    <m/>
  </r>
  <r>
    <d v="2020-07-20T00:00:00"/>
    <x v="4"/>
    <x v="0"/>
    <x v="4"/>
    <m/>
    <m/>
    <s v="Devidoir"/>
    <s v="Distributeur colmaté"/>
    <s v="Réparation"/>
    <s v="Démontage  nettoyage et elimination des morceaux de calcairea"/>
    <d v="2020-07-20T00:00:00"/>
    <m/>
    <n v="2"/>
    <x v="6"/>
    <x v="1"/>
    <m/>
  </r>
  <r>
    <d v="2020-07-21T00:00:00"/>
    <x v="28"/>
    <x v="0"/>
    <x v="28"/>
    <m/>
    <m/>
    <s v="Moteur principal"/>
    <s v="Fuite d'huile"/>
    <s v="Réparation"/>
    <s v="Changement de l'arret d'huile endommagée"/>
    <d v="2020-07-21T00:00:00"/>
    <m/>
    <n v="2"/>
    <x v="6"/>
    <x v="1"/>
    <m/>
  </r>
  <r>
    <d v="2020-07-21T00:00:00"/>
    <x v="11"/>
    <x v="0"/>
    <x v="11"/>
    <m/>
    <m/>
    <s v="Alimentation générale"/>
    <s v="Pb de démarrage de la machine"/>
    <s v="Réparation"/>
    <s v="Changement d'un disjoncteur endommagé"/>
    <d v="2020-07-21T00:00:00"/>
    <m/>
    <n v="1"/>
    <x v="6"/>
    <x v="1"/>
    <m/>
  </r>
  <r>
    <d v="2020-07-22T00:00:00"/>
    <x v="10"/>
    <x v="0"/>
    <x v="10"/>
    <m/>
    <m/>
    <s v="Cassette PR8"/>
    <s v="Entretien"/>
    <s v="Réparation"/>
    <s v="Verification des roulement et zoomage des galets"/>
    <d v="2020-07-22T00:00:00"/>
    <m/>
    <n v="3"/>
    <x v="6"/>
    <x v="1"/>
    <m/>
  </r>
  <r>
    <d v="2020-07-22T00:00:00"/>
    <x v="10"/>
    <x v="0"/>
    <x v="10"/>
    <m/>
    <m/>
    <s v="Poste de soudage"/>
    <s v="Pierre meuleuse usée"/>
    <s v="Réparation"/>
    <s v="Changement de la pierre meuleuse"/>
    <d v="2020-07-22T00:00:00"/>
    <m/>
    <n v="15"/>
    <x v="6"/>
    <x v="1"/>
    <m/>
  </r>
  <r>
    <d v="2020-07-22T00:00:00"/>
    <x v="1"/>
    <x v="0"/>
    <x v="1"/>
    <m/>
    <m/>
    <s v="Cassette d4,6"/>
    <s v="Fuite d'eau "/>
    <s v="Réparation"/>
    <s v="Changement d'un flexible d'eau"/>
    <d v="2020-07-22T00:00:00"/>
    <m/>
    <n v="30"/>
    <x v="6"/>
    <x v="1"/>
    <m/>
  </r>
  <r>
    <d v="2020-07-22T00:00:00"/>
    <x v="11"/>
    <x v="0"/>
    <x v="11"/>
    <m/>
    <m/>
    <s v="Cercleuse"/>
    <s v="Circuit d'air bouché"/>
    <s v="Réparation"/>
    <s v="Débouchage du circuit d'air comprimé"/>
    <d v="2020-07-22T00:00:00"/>
    <m/>
    <n v="30"/>
    <x v="6"/>
    <x v="1"/>
    <m/>
  </r>
  <r>
    <d v="2020-07-22T00:00:00"/>
    <x v="4"/>
    <x v="0"/>
    <x v="4"/>
    <m/>
    <m/>
    <s v="Bloc de soudure"/>
    <s v="Transformateurs endommagés T3"/>
    <s v="Réparation"/>
    <s v="Changement du transformateur T3"/>
    <d v="2020-07-22T00:00:00"/>
    <m/>
    <n v="480"/>
    <x v="6"/>
    <x v="1"/>
    <m/>
  </r>
  <r>
    <d v="2020-07-27T00:00:00"/>
    <x v="1"/>
    <x v="0"/>
    <x v="1"/>
    <m/>
    <m/>
    <s v="Danseur"/>
    <s v="Jeu au niveau du bras de danseur"/>
    <s v="Réparation"/>
    <s v="Soudage du support et changement des roulements"/>
    <d v="2020-07-27T00:00:00"/>
    <m/>
    <n v="1"/>
    <x v="6"/>
    <x v="1"/>
    <m/>
  </r>
  <r>
    <d v="2020-07-27T00:00:00"/>
    <x v="13"/>
    <x v="0"/>
    <x v="13"/>
    <m/>
    <m/>
    <s v="Guide fil"/>
    <s v="Entretiten bloc cisaille"/>
    <s v="Réparation"/>
    <s v="Changement des supports du guide + paliers + vérins + tube guide fil  "/>
    <d v="2020-08-10T00:00:00"/>
    <m/>
    <s v="=SI(ESTVIDE([@[Date"/>
    <x v="8"/>
    <x v="1"/>
    <m/>
  </r>
  <r>
    <d v="2020-07-28T00:00:00"/>
    <x v="1"/>
    <x v="0"/>
    <x v="1"/>
    <m/>
    <m/>
    <s v="Cassette 3,8"/>
    <s v="Roulement endommagé"/>
    <s v="Réparation"/>
    <s v="Changements des roulements + zommage"/>
    <d v="2020-07-28T00:00:00"/>
    <m/>
    <n v="3"/>
    <x v="6"/>
    <x v="1"/>
    <m/>
  </r>
  <r>
    <d v="2020-07-29T00:00:00"/>
    <x v="2"/>
    <x v="1"/>
    <x v="2"/>
    <m/>
    <m/>
    <s v="Table vibrante"/>
    <s v="Entretien général"/>
    <s v="Réparation"/>
    <s v="Changement des roulements axes et poulies usés + Courroies_x000a_Réparation de la grille d'agitation_x000a_Changement des roulements de la pince_x000a_Réparation du mécanisme du magasin de palette"/>
    <d v="2020-08-10T00:00:00"/>
    <m/>
    <s v="=SI(ESTVIDE([@[Date"/>
    <x v="8"/>
    <x v="1"/>
    <m/>
  </r>
  <r>
    <d v="2020-08-05T00:00:00"/>
    <x v="3"/>
    <x v="1"/>
    <x v="3"/>
    <m/>
    <m/>
    <s v="Malaxeur"/>
    <s v="Echeance vidange"/>
    <s v="Vidange"/>
    <s v="Vidange du groupe hydraulique"/>
    <d v="2020-08-05T00:00:00"/>
    <m/>
    <n v="60"/>
    <x v="8"/>
    <x v="1"/>
    <m/>
  </r>
  <r>
    <d v="2020-08-05T00:00:00"/>
    <x v="3"/>
    <x v="1"/>
    <x v="3"/>
    <m/>
    <m/>
    <s v="Presse"/>
    <s v="Echeance vidange"/>
    <s v="Vidange"/>
    <s v="Vidange du groupe hydraulique / et changement des filtres aspiration / pression / retour"/>
    <d v="2020-08-05T00:00:00"/>
    <m/>
    <n v="120"/>
    <x v="8"/>
    <x v="1"/>
    <m/>
  </r>
  <r>
    <d v="2020-08-10T00:00:00"/>
    <x v="11"/>
    <x v="0"/>
    <x v="11"/>
    <m/>
    <m/>
    <s v="Alimentation générale"/>
    <s v="Pb de démarrage de la machine"/>
    <s v="Réparation"/>
    <s v="Réarmement du disjoncteur principale et élimination d'un mauvais contact"/>
    <d v="2020-08-10T00:00:00"/>
    <m/>
    <n v="20"/>
    <x v="8"/>
    <x v="1"/>
    <m/>
  </r>
  <r>
    <d v="2020-08-11T00:00:00"/>
    <x v="1"/>
    <x v="0"/>
    <x v="1"/>
    <m/>
    <m/>
    <s v="Cassette 3,50"/>
    <s v="Fuite d'eau "/>
    <s v="Réparation"/>
    <s v="Changement d'un flexible d'eau"/>
    <d v="2020-08-11T00:00:00"/>
    <m/>
    <n v="30"/>
    <x v="8"/>
    <x v="1"/>
    <m/>
  </r>
  <r>
    <d v="2020-08-12T00:00:00"/>
    <x v="3"/>
    <x v="1"/>
    <x v="3"/>
    <m/>
    <m/>
    <s v="Tiroir d'agitation"/>
    <s v="Jeu au niveau de la grille d'agitation"/>
    <s v="Réparation"/>
    <s v="Réparation du tiroir d'agitation"/>
    <d v="2020-05-12T00:00:00"/>
    <m/>
    <n v="1"/>
    <x v="5"/>
    <x v="1"/>
    <m/>
  </r>
  <r>
    <d v="2020-08-12T00:00:00"/>
    <x v="2"/>
    <x v="1"/>
    <x v="2"/>
    <m/>
    <m/>
    <s v="Malaxeur"/>
    <s v="Echeance vidange"/>
    <s v="Vidange"/>
    <s v="Vidange du groupe hydraulique"/>
    <d v="2020-08-12T00:00:00"/>
    <m/>
    <n v="45"/>
    <x v="8"/>
    <x v="1"/>
    <m/>
  </r>
  <r>
    <d v="2020-08-12T00:00:00"/>
    <x v="2"/>
    <x v="1"/>
    <x v="2"/>
    <m/>
    <m/>
    <s v="Presse"/>
    <s v="Echeance vidange"/>
    <s v="Vidange"/>
    <s v="Vidange du groupe hydrauque avec changemlent des filtres ( pression aspiration retour)"/>
    <d v="2020-08-12T00:00:00"/>
    <m/>
    <n v="120"/>
    <x v="8"/>
    <x v="1"/>
    <m/>
  </r>
  <r>
    <d v="2020-08-13T00:00:00"/>
    <x v="2"/>
    <x v="1"/>
    <x v="2"/>
    <m/>
    <m/>
    <s v="Moule"/>
    <s v="Fuite au niveau du vérin du moule"/>
    <s v="Réparation"/>
    <s v="Soudage du raccord endommagé"/>
    <d v="2020-08-15T00:00:00"/>
    <m/>
    <n v="1"/>
    <x v="8"/>
    <x v="1"/>
    <m/>
  </r>
  <r>
    <d v="2020-08-13T00:00:00"/>
    <x v="3"/>
    <x v="1"/>
    <x v="3"/>
    <m/>
    <m/>
    <s v="Table vibrante"/>
    <s v="Absence de courroie 2800"/>
    <s v="Réparation"/>
    <s v="Montage de la courroie livrée le 13/05/2020"/>
    <d v="2020-05-13T00:00:00"/>
    <m/>
    <n v="1"/>
    <x v="5"/>
    <x v="1"/>
    <m/>
  </r>
  <r>
    <d v="2020-08-14T00:00:00"/>
    <x v="3"/>
    <x v="1"/>
    <x v="3"/>
    <m/>
    <m/>
    <s v="Cercleuse 08"/>
    <s v="Blocage du feuillard"/>
    <s v="Réparation"/>
    <s v="Nettoyage et déblocage du circuit"/>
    <d v="2020-05-14T00:00:00"/>
    <m/>
    <n v="20"/>
    <x v="5"/>
    <x v="1"/>
    <m/>
  </r>
  <r>
    <d v="2020-08-14T00:00:00"/>
    <x v="4"/>
    <x v="0"/>
    <x v="4"/>
    <m/>
    <m/>
    <s v="Bloc de dressage"/>
    <s v="Defaut de dressage des fils de chaines"/>
    <s v="Réparation"/>
    <s v="Démontage et réparation "/>
    <d v="2020-08-15T00:00:00"/>
    <m/>
    <s v="=SI(ESTVIDE([@[Date"/>
    <x v="8"/>
    <x v="1"/>
    <m/>
  </r>
  <r>
    <d v="2020-08-15T00:00:00"/>
    <x v="10"/>
    <x v="0"/>
    <x v="10"/>
    <m/>
    <m/>
    <s v="Cassette PR9"/>
    <s v="Roulement endommagé"/>
    <s v="Réparation"/>
    <s v="Changement des roulements endommagés"/>
    <d v="2020-08-17T00:00:00"/>
    <m/>
    <s v="=SI(ESTVIDE([@[Date"/>
    <x v="8"/>
    <x v="1"/>
    <m/>
  </r>
  <r>
    <d v="2020-08-16T00:00:00"/>
    <x v="3"/>
    <x v="1"/>
    <x v="3"/>
    <m/>
    <m/>
    <s v="Pince"/>
    <s v="Défaut de freinage"/>
    <s v="Réparation"/>
    <s v="Réglage du frein"/>
    <d v="2020-08-16T00:00:00"/>
    <m/>
    <n v="1"/>
    <x v="8"/>
    <x v="1"/>
    <m/>
  </r>
  <r>
    <d v="2020-08-17T00:00:00"/>
    <x v="10"/>
    <x v="0"/>
    <x v="10"/>
    <m/>
    <m/>
    <s v="Cassette PR10"/>
    <s v="Diagnostic en cours"/>
    <s v="Réparation"/>
    <s v="Changement de 6 roulement 32008 partie crantée + Zoomage"/>
    <d v="2020-08-17T00:00:00"/>
    <m/>
    <n v="3"/>
    <x v="8"/>
    <x v="1"/>
    <m/>
  </r>
  <r>
    <d v="2020-08-21T00:00:00"/>
    <x v="1"/>
    <x v="0"/>
    <x v="1"/>
    <m/>
    <m/>
    <s v="Cassette d3,90"/>
    <s v="Roulements Endommagés"/>
    <s v="Réparation"/>
    <s v="Changement de deux roulements endommagés"/>
    <d v="2020-08-21T00:00:00"/>
    <m/>
    <n v="2"/>
    <x v="8"/>
    <x v="1"/>
    <m/>
  </r>
  <r>
    <d v="2020-08-21T00:00:00"/>
    <x v="11"/>
    <x v="0"/>
    <x v="11"/>
    <m/>
    <m/>
    <s v="Cabestan"/>
    <s v="Défaut de surface"/>
    <s v="Réparation"/>
    <s v="Surfaçage du cabestan et mise en marche"/>
    <d v="2020-08-21T00:00:00"/>
    <m/>
    <n v="4"/>
    <x v="8"/>
    <x v="1"/>
    <m/>
  </r>
  <r>
    <d v="2020-08-21T00:00:00"/>
    <x v="1"/>
    <x v="0"/>
    <x v="1"/>
    <m/>
    <m/>
    <s v="Cassette d3,2"/>
    <s v="Fuite d'eau"/>
    <s v="Réparation"/>
    <s v="Changement du flexible endommagé"/>
    <d v="2020-08-21T00:00:00"/>
    <m/>
    <n v="30"/>
    <x v="8"/>
    <x v="1"/>
    <m/>
  </r>
  <r>
    <d v="2020-08-24T00:00:00"/>
    <x v="20"/>
    <x v="0"/>
    <x v="20"/>
    <m/>
    <m/>
    <s v="Cabestan"/>
    <s v="panne mécanique"/>
    <s v="Réparation"/>
    <s v="Démontage général + changement d'un roulement endommagé et entretien général du mécanisme de vitesse du cabestan"/>
    <d v="2020-09-07T00:00:00"/>
    <m/>
    <s v="=SI(ESTVIDE([@[Date"/>
    <x v="7"/>
    <x v="1"/>
    <m/>
  </r>
  <r>
    <d v="2020-08-26T00:00:00"/>
    <x v="1"/>
    <x v="0"/>
    <x v="1"/>
    <m/>
    <m/>
    <s v="Redresseur"/>
    <s v="Roulements usés"/>
    <s v="Réparation"/>
    <s v="Changement des roulements usés"/>
    <d v="2020-08-26T00:00:00"/>
    <m/>
    <n v="1"/>
    <x v="8"/>
    <x v="1"/>
    <m/>
  </r>
  <r>
    <d v="2020-08-31T00:00:00"/>
    <x v="2"/>
    <x v="1"/>
    <x v="2"/>
    <m/>
    <m/>
    <s v="Pince"/>
    <s v="Pb électrique"/>
    <s v="Réparation"/>
    <s v="Elimination d'un court circuit au niveau du cablage"/>
    <d v="2020-08-31T00:00:00"/>
    <m/>
    <n v="1"/>
    <x v="8"/>
    <x v="1"/>
    <m/>
  </r>
  <r>
    <d v="2020-09-01T00:00:00"/>
    <x v="1"/>
    <x v="0"/>
    <x v="1"/>
    <m/>
    <m/>
    <s v="Cassette d4,5"/>
    <s v="Blocage de l'ecrou d'assemblage"/>
    <s v="Réparation"/>
    <s v="Démontage et changement de l'ecrou d'assemblage"/>
    <d v="2020-09-01T00:00:00"/>
    <m/>
    <n v="2"/>
    <x v="7"/>
    <x v="1"/>
    <m/>
  </r>
  <r>
    <d v="2020-09-01T00:00:00"/>
    <x v="20"/>
    <x v="0"/>
    <x v="20"/>
    <m/>
    <m/>
    <s v="Savonniere"/>
    <s v="Echauffement du moteur de la savonnierre à cause d'un colmattage de la graisse en poudre"/>
    <s v="Réparation"/>
    <s v="Déchargement du reservoir et nettoyage de la savonniere"/>
    <d v="2020-09-01T00:00:00"/>
    <m/>
    <n v="1"/>
    <x v="7"/>
    <x v="1"/>
    <m/>
  </r>
  <r>
    <d v="2020-09-01T00:00:00"/>
    <x v="20"/>
    <x v="0"/>
    <x v="20"/>
    <m/>
    <m/>
    <s v="Bobinoire"/>
    <s v="Défaut de tirage du  bobinoire"/>
    <s v="Réparation"/>
    <s v="Changement de l'encodeur du bobinoir"/>
    <d v="2020-09-01T00:00:00"/>
    <m/>
    <n v="3"/>
    <x v="7"/>
    <x v="1"/>
    <m/>
  </r>
  <r>
    <d v="2020-09-01T00:00:00"/>
    <x v="3"/>
    <x v="1"/>
    <x v="3"/>
    <m/>
    <m/>
    <s v="Cercleuse"/>
    <s v="Blocage du feuillard"/>
    <s v="Réparation"/>
    <s v="Elimination du blocage et nettoyage du circuit"/>
    <d v="2020-09-01T00:00:00"/>
    <m/>
    <n v="30"/>
    <x v="7"/>
    <x v="1"/>
    <m/>
  </r>
  <r>
    <d v="2020-09-02T00:00:00"/>
    <x v="16"/>
    <x v="0"/>
    <x v="16"/>
    <m/>
    <m/>
    <s v="Plieuse"/>
    <s v="Vis de fixation endommagé"/>
    <s v="Réparation"/>
    <s v="Extraction et changement des vis endommagés"/>
    <d v="2020-09-02T00:00:00"/>
    <m/>
    <n v="2"/>
    <x v="7"/>
    <x v="1"/>
    <m/>
  </r>
  <r>
    <d v="2020-09-02T00:00:00"/>
    <x v="10"/>
    <x v="0"/>
    <x v="10"/>
    <m/>
    <m/>
    <s v="Guide fil"/>
    <s v="Defaut de guidage"/>
    <s v="Réparation"/>
    <s v="Réglage de l'encodeur et mise en marche"/>
    <d v="2020-09-02T00:00:00"/>
    <m/>
    <n v="1"/>
    <x v="7"/>
    <x v="1"/>
    <m/>
  </r>
  <r>
    <d v="2020-09-02T00:00:00"/>
    <x v="3"/>
    <x v="1"/>
    <x v="3"/>
    <m/>
    <m/>
    <s v="Table vibrante"/>
    <s v="milieu poussiéreux "/>
    <s v="Amélioration"/>
    <s v="Confection de deux cartere et fixation au dessus du moteur d'entrainement"/>
    <d v="2020-09-02T00:00:00"/>
    <m/>
    <n v="1"/>
    <x v="7"/>
    <x v="1"/>
    <m/>
  </r>
  <r>
    <d v="2020-09-03T00:00:00"/>
    <x v="4"/>
    <x v="0"/>
    <x v="4"/>
    <m/>
    <m/>
    <s v="Table élevatrice"/>
    <s v="Table déséquilibrée"/>
    <s v="Réparation"/>
    <s v="Remise à niveau de la table élevatrice"/>
    <d v="2020-09-03T00:00:00"/>
    <m/>
    <n v="1"/>
    <x v="7"/>
    <x v="1"/>
    <m/>
  </r>
  <r>
    <d v="2020-09-03T00:00:00"/>
    <x v="1"/>
    <x v="0"/>
    <x v="1"/>
    <m/>
    <m/>
    <s v="Cassette d3,20"/>
    <s v="Démontage et changement du deux roulements 32008"/>
    <s v="Réparation"/>
    <s v="Démontage et changement du deux roulements 32008"/>
    <d v="2020-09-04T00:00:00"/>
    <m/>
    <s v="=SI(ESTVIDE([@[Date"/>
    <x v="7"/>
    <x v="1"/>
    <m/>
  </r>
  <r>
    <d v="2020-09-03T00:00:00"/>
    <x v="3"/>
    <x v="1"/>
    <x v="3"/>
    <m/>
    <m/>
    <s v="Cercleuse"/>
    <s v="Défaut de soudage"/>
    <s v="Réparation"/>
    <s v="Changement d'une resistance de soudage + réglage de l'embrayage"/>
    <d v="2020-09-03T00:00:00"/>
    <m/>
    <n v="1"/>
    <x v="7"/>
    <x v="1"/>
    <m/>
  </r>
  <r>
    <d v="2020-09-04T00:00:00"/>
    <x v="3"/>
    <x v="1"/>
    <x v="3"/>
    <m/>
    <m/>
    <s v="Cercleuse 08"/>
    <s v="Resistance HS"/>
    <s v="Réparation"/>
    <s v="Changement de la resistance endommagée + reglage de l'embrayage"/>
    <d v="2020-09-04T00:00:00"/>
    <m/>
    <n v="1"/>
    <x v="7"/>
    <x v="1"/>
    <m/>
  </r>
  <r>
    <d v="2020-09-04T00:00:00"/>
    <x v="3"/>
    <x v="1"/>
    <x v="3"/>
    <m/>
    <m/>
    <s v="Transbordeur"/>
    <s v="Cornieres deformées"/>
    <s v="Réparation"/>
    <s v="Démontage des corniere et dressage des parties déformées"/>
    <d v="2020-09-04T00:00:00"/>
    <m/>
    <n v="1"/>
    <x v="7"/>
    <x v="1"/>
    <m/>
  </r>
  <r>
    <d v="2020-09-05T00:00:00"/>
    <x v="1"/>
    <x v="0"/>
    <x v="1"/>
    <m/>
    <m/>
    <s v="Cassette d3,40"/>
    <s v="Ecrou d'assemblage foiré "/>
    <s v="Réparation"/>
    <s v="Changement d'ecrou d'assemblage et roulements"/>
    <d v="2020-09-05T00:00:00"/>
    <m/>
    <n v="1"/>
    <x v="7"/>
    <x v="1"/>
    <m/>
  </r>
  <r>
    <d v="2020-09-05T00:00:00"/>
    <x v="28"/>
    <x v="0"/>
    <x v="28"/>
    <m/>
    <m/>
    <s v="Dispositif de tirage"/>
    <s v="Pompe hydraulique endommagée"/>
    <s v="Réparation"/>
    <s v="Changement de pompe hydraulique et mise en marche"/>
    <d v="2020-09-05T00:00:00"/>
    <m/>
    <n v="4"/>
    <x v="7"/>
    <x v="1"/>
    <m/>
  </r>
  <r>
    <d v="2020-09-05T00:00:00"/>
    <x v="16"/>
    <x v="0"/>
    <x v="16"/>
    <m/>
    <m/>
    <s v="Pince"/>
    <s v="Probleme de fixation du vérin pneumatique"/>
    <s v="Réparation"/>
    <s v="Démontage et changement du support du vérin de soudage"/>
    <d v="2020-09-05T00:00:00"/>
    <m/>
    <n v="1"/>
    <x v="7"/>
    <x v="1"/>
    <m/>
  </r>
  <r>
    <d v="2020-09-05T00:00:00"/>
    <x v="3"/>
    <x v="1"/>
    <x v="3"/>
    <m/>
    <m/>
    <s v="Silo 4"/>
    <s v="Blocage vis à ciment n4"/>
    <s v="Réparation"/>
    <s v="Remontage d'un accouplement confectionné chez att - remise en marche de la vis"/>
    <d v="2020-09-05T00:00:00"/>
    <m/>
    <n v="2"/>
    <x v="7"/>
    <x v="1"/>
    <m/>
  </r>
  <r>
    <d v="2020-09-07T00:00:00"/>
    <x v="13"/>
    <x v="0"/>
    <x v="13"/>
    <m/>
    <m/>
    <s v="Redresseur"/>
    <s v="Rupture de la courroie d'entrainement"/>
    <s v="Réparation"/>
    <s v="Remontage de la courroie et changement d'un roulement 6208"/>
    <d v="2020-09-07T00:00:00"/>
    <m/>
    <n v="1"/>
    <x v="7"/>
    <x v="1"/>
    <m/>
  </r>
  <r>
    <d v="2020-09-07T00:00:00"/>
    <x v="4"/>
    <x v="0"/>
    <x v="4"/>
    <m/>
    <m/>
    <s v="Système d'avancement"/>
    <s v="Roulement endommagé"/>
    <s v="Réparation"/>
    <s v="Changement du roulement endommagé"/>
    <d v="2020-09-07T00:00:00"/>
    <m/>
    <n v="1"/>
    <x v="7"/>
    <x v="1"/>
    <m/>
  </r>
  <r>
    <d v="2020-09-07T00:00:00"/>
    <x v="11"/>
    <x v="0"/>
    <x v="11"/>
    <m/>
    <m/>
    <s v="Chariot guide fil"/>
    <s v="Changement du chariot guide fil"/>
    <s v="Réparation"/>
    <s v="Changement du chariot guide fil"/>
    <d v="2020-09-07T00:00:00"/>
    <m/>
    <n v="1"/>
    <x v="7"/>
    <x v="1"/>
    <m/>
  </r>
  <r>
    <d v="2020-09-07T00:00:00"/>
    <x v="1"/>
    <x v="0"/>
    <x v="1"/>
    <m/>
    <m/>
    <s v="Cassette d4"/>
    <s v="Galet endommagé"/>
    <s v="Réparation"/>
    <s v="Changement d'un galet endommagé et 4 roulements"/>
    <d v="2020-09-07T00:00:00"/>
    <m/>
    <n v="1"/>
    <x v="7"/>
    <x v="1"/>
    <m/>
  </r>
  <r>
    <d v="2020-09-08T00:00:00"/>
    <x v="3"/>
    <x v="1"/>
    <x v="3"/>
    <m/>
    <m/>
    <s v="Pince"/>
    <s v="Frein moteur endommagé"/>
    <s v="Réparation"/>
    <s v="Montage d'un moteur neuf"/>
    <d v="2020-09-09T00:00:00"/>
    <m/>
    <s v="=SI(ESTVIDE([@[Date"/>
    <x v="7"/>
    <x v="1"/>
    <m/>
  </r>
  <r>
    <d v="2020-09-08T00:00:00"/>
    <x v="3"/>
    <x v="1"/>
    <x v="3"/>
    <m/>
    <m/>
    <s v="Ascensseur"/>
    <s v="Problème d'allignement convoyeur sortie planche"/>
    <s v="Réparation"/>
    <s v="Réglage et mise à niveau du convoyeur + changement du vérin pneumatique de la cerleuse"/>
    <d v="2020-09-08T00:00:00"/>
    <m/>
    <n v="4"/>
    <x v="7"/>
    <x v="1"/>
    <m/>
  </r>
  <r>
    <d v="2020-09-08T00:00:00"/>
    <x v="3"/>
    <x v="1"/>
    <x v="3"/>
    <m/>
    <m/>
    <s v="Pince "/>
    <s v="Frein moteur endommagé"/>
    <s v="Réparation"/>
    <s v="Changement du moteur et mise en marche"/>
    <d v="2020-09-08T00:00:00"/>
    <m/>
    <n v="4"/>
    <x v="7"/>
    <x v="1"/>
    <m/>
  </r>
  <r>
    <d v="2020-09-08T00:00:00"/>
    <x v="21"/>
    <x v="4"/>
    <x v="21"/>
    <m/>
    <m/>
    <s v="Tambour principale"/>
    <s v="Surcharge"/>
    <s v="Réparation"/>
    <s v="Changement du disjonteur HS et mise en marche"/>
    <d v="2020-09-08T00:00:00"/>
    <m/>
    <n v="30"/>
    <x v="7"/>
    <x v="1"/>
    <m/>
  </r>
  <r>
    <d v="2020-09-09T00:00:00"/>
    <x v="0"/>
    <x v="0"/>
    <x v="0"/>
    <m/>
    <m/>
    <s v="Bloc de soudure"/>
    <s v="jeu au niveau de la tete de fixation du sabot"/>
    <s v="Réparation"/>
    <s v="Changement de la tete de fixation"/>
    <d v="2020-09-09T00:00:00"/>
    <m/>
    <n v="15"/>
    <x v="7"/>
    <x v="1"/>
    <m/>
  </r>
  <r>
    <d v="2020-09-09T00:00:00"/>
    <x v="13"/>
    <x v="0"/>
    <x v="13"/>
    <m/>
    <m/>
    <s v="Cisaille"/>
    <s v="anomalie sur capteur"/>
    <s v="Réparation"/>
    <s v="Changement du cable endommagé"/>
    <d v="2020-09-09T00:00:00"/>
    <m/>
    <n v="20"/>
    <x v="7"/>
    <x v="1"/>
    <m/>
  </r>
  <r>
    <d v="2020-09-09T00:00:00"/>
    <x v="3"/>
    <x v="1"/>
    <x v="3"/>
    <m/>
    <m/>
    <s v="Transbordeur"/>
    <s v="PB de marche automatique du transbordeur"/>
    <s v="Réparation"/>
    <s v="Changement de la borne sortie endommagée de l'automate ( programme)"/>
    <d v="2020-09-09T00:00:00"/>
    <m/>
    <n v="2"/>
    <x v="7"/>
    <x v="1"/>
    <m/>
  </r>
  <r>
    <d v="2020-09-09T00:00:00"/>
    <x v="13"/>
    <x v="0"/>
    <x v="13"/>
    <m/>
    <m/>
    <s v="Cisaille"/>
    <s v="Problème sur capteur de cisaille"/>
    <s v="Réparation"/>
    <s v="Changement du cable endommagé"/>
    <d v="2020-09-09T00:00:00"/>
    <m/>
    <n v="20"/>
    <x v="7"/>
    <x v="1"/>
    <m/>
  </r>
  <r>
    <d v="2020-09-10T00:00:00"/>
    <x v="10"/>
    <x v="0"/>
    <x v="10"/>
    <m/>
    <m/>
    <s v="Bobinoir"/>
    <s v="Arbre principale tordu"/>
    <s v="Réparation"/>
    <s v="En cours"/>
    <d v="2020-09-22T00:00:00"/>
    <m/>
    <s v="=SI(ESTVIDE([@[Date"/>
    <x v="7"/>
    <x v="1"/>
    <m/>
  </r>
  <r>
    <d v="2020-09-10T00:00:00"/>
    <x v="11"/>
    <x v="0"/>
    <x v="11"/>
    <m/>
    <m/>
    <s v="Cabestan"/>
    <s v="Trou de fixation du cabestan taraudés usés"/>
    <s v="Réparation"/>
    <s v="Renouvelement des trous taraudé  montage et mise en marche"/>
    <d v="2020-09-11T00:00:00"/>
    <m/>
    <s v="=SI(ESTVIDE([@[Date"/>
    <x v="7"/>
    <x v="1"/>
    <m/>
  </r>
  <r>
    <d v="2020-09-10T00:00:00"/>
    <x v="14"/>
    <x v="4"/>
    <x v="14"/>
    <m/>
    <m/>
    <s v="Chariot principal"/>
    <s v="Cable endommagé"/>
    <m/>
    <s v="Attente de disponibilité du pont"/>
    <d v="2020-09-10T00:00:00"/>
    <m/>
    <m/>
    <x v="7"/>
    <x v="1"/>
    <m/>
  </r>
  <r>
    <d v="2020-09-10T00:00:00"/>
    <x v="4"/>
    <x v="0"/>
    <x v="4"/>
    <m/>
    <m/>
    <s v="Table élevatrice"/>
    <s v="Défaut d'ajustement des pieds de la table"/>
    <s v="Réparation"/>
    <s v="Remise à niveau de la table élevatrice"/>
    <d v="2020-09-10T00:00:00"/>
    <m/>
    <m/>
    <x v="7"/>
    <x v="1"/>
    <m/>
  </r>
  <r>
    <d v="2020-09-10T00:00:00"/>
    <x v="10"/>
    <x v="0"/>
    <x v="10"/>
    <m/>
    <m/>
    <s v="Bobinoir"/>
    <s v="Arbre d'entrainement cisaillé"/>
    <s v="Réparation"/>
    <s v="Changement de l'arbre d'entrainement du bobinoire"/>
    <d v="2020-09-21T00:00:00"/>
    <m/>
    <s v="=SI(ESTVIDE([@[Date"/>
    <x v="7"/>
    <x v="1"/>
    <m/>
  </r>
  <r>
    <d v="2020-09-10T00:00:00"/>
    <x v="3"/>
    <x v="1"/>
    <x v="3"/>
    <m/>
    <m/>
    <s v="Ascensseur"/>
    <s v="défaillance de position du capteur de proximité"/>
    <s v="Réparation"/>
    <s v="Réglage du capteur de proximité"/>
    <d v="2020-09-10T00:00:00"/>
    <m/>
    <n v="1"/>
    <x v="7"/>
    <x v="1"/>
    <m/>
  </r>
  <r>
    <d v="2020-09-10T00:00:00"/>
    <x v="11"/>
    <x v="0"/>
    <x v="11"/>
    <m/>
    <m/>
    <s v="Cabestan"/>
    <s v="Démontage du cabestant pour chargement "/>
    <s v="Réparation"/>
    <s v="Démontage du cabestan et chargement de surface"/>
    <d v="2020-09-10T00:00:00"/>
    <m/>
    <n v="1"/>
    <x v="7"/>
    <x v="1"/>
    <m/>
  </r>
  <r>
    <d v="2020-09-10T00:00:00"/>
    <x v="0"/>
    <x v="0"/>
    <x v="0"/>
    <m/>
    <m/>
    <s v="Bloc de soudure"/>
    <s v="Problème sur presse de soudage"/>
    <s v="Réparation"/>
    <s v="Réglage du support du porte de soudage"/>
    <d v="2020-09-10T00:00:00"/>
    <m/>
    <n v="1"/>
    <x v="7"/>
    <x v="1"/>
    <m/>
  </r>
  <r>
    <d v="2020-09-10T00:00:00"/>
    <x v="14"/>
    <x v="4"/>
    <x v="14"/>
    <m/>
    <m/>
    <s v="Tambour principal"/>
    <s v="Cable endommagé"/>
    <s v="Réparation"/>
    <s v="Attente livraison du cable "/>
    <d v="2020-09-10T00:00:00"/>
    <m/>
    <m/>
    <x v="7"/>
    <x v="1"/>
    <m/>
  </r>
  <r>
    <d v="2020-09-10T00:00:00"/>
    <x v="4"/>
    <x v="0"/>
    <x v="4"/>
    <m/>
    <m/>
    <s v="Table elevatrice"/>
    <s v="Décalage de la table elevatrice"/>
    <s v="Réparation"/>
    <s v="Remise à niveau de la table élevatrice"/>
    <d v="2020-09-10T00:00:00"/>
    <m/>
    <n v="20"/>
    <x v="7"/>
    <x v="1"/>
    <m/>
  </r>
  <r>
    <d v="2020-09-11T00:00:00"/>
    <x v="20"/>
    <x v="0"/>
    <x v="20"/>
    <m/>
    <m/>
    <s v="Pompe de graissage"/>
    <s v="circuit d'air bouché"/>
    <s v="Réparation"/>
    <s v="Débouchage du circuit d'air comprimé"/>
    <d v="2020-09-11T00:00:00"/>
    <m/>
    <n v="1"/>
    <x v="7"/>
    <x v="1"/>
    <m/>
  </r>
  <r>
    <d v="2020-09-11T00:00:00"/>
    <x v="2"/>
    <x v="1"/>
    <x v="2"/>
    <m/>
    <m/>
    <s v="Machine"/>
    <s v="Entretien"/>
    <s v="Réparation"/>
    <s v=" - Rectification de la trappe du malaxeur_x000a_- Changement des machoires de la pince_x000a_-Graissage des poulies de la table vibrante"/>
    <d v="2020-09-11T00:00:00"/>
    <m/>
    <n v="3"/>
    <x v="7"/>
    <x v="1"/>
    <m/>
  </r>
  <r>
    <d v="2020-09-11T00:00:00"/>
    <x v="20"/>
    <x v="0"/>
    <x v="20"/>
    <m/>
    <m/>
    <s v="Pompe de graissage"/>
    <s v="blocage au niveau de la pompe"/>
    <s v="Réparation"/>
    <s v="Nettoyage du circuit d'air comprimé"/>
    <d v="2020-09-11T00:00:00"/>
    <m/>
    <n v="1"/>
    <x v="7"/>
    <x v="1"/>
    <m/>
  </r>
  <r>
    <d v="2020-09-12T00:00:00"/>
    <x v="20"/>
    <x v="0"/>
    <x v="20"/>
    <m/>
    <m/>
    <s v="Cassette d5"/>
    <s v="Changement de 3 galets lisse + 6 roulements "/>
    <s v="Réparation"/>
    <s v="Changement de 3 galets lisse + 6 roulements "/>
    <d v="2020-09-12T00:00:00"/>
    <m/>
    <n v="1"/>
    <x v="7"/>
    <x v="1"/>
    <m/>
  </r>
  <r>
    <d v="2020-09-14T00:00:00"/>
    <x v="2"/>
    <x v="1"/>
    <x v="2"/>
    <m/>
    <m/>
    <s v="Retourneur"/>
    <s v="Rupture de la courroie thermosoudable du retourneur"/>
    <s v="Réparation"/>
    <s v="Jonction d'une nouvelle courroie thermosoudable"/>
    <d v="2020-09-14T00:00:00"/>
    <m/>
    <n v="30"/>
    <x v="7"/>
    <x v="1"/>
    <m/>
  </r>
  <r>
    <d v="2020-09-14T00:00:00"/>
    <x v="2"/>
    <x v="1"/>
    <x v="2"/>
    <m/>
    <m/>
    <s v="Compresseur"/>
    <s v="Fuite d'air"/>
    <s v="Réparation"/>
    <s v="Changement du flexible endommagé"/>
    <d v="2020-09-14T00:00:00"/>
    <m/>
    <n v="30"/>
    <x v="7"/>
    <x v="1"/>
    <m/>
  </r>
  <r>
    <d v="2020-09-15T00:00:00"/>
    <x v="20"/>
    <x v="0"/>
    <x v="20"/>
    <m/>
    <m/>
    <s v="Cassette d7"/>
    <s v="Roulements usés"/>
    <s v="Réparation"/>
    <s v="Changement de 4 roulements"/>
    <d v="2020-09-15T00:00:00"/>
    <m/>
    <n v="1"/>
    <x v="7"/>
    <x v="1"/>
    <m/>
  </r>
  <r>
    <d v="2020-09-15T00:00:00"/>
    <x v="3"/>
    <x v="1"/>
    <x v="3"/>
    <m/>
    <m/>
    <s v="Malaxeur"/>
    <s v="Aficheur colorant endommagé"/>
    <s v="Réparation"/>
    <s v="Achat en cours"/>
    <d v="2020-09-15T00:00:00"/>
    <m/>
    <m/>
    <x v="7"/>
    <x v="1"/>
    <m/>
  </r>
  <r>
    <d v="2020-09-15T00:00:00"/>
    <x v="2"/>
    <x v="1"/>
    <x v="2"/>
    <m/>
    <m/>
    <s v="Malaxeur"/>
    <s v="débit d'eau faible"/>
    <s v="Réparation"/>
    <s v="Changement de la prompe et adaptation des canalisations"/>
    <d v="2020-09-15T00:00:00"/>
    <m/>
    <n v="45"/>
    <x v="7"/>
    <x v="1"/>
    <m/>
  </r>
  <r>
    <d v="2020-09-15T00:00:00"/>
    <x v="2"/>
    <x v="1"/>
    <x v="2"/>
    <m/>
    <m/>
    <s v="Adjuvant"/>
    <s v="Absence de jet d'adjuvant"/>
    <s v="Réparation"/>
    <s v="Changement du clapet antiretour et réglage du temps de démarrage"/>
    <d v="2020-09-15T00:00:00"/>
    <m/>
    <n v="30"/>
    <x v="7"/>
    <x v="1"/>
    <m/>
  </r>
  <r>
    <d v="2020-09-16T00:00:00"/>
    <x v="5"/>
    <x v="2"/>
    <x v="5"/>
    <m/>
    <m/>
    <s v="Puit d'alimentation"/>
    <s v="Pompe HS"/>
    <s v="Réparation"/>
    <s v="Changement de la pompe à eau immérgée"/>
    <d v="2020-09-16T00:00:00"/>
    <m/>
    <n v="2"/>
    <x v="7"/>
    <x v="1"/>
    <m/>
  </r>
  <r>
    <d v="2020-09-17T00:00:00"/>
    <x v="1"/>
    <x v="0"/>
    <x v="1"/>
    <m/>
    <m/>
    <s v="Cassette d4"/>
    <s v="Galet endommagé"/>
    <s v="Réparation"/>
    <s v="Chagement d'un galet et 2 roulements"/>
    <d v="2020-09-17T00:00:00"/>
    <m/>
    <n v="2"/>
    <x v="7"/>
    <x v="1"/>
    <m/>
  </r>
  <r>
    <d v="2020-09-21T00:00:00"/>
    <x v="2"/>
    <x v="1"/>
    <x v="2"/>
    <m/>
    <m/>
    <s v="Tiroir d'agitation"/>
    <s v="Usure de la chappe du vérin du tiroir ( filetage foiré)"/>
    <s v="Réparation"/>
    <s v="Soudage de la chappe et la tige"/>
    <d v="2020-09-21T00:00:00"/>
    <m/>
    <n v="45"/>
    <x v="7"/>
    <x v="1"/>
    <m/>
  </r>
  <r>
    <d v="2020-09-21T00:00:00"/>
    <x v="2"/>
    <x v="1"/>
    <x v="2"/>
    <m/>
    <m/>
    <s v="Pince"/>
    <s v="Cable moteur endommagé"/>
    <s v="Réparation"/>
    <s v="Changement du cable"/>
    <d v="2020-09-21T00:00:00"/>
    <m/>
    <n v="30"/>
    <x v="7"/>
    <x v="1"/>
    <m/>
  </r>
  <r>
    <d v="2020-09-21T00:00:00"/>
    <x v="20"/>
    <x v="0"/>
    <x v="20"/>
    <m/>
    <m/>
    <s v="Cassette PR5"/>
    <s v="Jeu sur galet"/>
    <s v="Réparation"/>
    <s v="Changement de trois galets lisses + 6roulements + un galet cranté"/>
    <d v="2020-09-21T00:00:00"/>
    <m/>
    <n v="3"/>
    <x v="7"/>
    <x v="1"/>
    <m/>
  </r>
  <r>
    <d v="2020-09-24T00:00:00"/>
    <x v="3"/>
    <x v="1"/>
    <x v="3"/>
    <m/>
    <m/>
    <s v="Pilon"/>
    <s v="Défaillance du clapet antiretour double effet"/>
    <s v="Réparation"/>
    <s v="Changement du clapet"/>
    <d v="2020-09-24T00:00:00"/>
    <m/>
    <n v="2"/>
    <x v="7"/>
    <x v="1"/>
    <m/>
  </r>
  <r>
    <d v="2020-09-24T00:00:00"/>
    <x v="2"/>
    <x v="1"/>
    <x v="2"/>
    <m/>
    <m/>
    <s v="Malaxeur"/>
    <s v="Défaillance pompe à eau"/>
    <s v="Réparation"/>
    <s v="Changement du contacteur HS"/>
    <d v="2020-09-24T00:00:00"/>
    <m/>
    <n v="30"/>
    <x v="7"/>
    <x v="1"/>
    <m/>
  </r>
  <r>
    <d v="2020-10-01T00:00:00"/>
    <x v="5"/>
    <x v="2"/>
    <x v="5"/>
    <m/>
    <m/>
    <s v="Pompe immergée"/>
    <s v="Pompe HS"/>
    <s v="Réparation"/>
    <s v="Changement de la pompe à eau immérgée"/>
    <d v="2020-10-01T00:00:00"/>
    <m/>
    <n v="2"/>
    <x v="9"/>
    <x v="1"/>
    <m/>
  </r>
  <r>
    <d v="2020-10-02T00:00:00"/>
    <x v="3"/>
    <x v="1"/>
    <x v="3"/>
    <m/>
    <m/>
    <s v="Pupitre de commande"/>
    <s v="Commutateur endommagé"/>
    <s v="Réparation"/>
    <s v="Changement du commutateur endommagé"/>
    <d v="2020-10-02T00:00:00"/>
    <m/>
    <n v="20"/>
    <x v="9"/>
    <x v="1"/>
    <m/>
  </r>
  <r>
    <d v="2020-10-02T00:00:00"/>
    <x v="3"/>
    <x v="1"/>
    <x v="3"/>
    <m/>
    <m/>
    <s v="Transbordeur"/>
    <s v="Axe du réducteur endommagé"/>
    <s v="Réparation"/>
    <s v="Changement du réducteur"/>
    <d v="2020-10-02T00:00:00"/>
    <m/>
    <n v="13"/>
    <x v="9"/>
    <x v="1"/>
    <m/>
  </r>
  <r>
    <d v="2020-10-03T00:00:00"/>
    <x v="2"/>
    <x v="1"/>
    <x v="2"/>
    <m/>
    <m/>
    <s v="Tiroir d'agitation"/>
    <s v="Jeu sur galet de guidage"/>
    <s v="Réparation"/>
    <s v="Changement de l'axe du galet + roulements"/>
    <d v="2020-10-03T00:00:00"/>
    <m/>
    <n v="30"/>
    <x v="9"/>
    <x v="1"/>
    <m/>
  </r>
  <r>
    <d v="2020-10-04T00:00:00"/>
    <x v="2"/>
    <x v="1"/>
    <x v="2"/>
    <m/>
    <m/>
    <s v="Transbordeur"/>
    <s v="Tige de fixation du réducteur endommagée"/>
    <s v="Réparation"/>
    <s v="Changement des tiges de fixation du réducteur"/>
    <d v="2020-10-04T00:00:00"/>
    <m/>
    <n v="1"/>
    <x v="9"/>
    <x v="1"/>
    <m/>
  </r>
  <r>
    <d v="2020-10-05T00:00:00"/>
    <x v="0"/>
    <x v="0"/>
    <x v="0"/>
    <m/>
    <m/>
    <s v="Cisaille"/>
    <s v="Fixations de l'embrayage endommagées"/>
    <s v="Réparation"/>
    <s v="Extraction des vis taraudage et changemùent des vis"/>
    <d v="2020-10-05T00:00:00"/>
    <m/>
    <n v="1"/>
    <x v="9"/>
    <x v="1"/>
    <m/>
  </r>
  <r>
    <d v="2020-10-05T00:00:00"/>
    <x v="7"/>
    <x v="0"/>
    <x v="7"/>
    <m/>
    <m/>
    <s v="Système d'avancement"/>
    <s v="Fuite interne au niveau du vérin"/>
    <s v="Réparation"/>
    <s v="Changement du vérin et rélasisation d'une demande pour achat du necessaire du vérin"/>
    <d v="2020-10-05T00:00:00"/>
    <m/>
    <n v="30"/>
    <x v="9"/>
    <x v="1"/>
    <m/>
  </r>
  <r>
    <d v="2020-10-05T00:00:00"/>
    <x v="10"/>
    <x v="0"/>
    <x v="10"/>
    <m/>
    <m/>
    <s v="Cassette PR7"/>
    <s v="Roulements Endommagés"/>
    <s v="Réparation"/>
    <s v="Changement de 4 roulements 32008"/>
    <d v="2020-10-05T00:00:00"/>
    <m/>
    <n v="1"/>
    <x v="9"/>
    <x v="1"/>
    <m/>
  </r>
  <r>
    <d v="2020-10-05T00:00:00"/>
    <x v="10"/>
    <x v="0"/>
    <x v="10"/>
    <m/>
    <m/>
    <s v="Cassette PR7"/>
    <s v="Circuit de graisse bouché"/>
    <s v="Réparation"/>
    <s v="Changement d'un flexible endommagé"/>
    <d v="2020-10-05T00:00:00"/>
    <m/>
    <n v="15"/>
    <x v="9"/>
    <x v="1"/>
    <m/>
  </r>
  <r>
    <d v="2020-10-06T00:00:00"/>
    <x v="0"/>
    <x v="0"/>
    <x v="0"/>
    <m/>
    <m/>
    <s v="Cisaille"/>
    <s v="Came déréglée"/>
    <s v="Réparation"/>
    <s v="Réglage de la came à l'état initial"/>
    <d v="2020-10-06T00:00:00"/>
    <m/>
    <n v="20"/>
    <x v="9"/>
    <x v="1"/>
    <m/>
  </r>
  <r>
    <d v="2020-10-06T00:00:00"/>
    <x v="7"/>
    <x v="0"/>
    <x v="7"/>
    <m/>
    <m/>
    <s v="Redresseur"/>
    <s v="Galet de dressage endommagé"/>
    <s v="Réparation"/>
    <s v="Changement du galet et mise en marche"/>
    <d v="2020-10-06T00:00:00"/>
    <m/>
    <n v="45"/>
    <x v="9"/>
    <x v="1"/>
    <m/>
  </r>
  <r>
    <d v="2020-10-07T00:00:00"/>
    <x v="3"/>
    <x v="1"/>
    <x v="3"/>
    <m/>
    <m/>
    <s v="Tiroir d'agitation"/>
    <s v="Blocage du tiroir au niveau du retour du du vérin"/>
    <s v="Réparation"/>
    <s v="Changement de la tôle du tiroir d'agitation"/>
    <d v="2020-10-07T00:00:00"/>
    <m/>
    <n v="2"/>
    <x v="9"/>
    <x v="1"/>
    <m/>
  </r>
  <r>
    <d v="2020-10-07T00:00:00"/>
    <x v="26"/>
    <x v="0"/>
    <x v="26"/>
    <m/>
    <m/>
    <s v="Groupe hydraulique"/>
    <s v="Chute de pression ( accumulateur HS°"/>
    <s v="Réparation"/>
    <s v="Changement de l'accumulateur"/>
    <d v="2020-10-07T00:00:00"/>
    <m/>
    <n v="40"/>
    <x v="9"/>
    <x v="1"/>
    <m/>
  </r>
  <r>
    <d v="2020-10-07T00:00:00"/>
    <x v="1"/>
    <x v="0"/>
    <x v="1"/>
    <m/>
    <m/>
    <s v="Poste de soudage"/>
    <s v="Commutateur endommagé"/>
    <s v="Réparation"/>
    <s v="Changement du comùutateur endommagé"/>
    <d v="2020-10-07T00:00:00"/>
    <m/>
    <n v="15"/>
    <x v="9"/>
    <x v="1"/>
    <m/>
  </r>
  <r>
    <d v="2020-10-07T00:00:00"/>
    <x v="12"/>
    <x v="0"/>
    <x v="12"/>
    <m/>
    <m/>
    <s v="Redresseur"/>
    <s v="Roulements endommagés"/>
    <s v="Réparation"/>
    <s v="Chaangement de  2 roulements NU210 ECP et 1 roulement 6210"/>
    <d v="2020-10-07T00:00:00"/>
    <m/>
    <n v="30"/>
    <x v="9"/>
    <x v="1"/>
    <m/>
  </r>
  <r>
    <d v="2020-10-07T00:00:00"/>
    <x v="22"/>
    <x v="0"/>
    <x v="22"/>
    <m/>
    <m/>
    <s v="Cisaille"/>
    <s v="Réception du porte clavette"/>
    <s v="Réparation"/>
    <s v="Montage du porte clavette d'entrainement de l'embrayage et mise en marche"/>
    <d v="2020-10-07T00:00:00"/>
    <m/>
    <n v="15"/>
    <x v="9"/>
    <x v="1"/>
    <m/>
  </r>
  <r>
    <d v="2020-10-08T00:00:00"/>
    <x v="1"/>
    <x v="0"/>
    <x v="1"/>
    <m/>
    <m/>
    <s v="Bobinoir"/>
    <s v="Axes d'assemblage usés + roulement bobinoir endommagé"/>
    <s v="Réparation"/>
    <s v="Changement des axes et roulement NJ207"/>
    <d v="2020-10-08T00:00:00"/>
    <m/>
    <n v="45"/>
    <x v="9"/>
    <x v="1"/>
    <m/>
  </r>
  <r>
    <d v="2020-10-09T00:00:00"/>
    <x v="2"/>
    <x v="1"/>
    <x v="2"/>
    <m/>
    <m/>
    <s v="Transbordeur"/>
    <s v="Galet usé"/>
    <s v="Réparation"/>
    <s v="Soudage de la partie usée du galet"/>
    <d v="2020-10-09T00:00:00"/>
    <m/>
    <n v="1"/>
    <x v="9"/>
    <x v="1"/>
    <m/>
  </r>
  <r>
    <d v="2020-10-10T00:00:00"/>
    <x v="3"/>
    <x v="1"/>
    <x v="3"/>
    <m/>
    <m/>
    <s v="Pince "/>
    <s v="Usure de la bande reflechissante du capteur infrarouge"/>
    <s v="Réparation"/>
    <s v="Changement de la bande reflechissante"/>
    <d v="2020-10-10T00:00:00"/>
    <m/>
    <n v="20"/>
    <x v="9"/>
    <x v="1"/>
    <m/>
  </r>
  <r>
    <d v="2020-10-10T00:00:00"/>
    <x v="3"/>
    <x v="1"/>
    <x v="3"/>
    <m/>
    <m/>
    <s v="Cercleuse 07"/>
    <s v="Commutateur endommagé "/>
    <s v="Réparation"/>
    <s v="Changement du commutateur endommagé"/>
    <d v="2020-10-10T00:00:00"/>
    <m/>
    <n v="15"/>
    <x v="9"/>
    <x v="1"/>
    <m/>
  </r>
  <r>
    <d v="2020-10-10T00:00:00"/>
    <x v="10"/>
    <x v="0"/>
    <x v="10"/>
    <m/>
    <m/>
    <s v="Cassette PR7 "/>
    <s v="Circuit de refroidissement bouché"/>
    <s v="Réparation"/>
    <s v="Changement d'un flexible endommagé"/>
    <d v="2020-10-10T00:00:00"/>
    <m/>
    <n v="20"/>
    <x v="9"/>
    <x v="1"/>
    <m/>
  </r>
  <r>
    <d v="2020-10-12T00:00:00"/>
    <x v="2"/>
    <x v="1"/>
    <x v="2"/>
    <m/>
    <m/>
    <s v="pousse planche"/>
    <s v="Rupture de la courroie thermosoudable du retourneur"/>
    <s v="Réparation"/>
    <s v="Soudage de la courroie thermosoudable"/>
    <d v="2020-10-12T00:00:00"/>
    <m/>
    <n v="20"/>
    <x v="9"/>
    <x v="1"/>
    <m/>
  </r>
  <r>
    <d v="2020-10-12T00:00:00"/>
    <x v="1"/>
    <x v="0"/>
    <x v="1"/>
    <m/>
    <m/>
    <s v="Cassette 3,2"/>
    <s v="Jeu sur galet"/>
    <s v="Réparation"/>
    <s v="Changement de deux roulements 32008"/>
    <d v="2020-10-12T00:00:00"/>
    <m/>
    <n v="3"/>
    <x v="9"/>
    <x v="1"/>
    <m/>
  </r>
  <r>
    <d v="2020-10-12T00:00:00"/>
    <x v="4"/>
    <x v="0"/>
    <x v="4"/>
    <m/>
    <m/>
    <s v="Bloc de soudure"/>
    <s v="Axe plongeur flechi"/>
    <s v="Réparation"/>
    <s v="Changement de l'axe plongeur endommagé"/>
    <d v="2020-10-12T00:00:00"/>
    <m/>
    <n v="30"/>
    <x v="9"/>
    <x v="1"/>
    <m/>
  </r>
  <r>
    <d v="2020-10-13T00:00:00"/>
    <x v="3"/>
    <x v="1"/>
    <x v="3"/>
    <m/>
    <m/>
    <s v="Cercleuse 07"/>
    <s v="Fuite d'huile"/>
    <s v="Réparation"/>
    <s v="Changement de l'arret d'huile endommagée"/>
    <d v="2020-10-13T00:00:00"/>
    <m/>
    <n v="20"/>
    <x v="9"/>
    <x v="1"/>
    <m/>
  </r>
  <r>
    <d v="2020-10-13T00:00:00"/>
    <x v="3"/>
    <x v="1"/>
    <x v="3"/>
    <m/>
    <m/>
    <s v="Tiroir"/>
    <s v="Grille du tiroir usée"/>
    <s v="Réparation"/>
    <s v="Changement de la grille du tioroir"/>
    <d v="2020-10-13T00:00:00"/>
    <m/>
    <n v="1"/>
    <x v="9"/>
    <x v="1"/>
    <m/>
  </r>
  <r>
    <d v="2020-10-13T00:00:00"/>
    <x v="24"/>
    <x v="4"/>
    <x v="24"/>
    <m/>
    <m/>
    <s v="Alimentation générale"/>
    <s v="Chariot collecteur usé"/>
    <s v="Réparation"/>
    <s v="Changement du chariot collecteur endommagé"/>
    <d v="2020-10-13T00:00:00"/>
    <m/>
    <n v="1"/>
    <x v="9"/>
    <x v="1"/>
    <m/>
  </r>
  <r>
    <d v="2020-10-14T00:00:00"/>
    <x v="2"/>
    <x v="1"/>
    <x v="2"/>
    <m/>
    <m/>
    <s v="Transbordeur"/>
    <s v="Cable antigiratoire endommagé"/>
    <s v="Réparation"/>
    <s v="Changement du cable antigiratoire d6"/>
    <d v="2020-10-14T00:00:00"/>
    <m/>
    <n v="1"/>
    <x v="9"/>
    <x v="1"/>
    <m/>
  </r>
  <r>
    <d v="2020-10-14T00:00:00"/>
    <x v="5"/>
    <x v="2"/>
    <x v="5"/>
    <m/>
    <m/>
    <s v="Ciment"/>
    <s v="Blocage de la porte de la bouche"/>
    <s v="Réparation"/>
    <s v="Réglage du capteur de position"/>
    <d v="2020-10-14T00:00:00"/>
    <m/>
    <n v="20"/>
    <x v="9"/>
    <x v="1"/>
    <m/>
  </r>
  <r>
    <d v="2020-10-14T00:00:00"/>
    <x v="16"/>
    <x v="0"/>
    <x v="16"/>
    <m/>
    <m/>
    <s v="Redresseur"/>
    <s v="Commutateur usé"/>
    <s v="Réparation"/>
    <s v="Changement du commutateur endommagé"/>
    <d v="2020-10-14T00:00:00"/>
    <m/>
    <n v="15"/>
    <x v="9"/>
    <x v="1"/>
    <m/>
  </r>
  <r>
    <d v="2020-10-16T00:00:00"/>
    <x v="3"/>
    <x v="1"/>
    <x v="3"/>
    <m/>
    <m/>
    <s v="Convoyeur à palette"/>
    <s v="Rouleaux usés"/>
    <s v="Réparation"/>
    <s v="Changement de trois rouleaux + changement de la chaine de transmission"/>
    <d v="2020-10-16T00:00:00"/>
    <m/>
    <n v="30"/>
    <x v="9"/>
    <x v="1"/>
    <m/>
  </r>
  <r>
    <d v="2020-10-16T00:00:00"/>
    <x v="3"/>
    <x v="1"/>
    <x v="3"/>
    <m/>
    <m/>
    <s v="Transbordeur"/>
    <s v="Cable endommagé"/>
    <s v="Réparation"/>
    <s v="Changement du cable endommagé"/>
    <d v="2020-10-16T00:00:00"/>
    <m/>
    <n v="1"/>
    <x v="9"/>
    <x v="1"/>
    <m/>
  </r>
  <r>
    <d v="2020-10-16T00:00:00"/>
    <x v="0"/>
    <x v="0"/>
    <x v="0"/>
    <m/>
    <m/>
    <s v="Bloc de soudure"/>
    <s v="Fixation de la presse de soudage foirée"/>
    <s v="Réparation"/>
    <s v="Réparation du support de fixation"/>
    <d v="2020-10-16T00:00:00"/>
    <m/>
    <n v="40"/>
    <x v="9"/>
    <x v="1"/>
    <m/>
  </r>
  <r>
    <d v="2020-10-17T00:00:00"/>
    <x v="3"/>
    <x v="1"/>
    <x v="3"/>
    <m/>
    <m/>
    <s v="Cercleuse 06"/>
    <s v="Blocage au niveau du circuit du feuillard"/>
    <s v="Réparation"/>
    <s v="Nettoyage du circuit et mise en marche"/>
    <d v="2020-10-17T00:00:00"/>
    <m/>
    <n v="1"/>
    <x v="9"/>
    <x v="1"/>
    <m/>
  </r>
  <r>
    <d v="2020-10-17T00:00:00"/>
    <x v="1"/>
    <x v="0"/>
    <x v="1"/>
    <m/>
    <m/>
    <s v="Cabestan"/>
    <s v="Surface du cabestan usée"/>
    <s v="Réparation"/>
    <s v="Démontage du cabestan et chargement de surface"/>
    <d v="2020-10-17T00:00:00"/>
    <m/>
    <s v="3j"/>
    <x v="9"/>
    <x v="1"/>
    <m/>
  </r>
  <r>
    <d v="2020-10-19T00:00:00"/>
    <x v="3"/>
    <x v="1"/>
    <x v="3"/>
    <m/>
    <m/>
    <s v="Silo 4"/>
    <s v="Blocage au niveau de la vis à ciment"/>
    <s v="Réparation"/>
    <s v="Changement du réducteur endommagé"/>
    <d v="2020-10-19T00:00:00"/>
    <m/>
    <n v="2"/>
    <x v="9"/>
    <x v="1"/>
    <m/>
  </r>
  <r>
    <d v="2020-10-19T00:00:00"/>
    <x v="20"/>
    <x v="0"/>
    <x v="20"/>
    <m/>
    <m/>
    <s v="Cassette 3,8"/>
    <s v="Galet lisse usé"/>
    <s v="Réparation"/>
    <s v="Changement du galet endommagé"/>
    <d v="2020-10-19T00:00:00"/>
    <m/>
    <n v="30"/>
    <x v="9"/>
    <x v="1"/>
    <m/>
  </r>
  <r>
    <d v="2020-10-20T00:00:00"/>
    <x v="2"/>
    <x v="1"/>
    <x v="2"/>
    <m/>
    <m/>
    <s v="Malaxeur"/>
    <s v="Chute de pression (crépine endomagée"/>
    <s v="Réparation"/>
    <s v="Changement de la crépine endommagée"/>
    <d v="2020-10-20T00:00:00"/>
    <m/>
    <n v="20"/>
    <x v="9"/>
    <x v="1"/>
    <m/>
  </r>
  <r>
    <d v="2020-10-20T00:00:00"/>
    <x v="3"/>
    <x v="1"/>
    <x v="3"/>
    <m/>
    <m/>
    <s v="Pince"/>
    <s v="Cable de détecteur endommagée "/>
    <s v="Réparation"/>
    <s v="Changement du cable endommagé"/>
    <d v="2020-10-20T00:00:00"/>
    <m/>
    <n v="30"/>
    <x v="9"/>
    <x v="1"/>
    <m/>
  </r>
  <r>
    <d v="2020-10-21T00:00:00"/>
    <x v="2"/>
    <x v="1"/>
    <x v="2"/>
    <m/>
    <m/>
    <s v="Convoyeur planche"/>
    <s v="Chaine de transmission endommagée"/>
    <s v="Réparation"/>
    <s v="Changement de la chaine endommagée"/>
    <d v="2020-10-21T00:00:00"/>
    <m/>
    <n v="20"/>
    <x v="9"/>
    <x v="1"/>
    <m/>
  </r>
  <r>
    <d v="2020-10-21T00:00:00"/>
    <x v="20"/>
    <x v="0"/>
    <x v="20"/>
    <m/>
    <m/>
    <s v="Cassette 3,2"/>
    <s v="Roulements Endommagés"/>
    <s v="Réparation"/>
    <s v="Changement de 4 roulements 32008"/>
    <d v="2020-10-21T00:00:00"/>
    <m/>
    <n v="2"/>
    <x v="9"/>
    <x v="1"/>
    <m/>
  </r>
  <r>
    <d v="2020-10-22T00:00:00"/>
    <x v="3"/>
    <x v="1"/>
    <x v="3"/>
    <m/>
    <m/>
    <s v="Tiroir"/>
    <s v="Chute de pression"/>
    <s v="Réparation"/>
    <s v="Changement du vérin ( fuite interne coupelles endommagée)"/>
    <d v="2020-10-22T00:00:00"/>
    <m/>
    <n v="45"/>
    <x v="9"/>
    <x v="1"/>
    <m/>
  </r>
  <r>
    <d v="2020-10-22T00:00:00"/>
    <x v="3"/>
    <x v="1"/>
    <x v="3"/>
    <m/>
    <m/>
    <s v="Silo 4"/>
    <s v="Pb sur réducteur"/>
    <s v="Réparation"/>
    <s v="Changement de deux roulements 6206 et 2 arrêt d'huile 45-68-10"/>
    <d v="2020-10-22T00:00:00"/>
    <m/>
    <n v="40"/>
    <x v="9"/>
    <x v="1"/>
    <m/>
  </r>
  <r>
    <d v="2020-10-23T00:00:00"/>
    <x v="20"/>
    <x v="0"/>
    <x v="20"/>
    <m/>
    <m/>
    <s v="Cassette 4,80"/>
    <s v="Galets usés"/>
    <s v="Réparation"/>
    <s v="Changement d'un galet + zoomage"/>
    <d v="2020-10-23T00:00:00"/>
    <m/>
    <n v="1"/>
    <x v="9"/>
    <x v="1"/>
    <m/>
  </r>
  <r>
    <d v="2020-10-24T00:00:00"/>
    <x v="3"/>
    <x v="1"/>
    <x v="3"/>
    <m/>
    <m/>
    <s v="Cercleuse 06"/>
    <s v="Galet bloqué"/>
    <s v="Réparation"/>
    <s v="Changement d'un roulement 16012"/>
    <d v="2020-10-24T00:00:00"/>
    <m/>
    <n v="30"/>
    <x v="9"/>
    <x v="1"/>
    <m/>
  </r>
  <r>
    <d v="2020-10-24T00:00:00"/>
    <x v="1"/>
    <x v="0"/>
    <x v="1"/>
    <m/>
    <m/>
    <s v="Cercleuse"/>
    <s v="Goupille endommagée"/>
    <s v="Réparation"/>
    <s v="Changement des goupilles endommagées"/>
    <d v="2020-10-24T00:00:00"/>
    <m/>
    <n v="30"/>
    <x v="9"/>
    <x v="1"/>
    <m/>
  </r>
  <r>
    <d v="2020-10-24T00:00:00"/>
    <x v="25"/>
    <x v="0"/>
    <x v="25"/>
    <m/>
    <m/>
    <s v="Cisaille"/>
    <s v="Support de couteau cassé"/>
    <s v="Réparation"/>
    <s v="Soudage de la patie cassée"/>
    <d v="2020-10-24T00:00:00"/>
    <m/>
    <n v="2"/>
    <x v="9"/>
    <x v="1"/>
    <m/>
  </r>
  <r>
    <d v="2020-10-26T00:00:00"/>
    <x v="4"/>
    <x v="0"/>
    <x v="4"/>
    <m/>
    <m/>
    <s v="Empileur"/>
    <s v="Fuite interne au niveau du distributeur d'air"/>
    <s v="Réparation"/>
    <s v="Changement des joints toriques usés"/>
    <d v="2020-10-26T00:00:00"/>
    <m/>
    <n v="30"/>
    <x v="9"/>
    <x v="1"/>
    <m/>
  </r>
  <r>
    <d v="2020-10-29T00:00:00"/>
    <x v="3"/>
    <x v="1"/>
    <x v="3"/>
    <m/>
    <m/>
    <s v="Malaxeur"/>
    <s v="Chute de pression Alimention en eau"/>
    <s v="Réparation"/>
    <s v="Changment d'un ballon de surpression"/>
    <d v="2020-10-29T00:00:00"/>
    <m/>
    <n v="1"/>
    <x v="9"/>
    <x v="1"/>
    <m/>
  </r>
  <r>
    <d v="2020-11-01T00:00:00"/>
    <x v="4"/>
    <x v="0"/>
    <x v="4"/>
    <m/>
    <m/>
    <s v="Système d'avancement"/>
    <s v="Rouleaux usé"/>
    <s v="Réparation"/>
    <s v="Changement de deux galets de tirage"/>
    <d v="2020-11-01T00:00:00"/>
    <m/>
    <n v="2"/>
    <x v="10"/>
    <x v="1"/>
    <m/>
  </r>
  <r>
    <d v="2020-11-01T00:00:00"/>
    <x v="10"/>
    <x v="0"/>
    <x v="10"/>
    <m/>
    <m/>
    <s v="Cassette PR9"/>
    <s v="Usure des roulements"/>
    <s v="Réparation"/>
    <s v="Changements des roulements endommagés"/>
    <d v="2020-11-01T00:00:00"/>
    <m/>
    <n v="2"/>
    <x v="10"/>
    <x v="1"/>
    <m/>
  </r>
  <r>
    <d v="2020-11-02T00:00:00"/>
    <x v="17"/>
    <x v="0"/>
    <x v="17"/>
    <m/>
    <m/>
    <s v="Cisaille"/>
    <s v="Contacteur coincé"/>
    <s v="Réparation"/>
    <s v="Décoincement du contacteur"/>
    <d v="2020-11-02T00:00:00"/>
    <m/>
    <n v="1"/>
    <x v="10"/>
    <x v="1"/>
    <m/>
  </r>
  <r>
    <d v="2020-11-03T00:00:00"/>
    <x v="1"/>
    <x v="0"/>
    <x v="1"/>
    <m/>
    <m/>
    <s v="Poste de soudage"/>
    <s v="Disjoncteur HS"/>
    <s v="Réparation"/>
    <s v="Changement du disjoncteur endommagé"/>
    <d v="2020-11-03T00:00:00"/>
    <m/>
    <n v="1"/>
    <x v="10"/>
    <x v="1"/>
    <m/>
  </r>
  <r>
    <d v="2020-11-04T00:00:00"/>
    <x v="1"/>
    <x v="0"/>
    <x v="1"/>
    <m/>
    <m/>
    <s v="Guide fil"/>
    <s v="Usure des roulements"/>
    <s v="Réparation"/>
    <s v="Changement de deux roulements sur galets guide fil"/>
    <d v="2020-11-04T00:00:00"/>
    <m/>
    <n v="2"/>
    <x v="10"/>
    <x v="1"/>
    <m/>
  </r>
  <r>
    <d v="2020-11-04T00:00:00"/>
    <x v="2"/>
    <x v="1"/>
    <x v="2"/>
    <m/>
    <m/>
    <s v="Système de coloration"/>
    <s v="Blocage de la vis du système de coloration"/>
    <s v="Réparation"/>
    <s v="Réparation chez tourneur"/>
    <d v="2020-11-04T00:00:00"/>
    <m/>
    <n v="1"/>
    <x v="10"/>
    <x v="1"/>
    <m/>
  </r>
  <r>
    <d v="2020-11-05T00:00:00"/>
    <x v="1"/>
    <x v="0"/>
    <x v="1"/>
    <m/>
    <m/>
    <s v="Danseur n3"/>
    <s v="Roulements usés"/>
    <s v="Réparation"/>
    <s v="Changement des roulements usés"/>
    <d v="2020-11-05T00:00:00"/>
    <m/>
    <n v="1"/>
    <x v="10"/>
    <x v="1"/>
    <m/>
  </r>
  <r>
    <d v="2020-11-06T00:00:00"/>
    <x v="20"/>
    <x v="0"/>
    <x v="20"/>
    <m/>
    <m/>
    <s v="Circuit de refroidissement"/>
    <s v="Circuit bouché"/>
    <s v="Réparation"/>
    <s v="Débouchage du circuit et purge de la pompe"/>
    <d v="2020-11-06T00:00:00"/>
    <m/>
    <n v="1"/>
    <x v="10"/>
    <x v="1"/>
    <m/>
  </r>
  <r>
    <d v="2020-11-06T00:00:00"/>
    <x v="10"/>
    <x v="0"/>
    <x v="10"/>
    <m/>
    <m/>
    <s v="Cercleuse "/>
    <s v="Goupille endommagée"/>
    <s v="Réparation"/>
    <s v="Changement de la goupille endommagée"/>
    <d v="2020-11-06T00:00:00"/>
    <m/>
    <n v="1"/>
    <x v="10"/>
    <x v="1"/>
    <m/>
  </r>
  <r>
    <d v="2020-11-06T00:00:00"/>
    <x v="13"/>
    <x v="0"/>
    <x v="13"/>
    <m/>
    <m/>
    <s v="Guide fil"/>
    <s v="Guide fil endommagé"/>
    <s v="Réparation"/>
    <s v="Dressage et soudage "/>
    <d v="2020-11-06T00:00:00"/>
    <m/>
    <n v="1"/>
    <x v="10"/>
    <x v="1"/>
    <m/>
  </r>
  <r>
    <d v="2020-11-07T00:00:00"/>
    <x v="4"/>
    <x v="0"/>
    <x v="4"/>
    <m/>
    <m/>
    <s v="Circuit de refroidissement"/>
    <s v="motocompresseur endommagé"/>
    <s v="Réparation"/>
    <s v="Rebobinage chez CEDP"/>
    <d v="2020-11-07T00:00:00"/>
    <s v="Attente de recpetion du deuxième motocompresseur (cystech)"/>
    <n v="45"/>
    <x v="10"/>
    <x v="1"/>
    <m/>
  </r>
  <r>
    <d v="2020-11-07T00:00:00"/>
    <x v="3"/>
    <x v="1"/>
    <x v="3"/>
    <m/>
    <m/>
    <s v="Convoyeur béton"/>
    <s v="le convoyeur patine"/>
    <s v="Réparation"/>
    <s v="En cours de décision pour Intervention Afric Roulement "/>
    <d v="2020-11-07T00:00:00"/>
    <m/>
    <n v="30"/>
    <x v="10"/>
    <x v="1"/>
    <m/>
  </r>
  <r>
    <d v="2020-11-07T00:00:00"/>
    <x v="2"/>
    <x v="1"/>
    <x v="2"/>
    <m/>
    <m/>
    <s v="Transbordeur"/>
    <s v="Moteur lateral HS"/>
    <s v="Réparation"/>
    <s v="Rebobinage chez CEDP"/>
    <d v="2020-11-07T00:00:00"/>
    <m/>
    <n v="20"/>
    <x v="10"/>
    <x v="1"/>
    <m/>
  </r>
  <r>
    <d v="2020-11-07T00:00:00"/>
    <x v="2"/>
    <x v="1"/>
    <x v="2"/>
    <m/>
    <m/>
    <s v="Table vibrante "/>
    <s v="Décalage de la table vibrante "/>
    <s v="Réparation"/>
    <s v="Calage de la table vibrante"/>
    <d v="2020-11-07T00:00:00"/>
    <m/>
    <n v="1"/>
    <x v="10"/>
    <x v="1"/>
    <m/>
  </r>
  <r>
    <d v="2020-11-08T00:00:00"/>
    <x v="20"/>
    <x v="0"/>
    <x v="20"/>
    <m/>
    <m/>
    <s v="Cabestan"/>
    <s v="usure de surface "/>
    <s v="Réparation"/>
    <s v="Chargement de surface à la soudure"/>
    <d v="2020-11-08T00:00:00"/>
    <m/>
    <n v="5"/>
    <x v="10"/>
    <x v="1"/>
    <m/>
  </r>
  <r>
    <d v="2020-11-08T00:00:00"/>
    <x v="3"/>
    <x v="1"/>
    <x v="3"/>
    <m/>
    <m/>
    <s v="Tremie n2"/>
    <s v="Moteur HS"/>
    <s v="Réparation"/>
    <s v="Rebobinage chez CEDP"/>
    <d v="2020-11-08T00:00:00"/>
    <m/>
    <n v="15"/>
    <x v="10"/>
    <x v="1"/>
    <m/>
  </r>
  <r>
    <d v="2020-11-09T00:00:00"/>
    <x v="2"/>
    <x v="1"/>
    <x v="2"/>
    <m/>
    <m/>
    <s v="PInce"/>
    <s v="Cable electrique endommagé"/>
    <s v="Réparation"/>
    <s v="Changement des parties de cable endommagé"/>
    <d v="2020-11-09T00:00:00"/>
    <m/>
    <n v="4"/>
    <x v="10"/>
    <x v="1"/>
    <m/>
  </r>
  <r>
    <d v="2020-11-10T00:00:00"/>
    <x v="2"/>
    <x v="1"/>
    <x v="2"/>
    <m/>
    <m/>
    <s v="Tiroir d'agitation"/>
    <s v="Pignon endommagée"/>
    <s v="Réparation"/>
    <s v="Changement de pignon et de la clavette du reducteur "/>
    <d v="2020-11-10T00:00:00"/>
    <m/>
    <n v="1"/>
    <x v="10"/>
    <x v="1"/>
    <m/>
  </r>
  <r>
    <d v="2020-11-10T00:00:00"/>
    <x v="2"/>
    <x v="1"/>
    <x v="2"/>
    <m/>
    <m/>
    <s v="Transbordeur"/>
    <s v="rupture des boulons "/>
    <s v="Réparation"/>
    <s v="Renforcement par soudage de la partie endommagée"/>
    <d v="2020-11-10T00:00:00"/>
    <m/>
    <n v="1"/>
    <x v="10"/>
    <x v="1"/>
    <m/>
  </r>
  <r>
    <d v="2020-11-10T00:00:00"/>
    <x v="20"/>
    <x v="0"/>
    <x v="20"/>
    <m/>
    <m/>
    <s v="Cassette PR7"/>
    <s v="Roulements usés"/>
    <s v="Réparation"/>
    <s v="Changements des roulements et zoomage des galets"/>
    <d v="2020-11-10T00:00:00"/>
    <m/>
    <n v="4"/>
    <x v="10"/>
    <x v="1"/>
    <m/>
  </r>
  <r>
    <d v="2020-11-11T00:00:00"/>
    <x v="3"/>
    <x v="1"/>
    <x v="3"/>
    <m/>
    <m/>
    <s v="Transbordeur"/>
    <s v="Cables d'alimentation usés"/>
    <s v="Dépannage"/>
    <s v="Dépannage en attendant reception des chariots porte cable "/>
    <d v="2020-11-11T00:00:00"/>
    <m/>
    <n v="1"/>
    <x v="10"/>
    <x v="1"/>
    <m/>
  </r>
  <r>
    <d v="2020-11-11T00:00:00"/>
    <x v="10"/>
    <x v="0"/>
    <x v="10"/>
    <m/>
    <m/>
    <s v="Guide fil"/>
    <s v="poulie bloquée"/>
    <s v="Réparation"/>
    <s v="Changement des roulements enommagés"/>
    <d v="2020-11-11T00:00:00"/>
    <m/>
    <n v="1"/>
    <x v="10"/>
    <x v="1"/>
    <m/>
  </r>
  <r>
    <d v="2020-11-13T00:00:00"/>
    <x v="1"/>
    <x v="0"/>
    <x v="1"/>
    <m/>
    <m/>
    <s v="Cassette d3,8"/>
    <s v="Fuite d'eau "/>
    <s v="Réparation"/>
    <s v="Chnagement d'un flexible endommagé"/>
    <d v="2020-11-13T00:00:00"/>
    <m/>
    <n v="15"/>
    <x v="10"/>
    <x v="1"/>
    <m/>
  </r>
  <r>
    <d v="2020-11-14T00:00:00"/>
    <x v="2"/>
    <x v="1"/>
    <x v="2"/>
    <m/>
    <m/>
    <s v="Compresseur GA37"/>
    <s v="Fuite d'huile au niveau du compresseur"/>
    <s v="Réparation"/>
    <s v="Devis en cours de validation"/>
    <d v="2020-11-14T00:00:00"/>
    <m/>
    <n v="1"/>
    <x v="10"/>
    <x v="1"/>
    <m/>
  </r>
  <r>
    <d v="2020-11-15T00:00:00"/>
    <x v="2"/>
    <x v="1"/>
    <x v="2"/>
    <m/>
    <m/>
    <s v="Table vibrante"/>
    <s v="Rupture de la courroie 2800"/>
    <s v="Réparation"/>
    <s v="Changement de la courroie "/>
    <d v="2020-11-15T00:00:00"/>
    <s v="Rapport d'incident envoyé a poyatos (en attente de réponse)"/>
    <n v="2"/>
    <x v="10"/>
    <x v="1"/>
    <m/>
  </r>
  <r>
    <d v="2020-11-16T00:00:00"/>
    <x v="4"/>
    <x v="0"/>
    <x v="4"/>
    <m/>
    <m/>
    <s v="Rouleau d'avancement"/>
    <s v="Rouleau bloqué"/>
    <s v="Réparation"/>
    <s v="Changement des roulements endommagés"/>
    <d v="2020-11-16T00:00:00"/>
    <m/>
    <n v="1"/>
    <x v="10"/>
    <x v="1"/>
    <m/>
  </r>
  <r>
    <d v="2020-11-16T00:00:00"/>
    <x v="4"/>
    <x v="0"/>
    <x v="4"/>
    <m/>
    <m/>
    <s v="Ridelles"/>
    <s v="Panne de ridelle d'empileur"/>
    <s v="Réparation"/>
    <s v="Soudage de la partie endommagée"/>
    <d v="2020-11-16T00:00:00"/>
    <m/>
    <n v="1"/>
    <x v="10"/>
    <x v="1"/>
    <m/>
  </r>
  <r>
    <d v="2020-11-17T00:00:00"/>
    <x v="2"/>
    <x v="1"/>
    <x v="2"/>
    <m/>
    <m/>
    <s v="Table vibrante"/>
    <s v="Rupture de la courroie 2800"/>
    <s v="Réparation"/>
    <s v="Changement de la courroie et revision des poulies"/>
    <d v="2020-11-17T00:00:00"/>
    <m/>
    <n v="1"/>
    <x v="10"/>
    <x v="1"/>
    <m/>
  </r>
  <r>
    <d v="2020-11-20T00:00:00"/>
    <x v="3"/>
    <x v="1"/>
    <x v="3"/>
    <m/>
    <m/>
    <s v="Cercleuse 08"/>
    <s v="Lame de soudure usée"/>
    <s v="Réparation"/>
    <s v="Changement de la lame de soudure"/>
    <d v="2020-11-20T00:00:00"/>
    <m/>
    <n v="1"/>
    <x v="10"/>
    <x v="1"/>
    <m/>
  </r>
  <r>
    <d v="2020-11-20T00:00:00"/>
    <x v="4"/>
    <x v="0"/>
    <x v="4"/>
    <m/>
    <m/>
    <s v="Devidoir"/>
    <s v="Distributeur colmaté"/>
    <s v="Réparation"/>
    <s v="Démontage  nettoyage et elimination des morceaux de calcairea"/>
    <d v="2020-11-20T00:00:00"/>
    <m/>
    <n v="2"/>
    <x v="10"/>
    <x v="1"/>
    <m/>
  </r>
  <r>
    <d v="2020-11-21T00:00:00"/>
    <x v="28"/>
    <x v="0"/>
    <x v="28"/>
    <m/>
    <m/>
    <s v="Moteur principal"/>
    <s v="Fuite d'huile"/>
    <s v="Réparation"/>
    <s v="Changement de l'arret d'huile endommagée"/>
    <d v="2020-11-21T00:00:00"/>
    <m/>
    <n v="2"/>
    <x v="10"/>
    <x v="1"/>
    <m/>
  </r>
  <r>
    <d v="2020-11-21T00:00:00"/>
    <x v="11"/>
    <x v="0"/>
    <x v="11"/>
    <m/>
    <m/>
    <s v="Alimentation générale"/>
    <s v="Pb de démarrage de la machine"/>
    <s v="Réparation"/>
    <s v="Changement d'un disjoncteur endommagé"/>
    <d v="2020-11-21T00:00:00"/>
    <m/>
    <n v="1"/>
    <x v="10"/>
    <x v="1"/>
    <m/>
  </r>
  <r>
    <d v="2020-11-22T00:00:00"/>
    <x v="10"/>
    <x v="0"/>
    <x v="10"/>
    <m/>
    <m/>
    <s v="Cassette PR8"/>
    <s v="Entretien"/>
    <s v="Réparation"/>
    <s v="Verification des roulement et zoomage des galets"/>
    <d v="2020-11-22T00:00:00"/>
    <m/>
    <n v="3"/>
    <x v="10"/>
    <x v="1"/>
    <m/>
  </r>
  <r>
    <d v="2020-11-22T00:00:00"/>
    <x v="10"/>
    <x v="0"/>
    <x v="10"/>
    <m/>
    <m/>
    <s v="Poste de soudage"/>
    <s v="Pierre meuleuse usée"/>
    <s v="Réparation"/>
    <s v="Changement de la pierre meuleuse"/>
    <d v="2020-11-22T00:00:00"/>
    <m/>
    <n v="15"/>
    <x v="10"/>
    <x v="1"/>
    <m/>
  </r>
  <r>
    <d v="2020-11-22T00:00:00"/>
    <x v="1"/>
    <x v="0"/>
    <x v="1"/>
    <m/>
    <m/>
    <s v="Cassette d4,6"/>
    <s v="Fuite d'eau "/>
    <s v="Réparation"/>
    <s v="Changement d'un flexible d'eau"/>
    <d v="2020-11-22T00:00:00"/>
    <m/>
    <n v="30"/>
    <x v="10"/>
    <x v="1"/>
    <m/>
  </r>
  <r>
    <d v="2020-11-22T00:00:00"/>
    <x v="11"/>
    <x v="0"/>
    <x v="11"/>
    <m/>
    <m/>
    <s v="Cercleuse"/>
    <s v="Circuit d'air bouché"/>
    <s v="Réparation"/>
    <s v="Débouchage du circuit d'air comprimé"/>
    <d v="2020-11-22T00:00:00"/>
    <m/>
    <n v="30"/>
    <x v="10"/>
    <x v="1"/>
    <m/>
  </r>
  <r>
    <d v="2020-11-25T00:00:00"/>
    <x v="2"/>
    <x v="1"/>
    <x v="2"/>
    <m/>
    <m/>
    <s v="Tiroir d'agitation"/>
    <s v="Fuile d'huile"/>
    <s v="Réparation"/>
    <s v="Changement d'un flexible endommagé"/>
    <d v="2020-11-25T00:00:00"/>
    <m/>
    <n v="30"/>
    <x v="10"/>
    <x v="1"/>
    <m/>
  </r>
  <r>
    <d v="2020-11-26T00:00:00"/>
    <x v="2"/>
    <x v="1"/>
    <x v="2"/>
    <m/>
    <m/>
    <s v="Transbordeur"/>
    <s v="Panne variateur"/>
    <s v="Réparation"/>
    <s v="Changement du variteur en attendant la réception d'un variateur neuf de chez POYATOS"/>
    <d v="2020-11-27T00:00:00"/>
    <m/>
    <s v="=SI(ESTVIDE([@[Date"/>
    <x v="10"/>
    <x v="1"/>
    <m/>
  </r>
  <r>
    <d v="2020-11-27T00:00:00"/>
    <x v="1"/>
    <x v="0"/>
    <x v="1"/>
    <m/>
    <m/>
    <s v="Danseur"/>
    <s v="Jeu au niveau du bras de danseur"/>
    <s v="Réparation"/>
    <s v="Soudage du support et changement des roulements"/>
    <d v="2020-11-27T00:00:00"/>
    <m/>
    <n v="1"/>
    <x v="10"/>
    <x v="1"/>
    <m/>
  </r>
  <r>
    <d v="2020-11-27T00:00:00"/>
    <x v="13"/>
    <x v="0"/>
    <x v="13"/>
    <m/>
    <m/>
    <s v="Guide fil"/>
    <s v="Entretiten bloc cisaille"/>
    <s v="Réparation"/>
    <s v="Changement des supports du guide + paliers + vérins + tube guide fil  "/>
    <d v="2020-11-27T00:00:00"/>
    <m/>
    <n v="1"/>
    <x v="10"/>
    <x v="1"/>
    <m/>
  </r>
  <r>
    <d v="2020-11-28T00:00:00"/>
    <x v="1"/>
    <x v="0"/>
    <x v="1"/>
    <m/>
    <m/>
    <s v="Cassette 3,8"/>
    <s v="Roulement endommagé"/>
    <s v="Réparation"/>
    <s v="Changements des roulements + zommage"/>
    <d v="2020-11-28T00:00:00"/>
    <m/>
    <n v="3"/>
    <x v="10"/>
    <x v="1"/>
    <m/>
  </r>
  <r>
    <d v="2020-11-29T00:00:00"/>
    <x v="2"/>
    <x v="1"/>
    <x v="2"/>
    <m/>
    <m/>
    <s v="Table vibrante"/>
    <s v="Entretien général"/>
    <s v="Réparation"/>
    <s v="Changement des roulements axes et poulies usés + Courroies_x000a_Réparation de la grille d'agitation_x000a_Changement des roulements de la pince_x000a_Réparation du mécanisme du magasin de palette"/>
    <d v="2020-11-29T00:00:00"/>
    <m/>
    <n v="2"/>
    <x v="10"/>
    <x v="1"/>
    <m/>
  </r>
  <r>
    <d v="2020-11-30T00:00:00"/>
    <x v="3"/>
    <x v="1"/>
    <x v="3"/>
    <m/>
    <m/>
    <s v="Transbordeur"/>
    <s v="Arbre du réducteur SITI endommagé"/>
    <s v="Réparation"/>
    <s v="Changement du réducteur et mise en marche"/>
    <d v="2020-11-30T00:00:00"/>
    <m/>
    <n v="2"/>
    <x v="10"/>
    <x v="1"/>
    <m/>
  </r>
  <r>
    <d v="2020-12-01T00:00:00"/>
    <x v="10"/>
    <x v="0"/>
    <x v="10"/>
    <m/>
    <m/>
    <s v="Groupe hydraulique"/>
    <s v="niveau d'huile insuffisant"/>
    <s v="Réglage"/>
    <s v="Rajout d'huile hydraulique "/>
    <d v="2020-12-01T00:00:00"/>
    <m/>
    <n v="20"/>
    <x v="11"/>
    <x v="1"/>
    <m/>
  </r>
  <r>
    <d v="2020-12-01T00:00:00"/>
    <x v="1"/>
    <x v="0"/>
    <x v="1"/>
    <m/>
    <m/>
    <s v="Redresseur"/>
    <s v="Jeu sur galets de dressage"/>
    <s v="Réparation"/>
    <s v="Changement de 2 roulement 6206"/>
    <d v="2020-12-01T00:00:00"/>
    <m/>
    <n v="30"/>
    <x v="11"/>
    <x v="1"/>
    <m/>
  </r>
  <r>
    <d v="2020-12-01T00:00:00"/>
    <x v="2"/>
    <x v="1"/>
    <x v="2"/>
    <m/>
    <m/>
    <s v="Automate"/>
    <s v="Carte DO633 endommagée"/>
    <s v="Réparation"/>
    <s v="Changement des cartes endommagées"/>
    <d v="2020-12-01T00:00:00"/>
    <m/>
    <n v="2"/>
    <x v="11"/>
    <x v="1"/>
    <m/>
  </r>
  <r>
    <d v="2020-12-02T00:00:00"/>
    <x v="26"/>
    <x v="0"/>
    <x v="26"/>
    <m/>
    <m/>
    <s v="Empileur"/>
    <s v="Jeu sur galet"/>
    <s v="Réparation"/>
    <s v="Changement de 2 roulement NA4900"/>
    <d v="2020-12-02T00:00:00"/>
    <m/>
    <n v="30"/>
    <x v="11"/>
    <x v="1"/>
    <m/>
  </r>
  <r>
    <d v="2020-12-02T00:00:00"/>
    <x v="2"/>
    <x v="1"/>
    <x v="2"/>
    <m/>
    <m/>
    <s v="Ascensseur"/>
    <s v="Courroies endommagée"/>
    <s v="Réparation"/>
    <s v="Changement de 4 courroies A38"/>
    <d v="2020-12-02T00:00:00"/>
    <m/>
    <n v="30"/>
    <x v="11"/>
    <x v="1"/>
    <m/>
  </r>
  <r>
    <d v="2020-12-02T00:00:00"/>
    <x v="24"/>
    <x v="4"/>
    <x v="24"/>
    <m/>
    <m/>
    <s v="Moteur principal"/>
    <s v="Rotor usé"/>
    <s v="Réparation"/>
    <m/>
    <d v="2020-12-30T00:00:00"/>
    <s v="Moteur en garantie ( en cours de négoiation )"/>
    <m/>
    <x v="11"/>
    <x v="1"/>
    <m/>
  </r>
  <r>
    <d v="2020-12-05T00:00:00"/>
    <x v="10"/>
    <x v="0"/>
    <x v="10"/>
    <m/>
    <m/>
    <s v="Cassette pr8"/>
    <s v="Roulements Endommagés"/>
    <s v="Réparation"/>
    <s v="Changement de deux roulements 32008"/>
    <d v="2020-12-05T00:00:00"/>
    <m/>
    <n v="1"/>
    <x v="11"/>
    <x v="1"/>
    <m/>
  </r>
  <r>
    <d v="2020-12-05T00:00:00"/>
    <x v="2"/>
    <x v="1"/>
    <x v="2"/>
    <m/>
    <m/>
    <s v="Groupe hydraulique"/>
    <s v="Niveau d'huile insuffisant"/>
    <s v="Réparation"/>
    <s v="Rajout d'huile hydraulique "/>
    <d v="2020-12-05T00:00:00"/>
    <m/>
    <n v="10"/>
    <x v="11"/>
    <x v="1"/>
    <m/>
  </r>
  <r>
    <d v="2020-12-05T00:00:00"/>
    <x v="3"/>
    <x v="1"/>
    <x v="3"/>
    <m/>
    <m/>
    <s v="Convoyeur (??)"/>
    <s v="Courroies usés"/>
    <s v="Réparation"/>
    <s v="Changement de 4 courroies A58"/>
    <d v="2020-12-05T00:00:00"/>
    <m/>
    <n v="30"/>
    <x v="11"/>
    <x v="1"/>
    <m/>
  </r>
  <r>
    <d v="2020-12-05T00:00:00"/>
    <x v="3"/>
    <x v="1"/>
    <x v="3"/>
    <m/>
    <m/>
    <s v="Moule"/>
    <s v="Fuite d'air (vessie endommagée)"/>
    <s v="Réparation"/>
    <s v="Changement d'une vessie pneumatique"/>
    <d v="2020-12-05T00:00:00"/>
    <m/>
    <n v="30"/>
    <x v="11"/>
    <x v="1"/>
    <m/>
  </r>
  <r>
    <d v="2020-12-08T00:00:00"/>
    <x v="0"/>
    <x v="0"/>
    <x v="0"/>
    <m/>
    <m/>
    <s v="Lance trame"/>
    <s v="Arbre hexagonale usé"/>
    <s v="Réparation"/>
    <s v="Changement de l'arbre hexagonal confectionné chez Tourneur"/>
    <d v="2020-12-08T00:00:00"/>
    <m/>
    <n v="30"/>
    <x v="11"/>
    <x v="1"/>
    <m/>
  </r>
  <r>
    <d v="2020-12-08T00:00:00"/>
    <x v="16"/>
    <x v="0"/>
    <x v="16"/>
    <m/>
    <m/>
    <s v="Circuit d'air comprimé"/>
    <s v="Fuite d'air"/>
    <s v="Réparation"/>
    <s v="Changement des tuyaux endommagés"/>
    <d v="2020-12-08T00:00:00"/>
    <m/>
    <n v="20"/>
    <x v="11"/>
    <x v="1"/>
    <m/>
  </r>
  <r>
    <d v="2020-12-08T00:00:00"/>
    <x v="1"/>
    <x v="0"/>
    <x v="1"/>
    <m/>
    <m/>
    <s v="Bobinoir"/>
    <s v="Fuite d'huile sur bloc d'entrainement"/>
    <s v="Réparation"/>
    <s v="Changement de l'arrêt d'huile endommagée"/>
    <d v="2020-12-11T00:00:00"/>
    <m/>
    <s v="=SI(ESTVIDE([@[Date"/>
    <x v="11"/>
    <x v="1"/>
    <m/>
  </r>
  <r>
    <d v="2020-12-09T00:00:00"/>
    <x v="7"/>
    <x v="0"/>
    <x v="7"/>
    <m/>
    <m/>
    <s v="Empileur"/>
    <s v="Vérin endommagé"/>
    <s v="Réparation"/>
    <s v="Changement du vérin endommagé"/>
    <d v="2020-12-09T00:00:00"/>
    <m/>
    <n v="45"/>
    <x v="11"/>
    <x v="1"/>
    <m/>
  </r>
  <r>
    <d v="2020-12-09T00:00:00"/>
    <x v="10"/>
    <x v="0"/>
    <x v="10"/>
    <m/>
    <m/>
    <s v="Cercleuse"/>
    <s v="Ressort de rappel endommagé"/>
    <s v="Réparation"/>
    <s v="Changement du ressort endommagé"/>
    <d v="2020-12-09T00:00:00"/>
    <m/>
    <n v="30"/>
    <x v="11"/>
    <x v="1"/>
    <m/>
  </r>
  <r>
    <d v="2020-12-09T00:00:00"/>
    <x v="26"/>
    <x v="0"/>
    <x v="26"/>
    <m/>
    <m/>
    <s v="Groupe hydraulique"/>
    <s v="niveau d'huile insuffisant"/>
    <s v="Réparation"/>
    <s v="Rajout d'huile hydraulique "/>
    <d v="2020-12-09T00:00:00"/>
    <m/>
    <n v="15"/>
    <x v="11"/>
    <x v="1"/>
    <m/>
  </r>
  <r>
    <d v="2020-12-09T00:00:00"/>
    <x v="3"/>
    <x v="1"/>
    <x v="3"/>
    <m/>
    <m/>
    <s v="GA 22"/>
    <s v="Disjoncteur HS"/>
    <s v="Réparation"/>
    <s v="Changement du disjonceteur 80A"/>
    <d v="2020-12-09T00:00:00"/>
    <m/>
    <n v="30"/>
    <x v="11"/>
    <x v="1"/>
    <m/>
  </r>
  <r>
    <d v="2020-12-09T00:00:00"/>
    <x v="3"/>
    <x v="1"/>
    <x v="3"/>
    <m/>
    <m/>
    <s v="Retourneur"/>
    <s v="Fin de course endommagée"/>
    <s v="Réparation"/>
    <s v="Changement du fin de course endommgé"/>
    <d v="2020-12-09T00:00:00"/>
    <m/>
    <n v="30"/>
    <x v="11"/>
    <x v="1"/>
    <m/>
  </r>
  <r>
    <d v="2020-12-10T00:00:00"/>
    <x v="3"/>
    <x v="1"/>
    <x v="3"/>
    <m/>
    <m/>
    <s v="Cercleuse 06"/>
    <s v="Commutateur endommagé"/>
    <s v="Réparation"/>
    <s v="Changement du commutateur 3position"/>
    <d v="2020-12-10T00:00:00"/>
    <m/>
    <n v="30"/>
    <x v="11"/>
    <x v="1"/>
    <m/>
  </r>
  <r>
    <d v="2020-12-11T00:00:00"/>
    <x v="2"/>
    <x v="1"/>
    <x v="2"/>
    <m/>
    <m/>
    <s v="Cercleuse 06"/>
    <s v="Lame de soudure usée"/>
    <s v="Réparation"/>
    <s v="Changement de la alme de soudure + résistance"/>
    <d v="2020-12-11T00:00:00"/>
    <m/>
    <n v="1"/>
    <x v="11"/>
    <x v="1"/>
    <m/>
  </r>
  <r>
    <d v="2020-12-12T00:00:00"/>
    <x v="0"/>
    <x v="0"/>
    <x v="0"/>
    <m/>
    <m/>
    <s v="Empileur"/>
    <s v="Roue d'expulsion endommagée"/>
    <s v="Réparation"/>
    <s v="Changement de la roue endommagée"/>
    <d v="2020-12-12T00:00:00"/>
    <m/>
    <n v="15"/>
    <x v="11"/>
    <x v="1"/>
    <m/>
  </r>
  <r>
    <d v="2020-12-12T00:00:00"/>
    <x v="11"/>
    <x v="0"/>
    <x v="11"/>
    <m/>
    <m/>
    <s v="Cabestan"/>
    <s v="usure de surface "/>
    <s v="Réparation"/>
    <s v="Chargement de surface a la soudure"/>
    <d v="2020-12-12T00:00:00"/>
    <m/>
    <n v="3"/>
    <x v="11"/>
    <x v="1"/>
    <m/>
  </r>
  <r>
    <d v="2020-12-12T00:00:00"/>
    <x v="2"/>
    <x v="1"/>
    <x v="2"/>
    <m/>
    <m/>
    <s v="Pince"/>
    <s v="Fixation des fiches de connexions endommagée "/>
    <s v="Réparation"/>
    <s v="Réajustement et protection du branchement et mise en marche"/>
    <d v="2020-12-12T00:00:00"/>
    <m/>
    <n v="30"/>
    <x v="11"/>
    <x v="1"/>
    <m/>
  </r>
  <r>
    <d v="2020-12-12T00:00:00"/>
    <x v="5"/>
    <x v="2"/>
    <x v="5"/>
    <m/>
    <m/>
    <s v="Eclairage"/>
    <s v="Interupteur endommagé"/>
    <s v="Réparation"/>
    <s v="Changement du commutateur"/>
    <d v="2020-12-12T00:00:00"/>
    <m/>
    <n v="15"/>
    <x v="11"/>
    <x v="1"/>
    <m/>
  </r>
  <r>
    <d v="2020-12-14T00:00:00"/>
    <x v="17"/>
    <x v="0"/>
    <x v="17"/>
    <m/>
    <m/>
    <s v="Redresseur"/>
    <s v="Courroies endommagée"/>
    <s v="Réparation"/>
    <s v="Changement de 4 courroies 1850"/>
    <d v="2020-12-14T00:00:00"/>
    <m/>
    <n v="1"/>
    <x v="11"/>
    <x v="1"/>
    <m/>
  </r>
  <r>
    <d v="2020-12-14T00:00:00"/>
    <x v="37"/>
    <x v="8"/>
    <x v="37"/>
    <m/>
    <m/>
    <s v="GA55"/>
    <s v="Heure vidange atteint"/>
    <s v="Réparation"/>
    <s v="Entretien systèmatique"/>
    <d v="2020-12-14T00:00:00"/>
    <m/>
    <n v="45"/>
    <x v="11"/>
    <x v="1"/>
    <m/>
  </r>
  <r>
    <d v="2020-12-14T00:00:00"/>
    <x v="2"/>
    <x v="1"/>
    <x v="2"/>
    <m/>
    <m/>
    <s v="Pince"/>
    <s v="Cable de détecteur endommagée "/>
    <s v="Réparation"/>
    <s v="Changement du cable "/>
    <d v="2020-12-14T00:00:00"/>
    <m/>
    <n v="30"/>
    <x v="11"/>
    <x v="1"/>
    <m/>
  </r>
  <r>
    <d v="2020-12-15T00:00:00"/>
    <x v="21"/>
    <x v="4"/>
    <x v="21"/>
    <m/>
    <m/>
    <s v="Treuil principal"/>
    <s v="Cable antigiratoire endommagé"/>
    <s v="Réparation"/>
    <s v="Changement du cable endommagé"/>
    <d v="2020-12-15T00:00:00"/>
    <m/>
    <n v="1"/>
    <x v="11"/>
    <x v="1"/>
    <m/>
  </r>
  <r>
    <d v="2020-12-15T00:00:00"/>
    <x v="4"/>
    <x v="0"/>
    <x v="4"/>
    <m/>
    <m/>
    <s v="Alimentation refroidisseur"/>
    <s v="niveau d'huile insuffisant"/>
    <s v="Réparation"/>
    <s v="Changement du cable endommagé"/>
    <d v="2020-12-15T00:00:00"/>
    <m/>
    <n v="3"/>
    <x v="11"/>
    <x v="1"/>
    <m/>
  </r>
  <r>
    <d v="2020-12-15T00:00:00"/>
    <x v="2"/>
    <x v="1"/>
    <x v="2"/>
    <m/>
    <m/>
    <s v="Pilon"/>
    <s v="Détecteur endommagée "/>
    <s v="Réparation"/>
    <s v="Changement du capteur endommagé"/>
    <d v="2020-12-15T00:00:00"/>
    <m/>
    <n v="45"/>
    <x v="11"/>
    <x v="1"/>
    <m/>
  </r>
  <r>
    <d v="2020-12-16T00:00:00"/>
    <x v="10"/>
    <x v="0"/>
    <x v="10"/>
    <m/>
    <m/>
    <s v="Groupe hydraulique"/>
    <s v="niveau d'huile insuffisant"/>
    <s v="Réparation"/>
    <s v="Rajout d'huile hydraulique "/>
    <d v="2020-12-16T00:00:00"/>
    <m/>
    <n v="20"/>
    <x v="11"/>
    <x v="1"/>
    <m/>
  </r>
  <r>
    <d v="2020-12-16T00:00:00"/>
    <x v="2"/>
    <x v="1"/>
    <x v="2"/>
    <m/>
    <m/>
    <s v="Groupe hydraulique"/>
    <s v="niveau d'huile insuffisant"/>
    <s v="Réglage"/>
    <s v="Rajout d'huile hydraulique "/>
    <d v="2020-12-16T00:00:00"/>
    <m/>
    <n v="15"/>
    <x v="11"/>
    <x v="1"/>
    <m/>
  </r>
  <r>
    <d v="2020-12-16T00:00:00"/>
    <x v="2"/>
    <x v="1"/>
    <x v="2"/>
    <m/>
    <m/>
    <s v="Vis à ciment"/>
    <s v="Blocage au niveau du réducteur (pignon endommagé)"/>
    <s v="Réparation"/>
    <s v="Changement du réducteur "/>
    <d v="2020-12-16T00:00:00"/>
    <m/>
    <n v="2"/>
    <x v="11"/>
    <x v="1"/>
    <m/>
  </r>
  <r>
    <d v="2020-12-17T00:00:00"/>
    <x v="3"/>
    <x v="1"/>
    <x v="3"/>
    <m/>
    <m/>
    <s v="Groupe hydraulique"/>
    <s v="Flector d'accouplement endommagée"/>
    <s v="Réparation"/>
    <s v="Changement de l'accouplement ( dépannage en attendant l'arrivée d'un accouplement neuf)"/>
    <d v="2020-12-17T00:00:00"/>
    <m/>
    <n v="1"/>
    <x v="11"/>
    <x v="1"/>
    <m/>
  </r>
  <r>
    <d v="2020-12-19T00:00:00"/>
    <x v="2"/>
    <x v="1"/>
    <x v="2"/>
    <m/>
    <m/>
    <s v="Entretien machine"/>
    <s v="Entretien correctif planifié"/>
    <s v="Réparation"/>
    <s v=" - Elimination des fuites sur le groupe hydraulique_x000a_ - Changement des tôles du malaxeur_x000a_ - Changement de deux Galets de Transbordeur avec axes et pignons_x000a_ - Changement d'un tendeur + roulement des poulies de vibration"/>
    <d v="2020-12-20T00:00:00"/>
    <m/>
    <n v="480"/>
    <x v="11"/>
    <x v="1"/>
    <m/>
  </r>
  <r>
    <d v="2020-12-19T00:00:00"/>
    <x v="26"/>
    <x v="0"/>
    <x v="26"/>
    <m/>
    <m/>
    <s v="Groupe hydraulique"/>
    <s v="Fuite d'huile"/>
    <s v="Réparation"/>
    <s v="Changement d'un flexible endommagé"/>
    <d v="2020-12-19T00:00:00"/>
    <m/>
    <n v="30"/>
    <x v="11"/>
    <x v="1"/>
    <m/>
  </r>
  <r>
    <d v="2020-12-19T00:00:00"/>
    <x v="26"/>
    <x v="0"/>
    <x v="26"/>
    <m/>
    <m/>
    <s v="Refroidisseur"/>
    <s v="Bobine de refroidissement endommagée"/>
    <s v="Réparation"/>
    <s v="Dépannage par union Froid "/>
    <d v="2020-12-19T00:00:00"/>
    <m/>
    <n v="30"/>
    <x v="11"/>
    <x v="1"/>
    <m/>
  </r>
  <r>
    <d v="2020-12-21T00:00:00"/>
    <x v="26"/>
    <x v="0"/>
    <x v="26"/>
    <m/>
    <m/>
    <s v="Refroidisseur"/>
    <s v="Commutateur de démarrage endommagé"/>
    <s v="Réparation"/>
    <s v="Changement du commutateur endommagé"/>
    <d v="2020-12-21T00:00:00"/>
    <m/>
    <n v="20"/>
    <x v="11"/>
    <x v="1"/>
    <m/>
  </r>
  <r>
    <d v="2020-12-21T00:00:00"/>
    <x v="10"/>
    <x v="0"/>
    <x v="10"/>
    <m/>
    <m/>
    <s v="Cerleuse"/>
    <s v="pb sur cisaille"/>
    <s v="Réparation"/>
    <s v="Changement de deux goupilles et d'une bielle de cerclage"/>
    <d v="2020-12-21T00:00:00"/>
    <m/>
    <n v="1"/>
    <x v="11"/>
    <x v="1"/>
    <m/>
  </r>
  <r>
    <d v="2020-12-21T00:00:00"/>
    <x v="34"/>
    <x v="0"/>
    <x v="34"/>
    <m/>
    <m/>
    <s v="Redresseur"/>
    <s v="Redresseur rebagué chez tourneur"/>
    <s v="Réparation"/>
    <s v="Montage du redresseur et mise en marche"/>
    <d v="2020-12-21T00:00:00"/>
    <m/>
    <n v="2"/>
    <x v="11"/>
    <x v="1"/>
    <m/>
  </r>
  <r>
    <d v="2020-12-22T00:00:00"/>
    <x v="18"/>
    <x v="4"/>
    <x v="18"/>
    <m/>
    <m/>
    <s v="Treuil principal"/>
    <s v="Pb de commande de levage"/>
    <s v="Réparation"/>
    <s v="Changement d'un contacteur LC1D18 220V"/>
    <d v="2020-12-22T00:00:00"/>
    <m/>
    <n v="30"/>
    <x v="11"/>
    <x v="1"/>
    <m/>
  </r>
  <r>
    <d v="2020-12-22T00:00:00"/>
    <x v="1"/>
    <x v="0"/>
    <x v="1"/>
    <m/>
    <m/>
    <s v="Cassette d3,8"/>
    <s v="Roulements Endommagés"/>
    <s v="Réparation"/>
    <s v="Chnagement de 2 roulements 32008"/>
    <d v="2020-12-22T00:00:00"/>
    <m/>
    <n v="2"/>
    <x v="11"/>
    <x v="1"/>
    <m/>
  </r>
  <r>
    <d v="2020-12-23T00:00:00"/>
    <x v="3"/>
    <x v="1"/>
    <x v="3"/>
    <m/>
    <m/>
    <s v="Tiroir d'agitation"/>
    <s v="Cable électrique endommagé"/>
    <s v="Réparation"/>
    <s v="Réparation du cable et changement du chariot porte cable"/>
    <d v="2020-12-23T00:00:00"/>
    <m/>
    <n v="30"/>
    <x v="11"/>
    <x v="1"/>
    <m/>
  </r>
  <r>
    <d v="2020-12-23T00:00:00"/>
    <x v="2"/>
    <x v="1"/>
    <x v="2"/>
    <m/>
    <m/>
    <s v="Pilon"/>
    <s v="Capteur de proximité endommagé (mauvaise qualité)"/>
    <s v="Réparation"/>
    <s v="Changement du capteur en attendant arrivé de capteurs de bonne qualité"/>
    <d v="2020-12-23T00:00:00"/>
    <m/>
    <n v="30"/>
    <x v="11"/>
    <x v="1"/>
    <m/>
  </r>
  <r>
    <d v="2020-12-24T00:00:00"/>
    <x v="5"/>
    <x v="2"/>
    <x v="5"/>
    <m/>
    <m/>
    <s v="Vibreur"/>
    <s v="Interupteur endommagé"/>
    <s v="Réparation"/>
    <s v="changement de l'interrupteur endommagé"/>
    <d v="2020-12-24T00:00:00"/>
    <m/>
    <n v="15"/>
    <x v="11"/>
    <x v="1"/>
    <m/>
  </r>
  <r>
    <d v="2020-12-24T00:00:00"/>
    <x v="3"/>
    <x v="1"/>
    <x v="3"/>
    <m/>
    <m/>
    <s v="Tiroir d'agitation"/>
    <s v="Rupture d'une chaine B12"/>
    <s v="Réparation"/>
    <s v="Changement d'une attache B12"/>
    <d v="2020-12-24T00:00:00"/>
    <m/>
    <n v="30"/>
    <x v="11"/>
    <x v="1"/>
    <m/>
  </r>
  <r>
    <d v="2020-12-25T00:00:00"/>
    <x v="5"/>
    <x v="2"/>
    <x v="5"/>
    <m/>
    <m/>
    <s v="Réducteur agitateur"/>
    <s v="Manque d'huile"/>
    <s v="Réparation"/>
    <s v="Rajout d'huile 140"/>
    <d v="2020-12-25T00:00:00"/>
    <m/>
    <n v="20"/>
    <x v="11"/>
    <x v="1"/>
    <m/>
  </r>
  <r>
    <d v="2020-12-25T00:00:00"/>
    <x v="5"/>
    <x v="2"/>
    <x v="5"/>
    <m/>
    <m/>
    <s v="Pince"/>
    <s v="Fuite d'huile"/>
    <s v="Réparation"/>
    <s v="Changement d'un flexible endommagé"/>
    <d v="2020-12-25T00:00:00"/>
    <m/>
    <n v="30"/>
    <x v="11"/>
    <x v="1"/>
    <m/>
  </r>
  <r>
    <d v="2020-12-25T00:00:00"/>
    <x v="2"/>
    <x v="1"/>
    <x v="2"/>
    <m/>
    <m/>
    <s v="GA 37"/>
    <s v="Echauffement anormal du compresseur"/>
    <s v="Réparation"/>
    <s v="Rajout d'huile DTE 26"/>
    <d v="2020-12-25T00:00:00"/>
    <m/>
    <n v="15"/>
    <x v="11"/>
    <x v="1"/>
    <m/>
  </r>
  <r>
    <d v="2020-12-25T00:00:00"/>
    <x v="2"/>
    <x v="1"/>
    <x v="2"/>
    <m/>
    <m/>
    <s v="Convoyeur a béton"/>
    <s v="Courroies usés"/>
    <s v="Réparation"/>
    <s v="Changement de 2 courroies A50"/>
    <d v="2020-12-25T00:00:00"/>
    <m/>
    <n v="35"/>
    <x v="11"/>
    <x v="1"/>
    <m/>
  </r>
  <r>
    <d v="2020-12-26T00:00:00"/>
    <x v="3"/>
    <x v="1"/>
    <x v="3"/>
    <m/>
    <m/>
    <s v="Moule"/>
    <s v="Fuite d'air sur vessies pneumatique"/>
    <s v="Réparation"/>
    <s v="Changement de 2 prises rapides 10x3/8"/>
    <d v="2020-12-26T00:00:00"/>
    <m/>
    <n v="20"/>
    <x v="11"/>
    <x v="1"/>
    <m/>
  </r>
  <r>
    <d v="2020-12-26T00:00:00"/>
    <x v="28"/>
    <x v="0"/>
    <x v="28"/>
    <m/>
    <m/>
    <s v="Groupe hydraulique"/>
    <s v="Pb de commande electrovanne"/>
    <s v="Réparation"/>
    <s v="Elimination d'un court circuit et mise en marche"/>
    <d v="2020-12-26T00:00:00"/>
    <m/>
    <n v="1"/>
    <x v="11"/>
    <x v="1"/>
    <m/>
  </r>
  <r>
    <d v="2020-12-26T00:00:00"/>
    <x v="0"/>
    <x v="0"/>
    <x v="0"/>
    <m/>
    <m/>
    <s v="Système d'avancement"/>
    <s v="Panne variateur "/>
    <s v="Réparation"/>
    <s v="Reboot du sytème - elimination des erreurs et mise en marche"/>
    <d v="2020-12-26T00:00:00"/>
    <m/>
    <n v="1"/>
    <x v="11"/>
    <x v="1"/>
    <m/>
  </r>
  <r>
    <d v="2020-12-26T00:00:00"/>
    <x v="2"/>
    <x v="1"/>
    <x v="2"/>
    <m/>
    <m/>
    <s v="Pilon"/>
    <s v="Fuite d'huile"/>
    <s v="Réparation"/>
    <s v="Changement d'un flexible endommagé"/>
    <d v="2020-12-26T00:00:00"/>
    <m/>
    <n v="20"/>
    <x v="11"/>
    <x v="1"/>
    <m/>
  </r>
  <r>
    <d v="2020-12-28T00:00:00"/>
    <x v="20"/>
    <x v="0"/>
    <x v="20"/>
    <m/>
    <m/>
    <s v="Sauterelle"/>
    <s v="Roulements poulie endommagés"/>
    <s v="Réparation"/>
    <s v="Changement des roulements endommagés"/>
    <d v="2020-12-28T00:00:00"/>
    <m/>
    <n v="1"/>
    <x v="11"/>
    <x v="1"/>
    <m/>
  </r>
  <r>
    <d v="2020-12-28T00:00:00"/>
    <x v="3"/>
    <x v="1"/>
    <x v="3"/>
    <m/>
    <m/>
    <s v="Moule"/>
    <s v="Fuite d'air"/>
    <s v="Réparation"/>
    <s v="Changement de deux raccord pneumatique "/>
    <d v="2020-12-28T00:00:00"/>
    <m/>
    <n v="20"/>
    <x v="11"/>
    <x v="1"/>
    <m/>
  </r>
  <r>
    <d v="2020-12-28T00:00:00"/>
    <x v="2"/>
    <x v="1"/>
    <x v="2"/>
    <m/>
    <m/>
    <s v="Pilon"/>
    <s v="PB de commande du pilon"/>
    <s v="Réparation"/>
    <s v="Changement de deux relais OMRON 24AC"/>
    <d v="2020-12-28T00:00:00"/>
    <m/>
    <n v="15"/>
    <x v="11"/>
    <x v="1"/>
    <m/>
  </r>
  <r>
    <d v="2020-12-28T00:00:00"/>
    <x v="2"/>
    <x v="1"/>
    <x v="2"/>
    <m/>
    <m/>
    <s v="Transbordeur"/>
    <s v="Cable antigiratoire endommagé"/>
    <s v="Réparation"/>
    <s v="Changement du cable D6"/>
    <d v="2020-12-28T00:00:00"/>
    <m/>
    <n v="1"/>
    <x v="11"/>
    <x v="1"/>
    <m/>
  </r>
  <r>
    <d v="2020-12-28T00:00:00"/>
    <x v="13"/>
    <x v="0"/>
    <x v="13"/>
    <m/>
    <m/>
    <s v="Tir fil"/>
    <s v="Galet usé"/>
    <s v="Réparation"/>
    <s v="Chnagement d'un galet d37"/>
    <d v="2020-12-28T00:00:00"/>
    <m/>
    <n v="1"/>
    <x v="11"/>
    <x v="1"/>
    <m/>
  </r>
  <r>
    <d v="2020-12-29T00:00:00"/>
    <x v="2"/>
    <x v="1"/>
    <x v="2"/>
    <m/>
    <m/>
    <s v="Retourneur"/>
    <s v="Capteur de proximité HS"/>
    <s v="Réparation"/>
    <s v="Changement de deux Capteur de proximité"/>
    <d v="2020-12-29T00:00:00"/>
    <m/>
    <n v="20"/>
    <x v="11"/>
    <x v="1"/>
    <m/>
  </r>
  <r>
    <d v="2020-12-29T00:00:00"/>
    <x v="1"/>
    <x v="0"/>
    <x v="1"/>
    <m/>
    <m/>
    <s v="Graisseur"/>
    <s v="Fuite d'huile"/>
    <s v="Réparation"/>
    <s v="Rajout d'huile et changement du filtre"/>
    <d v="2020-12-29T00:00:00"/>
    <m/>
    <n v="20"/>
    <x v="11"/>
    <x v="1"/>
    <m/>
  </r>
  <r>
    <d v="2020-12-29T00:00:00"/>
    <x v="26"/>
    <x v="0"/>
    <x v="26"/>
    <m/>
    <m/>
    <s v="Cisaille"/>
    <s v="Flexible endommagée "/>
    <s v="Réparation"/>
    <s v="Changement d'un flexible 3/4 3/4 "/>
    <d v="2020-12-29T00:00:00"/>
    <m/>
    <n v="30"/>
    <x v="11"/>
    <x v="1"/>
    <m/>
  </r>
  <r>
    <d v="2020-12-29T00:00:00"/>
    <x v="3"/>
    <x v="1"/>
    <x v="3"/>
    <m/>
    <m/>
    <s v="Tiroir d'agitation"/>
    <s v="PB électrique"/>
    <s v="Réparation"/>
    <s v="Changement d'un contacteur LC1D18 24V"/>
    <d v="2020-12-29T00:00:00"/>
    <m/>
    <n v="20"/>
    <x v="11"/>
    <x v="1"/>
    <m/>
  </r>
  <r>
    <d v="2020-12-29T00:00:00"/>
    <x v="6"/>
    <x v="3"/>
    <x v="6"/>
    <m/>
    <m/>
    <s v="Eclairage"/>
    <s v="Projecteurs tout le temps allumés"/>
    <s v="Réparation"/>
    <s v="mise en place de deux detecteurs de lumiere"/>
    <d v="2020-12-29T00:00:00"/>
    <m/>
    <m/>
    <x v="11"/>
    <x v="1"/>
    <m/>
  </r>
  <r>
    <d v="2020-12-30T00:00:00"/>
    <x v="2"/>
    <x v="1"/>
    <x v="2"/>
    <m/>
    <m/>
    <s v="Tiroir d'agitation"/>
    <s v="Galet usé"/>
    <s v="Réparation"/>
    <s v="Changement d'un galet et axe de galet"/>
    <d v="2020-12-30T00:00:00"/>
    <m/>
    <n v="1"/>
    <x v="11"/>
    <x v="1"/>
    <m/>
  </r>
  <r>
    <d v="2020-12-30T00:00:00"/>
    <x v="2"/>
    <x v="1"/>
    <x v="2"/>
    <m/>
    <m/>
    <s v="Malaxeur"/>
    <s v="Fuite d'huile au niveau du réducteur"/>
    <s v="Réparation"/>
    <s v="Changement d'un arrêt d'huile60x85x10 et roulement 16012 (  et entretien du compresseur GA37)"/>
    <d v="2020-12-30T00:00:00"/>
    <m/>
    <n v="6"/>
    <x v="11"/>
    <x v="1"/>
    <m/>
  </r>
  <r>
    <d v="2020-12-30T00:00:00"/>
    <x v="4"/>
    <x v="0"/>
    <x v="4"/>
    <m/>
    <m/>
    <s v="Empileur"/>
    <s v="Dépôt de calcaire dans distributeur"/>
    <s v="Réparation"/>
    <s v="Changement d'un distributeur festo NE 6420"/>
    <d v="2020-12-30T00:00:00"/>
    <m/>
    <n v="1"/>
    <x v="11"/>
    <x v="1"/>
    <m/>
  </r>
  <r>
    <d v="2020-12-31T00:00:00"/>
    <x v="1"/>
    <x v="0"/>
    <x v="1"/>
    <m/>
    <m/>
    <s v="Savonniere"/>
    <s v="Révison générale"/>
    <s v="Réparation"/>
    <s v="Révision générale de la savonniere"/>
    <d v="2020-12-31T00:00:00"/>
    <m/>
    <n v="4"/>
    <x v="11"/>
    <x v="1"/>
    <m/>
  </r>
  <r>
    <d v="2020-12-31T00:00:00"/>
    <x v="4"/>
    <x v="0"/>
    <x v="4"/>
    <m/>
    <m/>
    <s v="Empileur"/>
    <s v="Fuite d'air"/>
    <s v="Réparation"/>
    <s v="Changement d'un raccord coudé 1/4 - 8"/>
    <d v="2020-12-31T00:00:00"/>
    <m/>
    <n v="20"/>
    <x v="11"/>
    <x v="1"/>
    <m/>
  </r>
  <r>
    <d v="2021-01-02T00:00:00"/>
    <x v="20"/>
    <x v="0"/>
    <x v="20"/>
    <m/>
    <s v="préventif"/>
    <s v="Cabestan"/>
    <s v="usure de surface "/>
    <s v="Réparation"/>
    <s v="Chnargement de surface à la soudure"/>
    <d v="2021-01-02T00:00:00"/>
    <m/>
    <n v="180"/>
    <x v="0"/>
    <x v="2"/>
    <m/>
  </r>
  <r>
    <d v="2021-01-02T00:00:00"/>
    <x v="16"/>
    <x v="0"/>
    <x v="16"/>
    <m/>
    <s v="Correctif"/>
    <s v=" Cisaille"/>
    <s v="Support de vérin endommagé"/>
    <s v="Réparation"/>
    <s v="Changement des vis de fixation"/>
    <d v="2021-01-02T00:00:00"/>
    <m/>
    <n v="30"/>
    <x v="0"/>
    <x v="2"/>
    <m/>
  </r>
  <r>
    <d v="2021-01-02T00:00:00"/>
    <x v="16"/>
    <x v="0"/>
    <x v="16"/>
    <m/>
    <s v="préventif"/>
    <s v="Circuit d'air comprimé"/>
    <s v="Fuite d'air"/>
    <s v="Réparation"/>
    <s v="Changement d'un tuyau armé"/>
    <d v="2021-01-02T00:00:00"/>
    <m/>
    <n v="20"/>
    <x v="0"/>
    <x v="2"/>
    <m/>
  </r>
  <r>
    <d v="2021-01-02T00:00:00"/>
    <x v="2"/>
    <x v="1"/>
    <x v="2"/>
    <m/>
    <s v="Correctif"/>
    <s v="Malaxeur"/>
    <s v="Capteur de proximité endommagé"/>
    <s v="Réparation"/>
    <s v="Changement du detecteur"/>
    <d v="2021-01-02T00:00:00"/>
    <m/>
    <n v="45"/>
    <x v="0"/>
    <x v="2"/>
    <m/>
  </r>
  <r>
    <d v="2021-01-03T00:00:00"/>
    <x v="10"/>
    <x v="0"/>
    <x v="10"/>
    <n v="260210"/>
    <m/>
    <s v="panne sur poste de soudage "/>
    <s v="piece moleuse  usé "/>
    <s v="reparation "/>
    <s v="changement piece moleuse "/>
    <d v="2022-01-03T00:00:00"/>
    <m/>
    <n v="30"/>
    <x v="0"/>
    <x v="3"/>
    <m/>
  </r>
  <r>
    <d v="2021-01-04T00:00:00"/>
    <x v="22"/>
    <x v="0"/>
    <x v="22"/>
    <m/>
    <s v="Correctif"/>
    <s v="Embrayage "/>
    <s v="Frein mécanique endommagé"/>
    <s v="Réparation"/>
    <s v="Confection d'un frein d'embrayage"/>
    <d v="2021-01-15T00:00:00"/>
    <s v="Confection en cours"/>
    <n v="5280"/>
    <x v="0"/>
    <x v="2"/>
    <m/>
  </r>
  <r>
    <d v="2021-01-04T00:00:00"/>
    <x v="13"/>
    <x v="0"/>
    <x v="13"/>
    <m/>
    <s v="Correctif"/>
    <s v="Vibreur"/>
    <s v="Disfonctionnement "/>
    <s v="Réparation"/>
    <s v="Débouchage du circuit d'air comprimé"/>
    <d v="2021-01-04T00:00:00"/>
    <m/>
    <n v="30"/>
    <x v="0"/>
    <x v="2"/>
    <m/>
  </r>
  <r>
    <d v="2021-01-04T00:00:00"/>
    <x v="2"/>
    <x v="1"/>
    <x v="2"/>
    <m/>
    <s v="préventif"/>
    <s v="Table vibrante "/>
    <s v="Fuite d'huile sur vérin de vibration"/>
    <s v="Réparation"/>
    <s v="Changement du kit joints CL299"/>
    <d v="2021-01-04T00:00:00"/>
    <m/>
    <n v="180"/>
    <x v="0"/>
    <x v="2"/>
    <m/>
  </r>
  <r>
    <d v="2021-01-04T00:00:00"/>
    <x v="3"/>
    <x v="1"/>
    <x v="3"/>
    <m/>
    <s v="Correctif"/>
    <s v="Convoyeur sortie presse "/>
    <s v="Courroie thermosoudable usée "/>
    <s v="Réparation"/>
    <s v="Changement de la courroie"/>
    <d v="2021-01-04T00:00:00"/>
    <m/>
    <n v="90"/>
    <x v="0"/>
    <x v="2"/>
    <m/>
  </r>
  <r>
    <d v="2021-01-05T00:00:00"/>
    <x v="20"/>
    <x v="0"/>
    <x v="20"/>
    <m/>
    <s v="préventif"/>
    <s v="Cassette 5"/>
    <s v="Fuite d'eau"/>
    <s v="Réparation"/>
    <s v="Changement d'un flexible d'eau "/>
    <d v="2021-01-05T00:00:00"/>
    <m/>
    <n v="60"/>
    <x v="0"/>
    <x v="2"/>
    <m/>
  </r>
  <r>
    <d v="2021-01-05T00:00:00"/>
    <x v="3"/>
    <x v="1"/>
    <x v="3"/>
    <m/>
    <s v="Correctif"/>
    <s v="Tiroir d'agitation"/>
    <s v="Chaine endommagée"/>
    <s v="Réparation"/>
    <s v="Changement de la chaine B12"/>
    <d v="2021-01-05T00:00:00"/>
    <m/>
    <n v="60"/>
    <x v="0"/>
    <x v="2"/>
    <m/>
  </r>
  <r>
    <d v="2021-01-05T00:00:00"/>
    <x v="2"/>
    <x v="1"/>
    <x v="2"/>
    <m/>
    <s v="Correctif"/>
    <s v="Vis à ciment"/>
    <s v="Fuite d'huile au niveau du réducteur"/>
    <s v="Réparation"/>
    <s v="Changement d'un arrêt d'huile 35x62x8 et 2 roulements"/>
    <d v="2021-01-05T00:00:00"/>
    <m/>
    <n v="60"/>
    <x v="0"/>
    <x v="2"/>
    <m/>
  </r>
  <r>
    <d v="2021-01-05T00:00:00"/>
    <x v="2"/>
    <x v="1"/>
    <x v="2"/>
    <m/>
    <s v="préventif"/>
    <s v="Groupe hydraulique"/>
    <s v="Niveau d'huile insuffisant"/>
    <s v="Réparation"/>
    <s v="Rajout d'huile AW68"/>
    <d v="2021-01-05T00:00:00"/>
    <m/>
    <m/>
    <x v="0"/>
    <x v="2"/>
    <m/>
  </r>
  <r>
    <d v="2021-01-06T00:00:00"/>
    <x v="4"/>
    <x v="0"/>
    <x v="4"/>
    <m/>
    <s v="Correctif"/>
    <s v="Empileur"/>
    <s v="Reflecteur endommagé"/>
    <s v="Réparation"/>
    <s v="Changement du reflecteur et mise en marche"/>
    <d v="2021-01-06T00:00:00"/>
    <m/>
    <n v="60"/>
    <x v="0"/>
    <x v="2"/>
    <m/>
  </r>
  <r>
    <d v="2021-01-07T00:00:00"/>
    <x v="16"/>
    <x v="0"/>
    <x v="16"/>
    <m/>
    <s v="Correctif"/>
    <s v="Vérin de cisaille"/>
    <s v="Chute de pression"/>
    <s v="Réparation"/>
    <s v="Changement d'un distributeur 5-1/4"/>
    <d v="2021-01-07T00:00:00"/>
    <m/>
    <n v="30"/>
    <x v="0"/>
    <x v="2"/>
    <m/>
  </r>
  <r>
    <d v="2021-01-07T00:00:00"/>
    <x v="1"/>
    <x v="0"/>
    <x v="1"/>
    <m/>
    <s v="préventif"/>
    <s v="Circuit de graissage"/>
    <s v="Fuite d'huile"/>
    <s v="Réparation"/>
    <s v="Vidange du groupe et changement des filtres A11OC25"/>
    <d v="2021-01-07T00:00:00"/>
    <m/>
    <n v="120"/>
    <x v="0"/>
    <x v="2"/>
    <m/>
  </r>
  <r>
    <d v="2021-01-07T00:00:00"/>
    <x v="3"/>
    <x v="1"/>
    <x v="3"/>
    <m/>
    <s v="préventif"/>
    <s v="Pince"/>
    <s v="Bruit anormal sur moteur"/>
    <s v="Réparation"/>
    <s v="Changement d'un disque de frein d120"/>
    <d v="2021-01-07T00:00:00"/>
    <m/>
    <n v="180"/>
    <x v="0"/>
    <x v="2"/>
    <m/>
  </r>
  <r>
    <d v="2021-01-07T00:00:00"/>
    <x v="3"/>
    <x v="1"/>
    <x v="3"/>
    <m/>
    <s v="Correctif"/>
    <s v="Pince"/>
    <s v="manque de phase au niveau du moteur montée descente"/>
    <s v="Réparation"/>
    <s v="Changement du cable electrique d'alimentation"/>
    <d v="2021-01-07T00:00:00"/>
    <m/>
    <n v="180"/>
    <x v="0"/>
    <x v="2"/>
    <m/>
  </r>
  <r>
    <d v="2021-01-08T00:00:00"/>
    <x v="10"/>
    <x v="0"/>
    <x v="10"/>
    <m/>
    <s v="Correctif"/>
    <s v="Savonniere"/>
    <s v="Palier endommagés"/>
    <s v="Réparation"/>
    <s v="Changement des palier de la vis"/>
    <d v="2021-01-08T00:00:00"/>
    <m/>
    <n v="120"/>
    <x v="0"/>
    <x v="2"/>
    <m/>
  </r>
  <r>
    <d v="2021-01-08T00:00:00"/>
    <x v="0"/>
    <x v="0"/>
    <x v="0"/>
    <m/>
    <s v="Correctif"/>
    <s v="Système de tirage"/>
    <s v="Module de réalimentation HS"/>
    <s v="Réparation"/>
    <s v="Mise en place de la nouvelle solution proposée par schlatter"/>
    <d v="2021-01-08T00:00:00"/>
    <m/>
    <n v="60"/>
    <x v="0"/>
    <x v="2"/>
    <m/>
  </r>
  <r>
    <d v="2021-01-08T00:00:00"/>
    <x v="2"/>
    <x v="1"/>
    <x v="2"/>
    <m/>
    <s v="Correctif"/>
    <s v="Malaxeur"/>
    <s v="Vis de fixation des tôles décollé"/>
    <s v="Réparation"/>
    <s v="Changement des vis de fixation"/>
    <d v="2021-01-08T00:00:00"/>
    <m/>
    <n v="360"/>
    <x v="0"/>
    <x v="2"/>
    <m/>
  </r>
  <r>
    <d v="2021-01-09T00:00:00"/>
    <x v="4"/>
    <x v="0"/>
    <x v="4"/>
    <m/>
    <s v="Correctif"/>
    <s v="Empileur"/>
    <s v="Distributeur colmaté"/>
    <s v="Réparation"/>
    <s v="Changement du distributeur endommagé"/>
    <d v="2021-01-09T00:00:00"/>
    <m/>
    <n v="90"/>
    <x v="0"/>
    <x v="2"/>
    <m/>
  </r>
  <r>
    <d v="2021-01-09T00:00:00"/>
    <x v="2"/>
    <x v="1"/>
    <x v="2"/>
    <m/>
    <s v="Correctif"/>
    <s v="Pousse planche"/>
    <s v="débit d'air inssufisant"/>
    <s v="Réparation"/>
    <s v="Réglage du débit et mise en marche"/>
    <d v="2021-01-09T00:00:00"/>
    <m/>
    <n v="20"/>
    <x v="0"/>
    <x v="2"/>
    <m/>
  </r>
  <r>
    <d v="2021-01-11T00:00:00"/>
    <x v="2"/>
    <x v="1"/>
    <x v="2"/>
    <m/>
    <s v="Correctif"/>
    <s v="Malaxeur"/>
    <s v="Capteur de proximité endommagé"/>
    <s v="Réparation"/>
    <s v="Changement du detecteur"/>
    <d v="2021-01-11T00:00:00"/>
    <n v="45"/>
    <n v="60"/>
    <x v="12"/>
    <x v="4"/>
    <m/>
  </r>
  <r>
    <d v="2021-01-12T00:00:00"/>
    <x v="12"/>
    <x v="0"/>
    <x v="12"/>
    <m/>
    <s v="Correctif"/>
    <s v="Redresseur"/>
    <s v="Galets usés"/>
    <s v="Réparation"/>
    <s v="Changement des galets de dressage"/>
    <d v="2021-01-12T00:00:00"/>
    <m/>
    <n v="60"/>
    <x v="0"/>
    <x v="2"/>
    <m/>
  </r>
  <r>
    <d v="2021-01-12T00:00:00"/>
    <x v="2"/>
    <x v="1"/>
    <x v="2"/>
    <m/>
    <s v="préventif"/>
    <s v="Pilon"/>
    <s v="Fuite d'huile"/>
    <s v="Réparation"/>
    <s v="Changement de l'electrovanne endomm"/>
    <d v="2021-01-12T00:00:00"/>
    <m/>
    <n v="60"/>
    <x v="0"/>
    <x v="2"/>
    <m/>
  </r>
  <r>
    <d v="2021-01-12T00:00:00"/>
    <x v="2"/>
    <x v="1"/>
    <x v="2"/>
    <m/>
    <s v="Correctif"/>
    <s v="Pilon"/>
    <s v="Detecteur endommagé"/>
    <s v="Réparation"/>
    <s v="Changement de la fiche endommagée"/>
    <d v="2021-01-12T00:00:00"/>
    <m/>
    <n v="45"/>
    <x v="0"/>
    <x v="2"/>
    <m/>
  </r>
  <r>
    <d v="2021-01-13T00:00:00"/>
    <x v="1"/>
    <x v="0"/>
    <x v="1"/>
    <m/>
    <s v="Correctif"/>
    <s v="Cercleuse"/>
    <s v="Défaut de coupe"/>
    <s v="Réparation"/>
    <s v="Changement d'un ressort de rappel et d'un raccord pneumatique"/>
    <d v="2021-01-13T00:00:00"/>
    <m/>
    <n v="60"/>
    <x v="0"/>
    <x v="2"/>
    <m/>
  </r>
  <r>
    <d v="2021-01-13T00:00:00"/>
    <x v="1"/>
    <x v="0"/>
    <x v="1"/>
    <m/>
    <s v="préventif"/>
    <s v="Cassette 3,5"/>
    <s v="Jeu sur galet"/>
    <s v="Réparation"/>
    <s v="Changement de 2 roulements 32008"/>
    <d v="2021-01-13T00:00:00"/>
    <m/>
    <n v="60"/>
    <x v="0"/>
    <x v="2"/>
    <m/>
  </r>
  <r>
    <d v="2021-01-13T00:00:00"/>
    <x v="3"/>
    <x v="1"/>
    <x v="3"/>
    <m/>
    <s v="préventif"/>
    <s v="Retourneur"/>
    <s v="Fuite d'air "/>
    <s v="Réparation"/>
    <s v="Changement de deux raccord pneumatique "/>
    <d v="2021-01-13T00:00:00"/>
    <m/>
    <n v="30"/>
    <x v="0"/>
    <x v="2"/>
    <m/>
  </r>
  <r>
    <d v="2021-01-14T00:00:00"/>
    <x v="20"/>
    <x v="0"/>
    <x v="20"/>
    <m/>
    <s v="préventif"/>
    <s v="Cassete d7"/>
    <s v="Circuit d'eau bouché"/>
    <s v="Réparation"/>
    <s v="Changement d'un flexible endommagé"/>
    <d v="2021-01-14T00:00:00"/>
    <m/>
    <n v="20"/>
    <x v="0"/>
    <x v="2"/>
    <m/>
  </r>
  <r>
    <d v="2021-01-14T00:00:00"/>
    <x v="2"/>
    <x v="1"/>
    <x v="2"/>
    <m/>
    <s v="Correctif"/>
    <s v="Colorant"/>
    <s v="Colorant colmaté au niveau de la vis"/>
    <s v="Réparation"/>
    <s v="Dégagement du colematage et mise en marche"/>
    <d v="2021-01-14T00:00:00"/>
    <m/>
    <n v="60"/>
    <x v="0"/>
    <x v="2"/>
    <m/>
  </r>
  <r>
    <d v="2021-01-15T00:00:00"/>
    <x v="20"/>
    <x v="0"/>
    <x v="20"/>
    <m/>
    <s v="Correctif"/>
    <s v="Devidoir"/>
    <s v="Support vérin devidoir endommagé"/>
    <s v="Réparation"/>
    <s v="Soudage et renforcement du support"/>
    <d v="2021-01-15T00:00:00"/>
    <m/>
    <n v="30"/>
    <x v="0"/>
    <x v="2"/>
    <m/>
  </r>
  <r>
    <d v="2021-01-15T00:00:00"/>
    <x v="7"/>
    <x v="0"/>
    <x v="7"/>
    <m/>
    <s v="préventif"/>
    <s v="Bloc de soudure"/>
    <s v="Isolant en bakelite usé"/>
    <s v="Réparation"/>
    <s v="Changement de l'isolant"/>
    <d v="2021-01-15T00:00:00"/>
    <m/>
    <n v="30"/>
    <x v="0"/>
    <x v="2"/>
    <m/>
  </r>
  <r>
    <d v="2021-01-15T00:00:00"/>
    <x v="3"/>
    <x v="1"/>
    <x v="3"/>
    <m/>
    <s v="Correctif"/>
    <s v="Convoyeur déchargeur"/>
    <s v="Chaine b12 endommagée"/>
    <s v="Réparation"/>
    <s v="Changement de la  partie endommagée de la chaine"/>
    <d v="2021-01-15T00:00:00"/>
    <m/>
    <n v="45"/>
    <x v="0"/>
    <x v="2"/>
    <m/>
  </r>
  <r>
    <d v="2021-01-15T00:00:00"/>
    <x v="17"/>
    <x v="0"/>
    <x v="17"/>
    <m/>
    <s v="préventif"/>
    <s v="Redresseur"/>
    <s v="Heure vidange atteint"/>
    <s v="Vidange"/>
    <s v="Vidange du réducteur du redresseur"/>
    <d v="2021-01-15T00:00:00"/>
    <m/>
    <n v="30"/>
    <x v="0"/>
    <x v="2"/>
    <m/>
  </r>
  <r>
    <d v="2021-01-16T00:00:00"/>
    <x v="2"/>
    <x v="1"/>
    <x v="2"/>
    <m/>
    <s v="Correctif"/>
    <s v="Malaxeur"/>
    <s v="Capteur de proximité endommagé"/>
    <s v="Réparation"/>
    <s v="Changement du detecteur"/>
    <d v="2021-01-16T00:00:00"/>
    <n v="45"/>
    <n v="60"/>
    <x v="12"/>
    <x v="4"/>
    <m/>
  </r>
  <r>
    <d v="2021-01-18T00:00:00"/>
    <x v="1"/>
    <x v="0"/>
    <x v="1"/>
    <m/>
    <s v="préventif"/>
    <s v="Cassette 3,5"/>
    <s v="Flexible de graisse bouché"/>
    <s v="Réparation"/>
    <s v="Débouchage du circuit et mise en marche"/>
    <d v="2021-01-18T00:00:00"/>
    <m/>
    <n v="20"/>
    <x v="0"/>
    <x v="2"/>
    <m/>
  </r>
  <r>
    <d v="2021-01-18T00:00:00"/>
    <x v="22"/>
    <x v="0"/>
    <x v="22"/>
    <m/>
    <s v="Correctif"/>
    <s v="Cisaille"/>
    <s v="Garniture d'embrayage endommagé"/>
    <s v="Réparation"/>
    <s v="Changement de l'embrayage"/>
    <d v="2021-01-18T00:00:00"/>
    <m/>
    <n v="40"/>
    <x v="0"/>
    <x v="2"/>
    <m/>
  </r>
  <r>
    <d v="2021-01-18T00:00:00"/>
    <x v="0"/>
    <x v="0"/>
    <x v="0"/>
    <m/>
    <s v="préventif"/>
    <s v="Empileur"/>
    <s v="Bruit  exessif sur rouleau"/>
    <s v="Réparation"/>
    <s v="Changement des paliers du rouleau"/>
    <d v="2021-01-18T00:00:00"/>
    <m/>
    <n v="150"/>
    <x v="0"/>
    <x v="2"/>
    <m/>
  </r>
  <r>
    <d v="2021-01-18T00:00:00"/>
    <x v="3"/>
    <x v="1"/>
    <x v="3"/>
    <m/>
    <s v="Correctif"/>
    <s v="Table vibrante"/>
    <s v="Manque de phase au niveau du moteur de la table"/>
    <s v="Réparation"/>
    <s v="Elimination du manque de phase et mise en marche"/>
    <d v="2021-01-18T00:00:00"/>
    <m/>
    <n v="120"/>
    <x v="0"/>
    <x v="2"/>
    <m/>
  </r>
  <r>
    <d v="2021-01-18T00:00:00"/>
    <x v="2"/>
    <x v="1"/>
    <x v="2"/>
    <m/>
    <s v="préventif"/>
    <s v="Retourneur"/>
    <s v="Courroie thermosoudable usée "/>
    <s v="Réparation"/>
    <s v="Changement de la courroie thermosoudable"/>
    <d v="2021-01-18T00:00:00"/>
    <m/>
    <n v="90"/>
    <x v="0"/>
    <x v="2"/>
    <m/>
  </r>
  <r>
    <d v="2021-01-18T00:00:00"/>
    <x v="3"/>
    <x v="1"/>
    <x v="3"/>
    <m/>
    <s v="Correctif"/>
    <s v="Malaxeur"/>
    <s v="Pied de malaxeur usé"/>
    <s v="Réparation"/>
    <s v="Changement des pale de pates"/>
    <d v="2021-01-18T00:00:00"/>
    <m/>
    <n v="60"/>
    <x v="0"/>
    <x v="2"/>
    <m/>
  </r>
  <r>
    <d v="2021-01-18T00:00:00"/>
    <x v="3"/>
    <x v="1"/>
    <x v="3"/>
    <m/>
    <s v="préventif"/>
    <s v="GA 22"/>
    <s v="Niveau d'huile inssufisant"/>
    <s v="Réparation"/>
    <s v="Rajout d'huile DTE26"/>
    <d v="2021-01-18T00:00:00"/>
    <m/>
    <n v="15"/>
    <x v="0"/>
    <x v="2"/>
    <m/>
  </r>
  <r>
    <d v="2021-01-19T00:00:00"/>
    <x v="2"/>
    <x v="1"/>
    <x v="2"/>
    <m/>
    <s v="Correctif"/>
    <s v="Cercleuse 08"/>
    <s v="Cisaille usée"/>
    <s v="Réparation"/>
    <s v="Changement de la pince et couteau de cisaille"/>
    <d v="2021-01-19T00:00:00"/>
    <m/>
    <n v="480"/>
    <x v="0"/>
    <x v="2"/>
    <m/>
  </r>
  <r>
    <d v="2021-01-19T00:00:00"/>
    <x v="0"/>
    <x v="0"/>
    <x v="0"/>
    <m/>
    <s v="Correctif"/>
    <s v="Empileur"/>
    <s v="Fuite d'air"/>
    <s v="Réparation"/>
    <s v="Chnagment du tuyau et raccords d'air comprimé"/>
    <d v="2021-01-19T00:00:00"/>
    <m/>
    <n v="30"/>
    <x v="0"/>
    <x v="2"/>
    <m/>
  </r>
  <r>
    <d v="2021-01-19T00:00:00"/>
    <x v="3"/>
    <x v="1"/>
    <x v="3"/>
    <m/>
    <s v="Correctif"/>
    <s v="Déchargeur"/>
    <s v="Sonde endommagée"/>
    <s v="Réparation"/>
    <s v="Changement de la tige de la sonde"/>
    <d v="2021-01-19T00:00:00"/>
    <m/>
    <n v="60"/>
    <x v="0"/>
    <x v="2"/>
    <m/>
  </r>
  <r>
    <d v="2021-01-19T00:00:00"/>
    <x v="2"/>
    <x v="1"/>
    <x v="2"/>
    <m/>
    <s v="Correctif"/>
    <s v="Pousse planche"/>
    <s v="Détecteur endommagée "/>
    <s v="Réparation"/>
    <s v="Changement d'un capteur de proximité endommagé"/>
    <d v="2021-01-19T00:00:00"/>
    <m/>
    <n v="45"/>
    <x v="0"/>
    <x v="2"/>
    <m/>
  </r>
  <r>
    <d v="2021-01-20T00:00:00"/>
    <x v="20"/>
    <x v="0"/>
    <x v="20"/>
    <m/>
    <s v="préventif"/>
    <s v="Cassete d5"/>
    <s v="Roulements usés"/>
    <s v="Réparation"/>
    <s v="Changement de 4 roulements"/>
    <d v="2021-01-20T00:00:00"/>
    <m/>
    <n v="90"/>
    <x v="0"/>
    <x v="2"/>
    <m/>
  </r>
  <r>
    <d v="2021-01-20T00:00:00"/>
    <x v="1"/>
    <x v="0"/>
    <x v="1"/>
    <m/>
    <s v="Correctif"/>
    <s v="Cercleuse"/>
    <s v="Goupilles endommagées"/>
    <s v="Réparation"/>
    <s v="Changement de deux goupilles d7 - d8"/>
    <d v="2021-01-20T00:00:00"/>
    <m/>
    <n v="30"/>
    <x v="0"/>
    <x v="2"/>
    <m/>
  </r>
  <r>
    <d v="2021-01-20T00:00:00"/>
    <x v="13"/>
    <x v="0"/>
    <x v="13"/>
    <m/>
    <s v="Correctif"/>
    <s v="Table de cisaille"/>
    <s v="Pb de fixation"/>
    <s v="Réparation"/>
    <s v="Changement des vis de fixation de la table"/>
    <d v="2021-01-20T00:00:00"/>
    <m/>
    <n v="30"/>
    <x v="0"/>
    <x v="2"/>
    <m/>
  </r>
  <r>
    <d v="2021-01-20T00:00:00"/>
    <x v="3"/>
    <x v="1"/>
    <x v="3"/>
    <m/>
    <s v="préventif"/>
    <s v="Malaxeur"/>
    <s v="Pompe à eau faible"/>
    <s v="Réparation"/>
    <s v="Changement de la pompe et des canalisation"/>
    <d v="2021-01-20T00:00:00"/>
    <m/>
    <n v="240"/>
    <x v="0"/>
    <x v="2"/>
    <m/>
  </r>
  <r>
    <d v="2021-01-20T00:00:00"/>
    <x v="3"/>
    <x v="1"/>
    <x v="3"/>
    <m/>
    <s v="Correctif"/>
    <s v="Tiroir d'agitation"/>
    <s v="Cadre glissant usé"/>
    <s v="Réparation"/>
    <s v="Soudage et renforcement du cadre"/>
    <d v="2021-01-20T00:00:00"/>
    <m/>
    <n v="180"/>
    <x v="0"/>
    <x v="2"/>
    <m/>
  </r>
  <r>
    <d v="2021-01-20T00:00:00"/>
    <x v="2"/>
    <x v="1"/>
    <x v="2"/>
    <m/>
    <s v="Correctif"/>
    <s v="Transbordeur"/>
    <s v="Klaxon endommagé"/>
    <s v="Réparation"/>
    <s v="Changement du klaxon"/>
    <d v="2021-01-20T00:00:00"/>
    <m/>
    <n v="60"/>
    <x v="0"/>
    <x v="2"/>
    <m/>
  </r>
  <r>
    <d v="2021-01-21T00:00:00"/>
    <x v="16"/>
    <x v="0"/>
    <x v="16"/>
    <m/>
    <s v="préventif"/>
    <s v="Circuit de refroidissement"/>
    <s v="Fuite d'eau"/>
    <s v="Réparation"/>
    <s v="Changement d'un raccord d14 endommagé"/>
    <d v="2021-01-21T00:00:00"/>
    <m/>
    <n v="30"/>
    <x v="0"/>
    <x v="2"/>
    <m/>
  </r>
  <r>
    <d v="2021-01-21T00:00:00"/>
    <x v="3"/>
    <x v="1"/>
    <x v="3"/>
    <m/>
    <s v="Correctif"/>
    <s v="Pince"/>
    <s v="Courroie endommagée"/>
    <s v="Réparation"/>
    <s v="Changement de la courroie endommagée"/>
    <d v="2021-01-21T00:00:00"/>
    <m/>
    <n v="90"/>
    <x v="0"/>
    <x v="2"/>
    <m/>
  </r>
  <r>
    <d v="2021-01-21T00:00:00"/>
    <x v="3"/>
    <x v="1"/>
    <x v="3"/>
    <m/>
    <s v="Correctif"/>
    <s v="Convoyeur sortie presse "/>
    <s v="Courroie thermosoudable usée "/>
    <s v="Réparation"/>
    <s v="Changement de courroie thermosoudable"/>
    <d v="2021-01-21T00:00:00"/>
    <m/>
    <n v="45"/>
    <x v="0"/>
    <x v="2"/>
    <m/>
  </r>
  <r>
    <d v="2021-01-22T00:00:00"/>
    <x v="13"/>
    <x v="0"/>
    <x v="13"/>
    <m/>
    <s v="préventif"/>
    <s v="Pompe de graissage"/>
    <s v="Mamelon usé"/>
    <s v="Réparation"/>
    <s v="Changement d'un mamelon"/>
    <d v="2021-01-22T00:00:00"/>
    <m/>
    <n v="15"/>
    <x v="0"/>
    <x v="2"/>
    <m/>
  </r>
  <r>
    <d v="2021-01-22T00:00:00"/>
    <x v="2"/>
    <x v="1"/>
    <x v="2"/>
    <m/>
    <s v="Correctif"/>
    <s v="Malaxeur"/>
    <s v="Capteur de proximité endommagé"/>
    <s v="Réparation"/>
    <s v="Changement du detecteur"/>
    <d v="2021-01-22T00:00:00"/>
    <n v="45"/>
    <n v="60"/>
    <x v="12"/>
    <x v="4"/>
    <m/>
  </r>
  <r>
    <d v="2021-01-26T00:00:00"/>
    <x v="3"/>
    <x v="1"/>
    <x v="3"/>
    <m/>
    <s v="Correctif"/>
    <s v="Tiroir d'agitation"/>
    <s v="Cadre glissant usé"/>
    <s v="Réparation"/>
    <s v="Changement du cadre ressorts et grille d'agitation"/>
    <d v="2021-01-26T00:00:00"/>
    <m/>
    <n v="480"/>
    <x v="0"/>
    <x v="2"/>
    <m/>
  </r>
  <r>
    <d v="2021-01-26T00:00:00"/>
    <x v="20"/>
    <x v="0"/>
    <x v="20"/>
    <m/>
    <s v="préventif"/>
    <s v="Cassette PR5"/>
    <s v="Flexible endommagée "/>
    <s v="Réparation"/>
    <s v="Changement du flexible endommagé"/>
    <d v="2021-01-26T00:00:00"/>
    <m/>
    <n v="20"/>
    <x v="0"/>
    <x v="2"/>
    <m/>
  </r>
  <r>
    <d v="2021-01-27T00:00:00"/>
    <x v="3"/>
    <x v="1"/>
    <x v="3"/>
    <m/>
    <s v="Correctif"/>
    <s v="Pince"/>
    <s v="Défaut de communication Encodeur Carte-automate"/>
    <s v="Réparation"/>
    <s v="Changement d'un cable electrique endommagé"/>
    <d v="2021-01-27T00:00:00"/>
    <m/>
    <n v="480"/>
    <x v="0"/>
    <x v="2"/>
    <m/>
  </r>
  <r>
    <d v="2021-01-27T00:00:00"/>
    <x v="20"/>
    <x v="0"/>
    <x v="20"/>
    <m/>
    <s v="préventif"/>
    <s v=" Cassette pr5"/>
    <s v="Roulements Endommagés"/>
    <s v="Réparation"/>
    <s v="Changement de deux roulements 32008"/>
    <d v="2021-01-27T00:00:00"/>
    <m/>
    <n v="120"/>
    <x v="0"/>
    <x v="2"/>
    <m/>
  </r>
  <r>
    <d v="2021-01-28T00:00:00"/>
    <x v="3"/>
    <x v="1"/>
    <x v="3"/>
    <m/>
    <s v="préventif"/>
    <s v="GA22"/>
    <s v="Niveau d'huile insuffisant"/>
    <s v="Réparation"/>
    <s v="Rajout d'huile DTE 26"/>
    <d v="2021-01-28T00:00:00"/>
    <m/>
    <n v="20"/>
    <x v="0"/>
    <x v="2"/>
    <m/>
  </r>
  <r>
    <d v="2021-01-29T00:00:00"/>
    <x v="3"/>
    <x v="1"/>
    <x v="3"/>
    <m/>
    <s v="Correctif"/>
    <s v="Groupe hydraulique"/>
    <s v="Chute de pression"/>
    <s v="Réparation"/>
    <s v="Changement de l'electrovanne de deuxieme pression"/>
    <d v="2021-01-29T00:00:00"/>
    <m/>
    <n v="960"/>
    <x v="0"/>
    <x v="2"/>
    <m/>
  </r>
  <r>
    <d v="2021-01-30T00:00:00"/>
    <x v="32"/>
    <x v="7"/>
    <x v="32"/>
    <m/>
    <s v="préventif"/>
    <s v="Pompe hydraulique"/>
    <s v="Fuite d'huile"/>
    <s v="Réparation"/>
    <s v="Changement de l'arrêt d'huile 18-30-7"/>
    <d v="2021-01-30T00:00:00"/>
    <s v="Rénnovation de la cisaille (peinture ,,,)"/>
    <n v="30"/>
    <x v="0"/>
    <x v="2"/>
    <m/>
  </r>
  <r>
    <d v="2021-02-01T00:00:00"/>
    <x v="3"/>
    <x v="1"/>
    <x v="3"/>
    <m/>
    <s v="Correctif"/>
    <s v="Cercleuse "/>
    <s v="Tête de cercleuse frappant la palette de brique"/>
    <s v="Réparation"/>
    <s v="Changement de detecteuret réglage de tête de cercleuse"/>
    <d v="2021-02-01T00:00:00"/>
    <m/>
    <n v="90"/>
    <x v="1"/>
    <x v="2"/>
    <m/>
  </r>
  <r>
    <d v="2021-02-01T00:00:00"/>
    <x v="32"/>
    <x v="7"/>
    <x v="32"/>
    <m/>
    <s v="préventif"/>
    <s v="Pompe hydraulique"/>
    <s v="Fuite d'huile au niveau de la pompe hydraulique"/>
    <s v="Réparation"/>
    <s v="Changement d'arret d'huile + joints"/>
    <d v="2021-02-01T00:00:00"/>
    <m/>
    <n v="60"/>
    <x v="1"/>
    <x v="2"/>
    <m/>
  </r>
  <r>
    <d v="2021-02-01T00:00:00"/>
    <x v="1"/>
    <x v="0"/>
    <x v="1"/>
    <m/>
    <s v="Correctif"/>
    <s v="Cabestan"/>
    <s v="freinage au niveau du cabestan (1 et 2 )"/>
    <s v="Réparation"/>
    <s v="Changement de garniture et de coupelle"/>
    <d v="2021-02-01T00:00:00"/>
    <m/>
    <n v="30"/>
    <x v="1"/>
    <x v="2"/>
    <m/>
  </r>
  <r>
    <d v="2021-02-01T00:00:00"/>
    <x v="1"/>
    <x v="0"/>
    <x v="1"/>
    <m/>
    <s v="Correctif"/>
    <s v="Galet du guide fil"/>
    <s v="Problème au niveau du guide fil"/>
    <s v="Réparation"/>
    <s v="Changement de 2 roulement "/>
    <d v="2021-02-01T00:00:00"/>
    <m/>
    <n v="30"/>
    <x v="1"/>
    <x v="2"/>
    <m/>
  </r>
  <r>
    <d v="2021-02-01T00:00:00"/>
    <x v="1"/>
    <x v="0"/>
    <x v="1"/>
    <m/>
    <s v="Correctif"/>
    <s v="Cabeston"/>
    <s v="Problème au niveau du cabestan"/>
    <s v="Réparation"/>
    <s v="Charge de partie usée"/>
    <d v="2021-02-01T00:00:00"/>
    <m/>
    <n v="30"/>
    <x v="1"/>
    <x v="2"/>
    <m/>
  </r>
  <r>
    <d v="2021-02-01T00:00:00"/>
    <x v="1"/>
    <x v="0"/>
    <x v="1"/>
    <m/>
    <s v="Correctif"/>
    <s v="Danseur"/>
    <s v="4 Galets usés"/>
    <s v="Réparation"/>
    <s v="Changement de 4 galets"/>
    <d v="2021-02-01T00:00:00"/>
    <m/>
    <n v="30"/>
    <x v="1"/>
    <x v="2"/>
    <m/>
  </r>
  <r>
    <d v="2021-02-01T00:00:00"/>
    <x v="1"/>
    <x v="0"/>
    <x v="1"/>
    <m/>
    <s v="préventif"/>
    <s v="Cassette 3,8"/>
    <s v="Flexible bouché"/>
    <s v="Réparation"/>
    <s v="Débouchage du flexible"/>
    <d v="2021-02-01T00:00:00"/>
    <m/>
    <n v="20"/>
    <x v="1"/>
    <x v="2"/>
    <m/>
  </r>
  <r>
    <d v="2021-02-01T00:00:00"/>
    <x v="3"/>
    <x v="1"/>
    <x v="3"/>
    <m/>
    <s v="préventif"/>
    <s v="Tapis doseur"/>
    <s v="Moteur de convoyeur agrégats"/>
    <s v="Réparation"/>
    <s v="Changement de 2 roulement 6305 -6206 endommagé"/>
    <d v="2021-02-01T00:00:00"/>
    <m/>
    <n v="120"/>
    <x v="1"/>
    <x v="2"/>
    <m/>
  </r>
  <r>
    <d v="2021-02-01T00:00:00"/>
    <x v="1"/>
    <x v="0"/>
    <x v="1"/>
    <m/>
    <s v="préventif"/>
    <s v="Cassete d7"/>
    <s v="Jeu sur cassette "/>
    <s v="Réparation"/>
    <s v="changement de 6 roulement"/>
    <d v="2021-02-01T00:00:00"/>
    <m/>
    <n v="240"/>
    <x v="1"/>
    <x v="2"/>
    <m/>
  </r>
  <r>
    <d v="2021-02-02T00:00:00"/>
    <x v="2"/>
    <x v="1"/>
    <x v="2"/>
    <m/>
    <s v="Correctif"/>
    <s v="Tiroir d'agitation"/>
    <s v="Système d'agitation 510"/>
    <s v="Réparation"/>
    <s v="Changement du palier d'agitation"/>
    <d v="2021-02-02T00:00:00"/>
    <m/>
    <n v="60"/>
    <x v="1"/>
    <x v="2"/>
    <m/>
  </r>
  <r>
    <d v="2021-02-02T00:00:00"/>
    <x v="4"/>
    <x v="0"/>
    <x v="4"/>
    <m/>
    <s v="Correctif"/>
    <s v="Bloc de soudure"/>
    <s v="Système de soudage"/>
    <s v="Réparation"/>
    <s v="Demontage de 2 transformateurs (Attente de livraison)"/>
    <d v="2021-02-02T00:00:00"/>
    <m/>
    <n v="45"/>
    <x v="1"/>
    <x v="2"/>
    <m/>
  </r>
  <r>
    <d v="2021-02-02T00:00:00"/>
    <x v="7"/>
    <x v="0"/>
    <x v="7"/>
    <m/>
    <s v="préventif"/>
    <s v="Bloc de soudure"/>
    <s v="Besoin en electrode"/>
    <s v="Réparation"/>
    <s v="Confection de 4 electrodes"/>
    <d v="2021-02-02T00:00:00"/>
    <m/>
    <n v="15"/>
    <x v="1"/>
    <x v="2"/>
    <m/>
  </r>
  <r>
    <d v="2021-02-03T00:00:00"/>
    <x v="7"/>
    <x v="0"/>
    <x v="7"/>
    <m/>
    <s v="Correctif"/>
    <s v="Bloc de soudure"/>
    <s v="Système de soudage"/>
    <s v="Réparation"/>
    <s v="Changement du thyristor"/>
    <d v="2021-02-03T00:00:00"/>
    <m/>
    <n v="60"/>
    <x v="1"/>
    <x v="2"/>
    <m/>
  </r>
  <r>
    <d v="2021-02-03T00:00:00"/>
    <x v="17"/>
    <x v="0"/>
    <x v="17"/>
    <m/>
    <s v="préventif"/>
    <s v="Circuit d'air comprimé"/>
    <s v="Fuite d'air au niveau du circuit"/>
    <s v="Réparation"/>
    <s v="Changement de prise rapide et tuyau D8"/>
    <d v="2021-02-03T00:00:00"/>
    <m/>
    <n v="20"/>
    <x v="1"/>
    <x v="2"/>
    <m/>
  </r>
  <r>
    <d v="2021-02-03T00:00:00"/>
    <x v="3"/>
    <x v="1"/>
    <x v="3"/>
    <m/>
    <s v="Correctif"/>
    <s v="Cercleuse"/>
    <s v="Embrayage endommagé"/>
    <s v="Réparation"/>
    <s v="Changement d'embrayage"/>
    <d v="2021-02-03T00:00:00"/>
    <m/>
    <n v="45"/>
    <x v="1"/>
    <x v="2"/>
    <m/>
  </r>
  <r>
    <d v="2021-02-03T00:00:00"/>
    <x v="1"/>
    <x v="0"/>
    <x v="1"/>
    <m/>
    <s v="préventif"/>
    <s v="Cassette 3,4"/>
    <s v="Problème de zoomage au niveau de cassette D3,4"/>
    <s v="Réparation"/>
    <s v="Réglage de zoomage"/>
    <d v="2021-02-03T00:00:00"/>
    <m/>
    <n v="15"/>
    <x v="1"/>
    <x v="2"/>
    <m/>
  </r>
  <r>
    <d v="2021-02-04T00:00:00"/>
    <x v="26"/>
    <x v="0"/>
    <x v="26"/>
    <m/>
    <s v="Correctif"/>
    <s v="Bloc de soudage"/>
    <s v="Circuit de refroidissement des transformateurs"/>
    <s v="Réparation"/>
    <s v="Debouchage de circuit"/>
    <d v="2021-02-04T00:00:00"/>
    <m/>
    <n v="30"/>
    <x v="1"/>
    <x v="2"/>
    <m/>
  </r>
  <r>
    <d v="2021-02-05T00:00:00"/>
    <x v="3"/>
    <x v="1"/>
    <x v="3"/>
    <m/>
    <s v="Correctif"/>
    <s v="Système d'agitation "/>
    <s v="Chaine b12 endommagée"/>
    <s v="Réparation"/>
    <s v="Changement de la chaine B12"/>
    <d v="2021-02-05T00:00:00"/>
    <m/>
    <n v="15"/>
    <x v="1"/>
    <x v="2"/>
    <m/>
  </r>
  <r>
    <d v="2021-02-05T00:00:00"/>
    <x v="3"/>
    <x v="1"/>
    <x v="3"/>
    <m/>
    <s v="préventif"/>
    <s v="Moule"/>
    <s v="Fuite d'air"/>
    <s v="Réparation"/>
    <s v="Changement de prise rapide"/>
    <d v="2021-02-05T00:00:00"/>
    <m/>
    <n v="15"/>
    <x v="1"/>
    <x v="2"/>
    <m/>
  </r>
  <r>
    <d v="2021-02-05T00:00:00"/>
    <x v="21"/>
    <x v="4"/>
    <x v="21"/>
    <m/>
    <s v="Correctif"/>
    <s v="Moteur de levage"/>
    <s v="Manque de phase"/>
    <s v="Réparation"/>
    <s v="Changement du contacteur"/>
    <d v="2021-02-05T00:00:00"/>
    <m/>
    <n v="30"/>
    <x v="1"/>
    <x v="2"/>
    <m/>
  </r>
  <r>
    <d v="2021-02-05T00:00:00"/>
    <x v="1"/>
    <x v="0"/>
    <x v="1"/>
    <m/>
    <m/>
    <s v="??"/>
    <m/>
    <s v="Réparation"/>
    <s v="Installation du chariot et du cable d'alimentation"/>
    <d v="2021-02-05T00:00:00"/>
    <m/>
    <m/>
    <x v="1"/>
    <x v="2"/>
    <m/>
  </r>
  <r>
    <d v="2021-02-08T00:00:00"/>
    <x v="10"/>
    <x v="0"/>
    <x v="10"/>
    <m/>
    <s v="préventif"/>
    <s v="Cassette pr8"/>
    <s v="Circuit de graisse Cassette D8"/>
    <s v="Réparation"/>
    <s v="Débouchage du flexible"/>
    <d v="2021-02-08T00:00:00"/>
    <m/>
    <n v="25"/>
    <x v="1"/>
    <x v="2"/>
    <m/>
  </r>
  <r>
    <d v="2021-02-09T00:00:00"/>
    <x v="22"/>
    <x v="0"/>
    <x v="22"/>
    <m/>
    <s v="Correctif"/>
    <s v="Cisaille"/>
    <s v="Clavetage endommagé"/>
    <s v="Réparation"/>
    <s v="Changement de clavette"/>
    <d v="2021-02-09T00:00:00"/>
    <m/>
    <n v="30"/>
    <x v="1"/>
    <x v="2"/>
    <m/>
  </r>
  <r>
    <d v="2021-02-10T00:00:00"/>
    <x v="1"/>
    <x v="0"/>
    <x v="1"/>
    <m/>
    <s v="préventif"/>
    <s v="Poste de soudage"/>
    <s v="Pierre meleuse usée"/>
    <s v="Réparation"/>
    <s v="Changement de pierre meleuse"/>
    <d v="2021-02-10T00:00:00"/>
    <m/>
    <n v="15"/>
    <x v="1"/>
    <x v="2"/>
    <m/>
  </r>
  <r>
    <d v="2021-02-10T00:00:00"/>
    <x v="11"/>
    <x v="0"/>
    <x v="11"/>
    <m/>
    <s v="préventif"/>
    <s v="Cabestan"/>
    <s v="Probleme au niveau du cabestan"/>
    <s v="Réparation"/>
    <s v="Demontage et remontage du cabeston et soudage de partie usée"/>
    <d v="2021-02-10T00:00:00"/>
    <m/>
    <n v="240"/>
    <x v="1"/>
    <x v="2"/>
    <m/>
  </r>
  <r>
    <d v="2021-02-11T00:00:00"/>
    <x v="1"/>
    <x v="0"/>
    <x v="1"/>
    <m/>
    <s v="préventif"/>
    <s v="Groupe hydraulique de graissage"/>
    <s v="Niveau d'huile bas"/>
    <s v="Réglage"/>
    <s v="Mise à niveau d'huile 90 de groupe de graissage"/>
    <d v="2021-02-11T00:00:00"/>
    <m/>
    <n v="15"/>
    <x v="1"/>
    <x v="2"/>
    <m/>
  </r>
  <r>
    <d v="2021-02-11T00:00:00"/>
    <x v="24"/>
    <x v="4"/>
    <x v="24"/>
    <m/>
    <s v="Correctif"/>
    <s v="Tambour"/>
    <s v="Probleme au niveau du reducteur"/>
    <s v="Réparation"/>
    <s v="Demontage du reducteur et changement du roulement 6206"/>
    <d v="2021-02-11T00:00:00"/>
    <m/>
    <n v="45"/>
    <x v="1"/>
    <x v="2"/>
    <m/>
  </r>
  <r>
    <d v="2021-02-11T00:00:00"/>
    <x v="11"/>
    <x v="0"/>
    <x v="11"/>
    <m/>
    <s v="préventif"/>
    <s v="Cabestan"/>
    <s v="Probleme au niveau du cabestan"/>
    <s v="Réparation"/>
    <s v="Demontage du cabeston-Soudage de partie usee-Remontage du cabeston"/>
    <d v="2021-02-11T00:00:00"/>
    <m/>
    <n v="240"/>
    <x v="1"/>
    <x v="2"/>
    <m/>
  </r>
  <r>
    <d v="2021-02-12T00:00:00"/>
    <x v="7"/>
    <x v="0"/>
    <x v="7"/>
    <m/>
    <s v="préventif"/>
    <s v="Groupe hydraulique"/>
    <s v="Vidange"/>
    <s v="Réparation"/>
    <s v="Vidange d'huile hydaulique 68 sur le groupe hydraulique"/>
    <d v="2021-02-12T00:00:00"/>
    <m/>
    <n v="30"/>
    <x v="1"/>
    <x v="2"/>
    <m/>
  </r>
  <r>
    <d v="2021-02-12T00:00:00"/>
    <x v="26"/>
    <x v="0"/>
    <x v="26"/>
    <m/>
    <s v="préventif"/>
    <s v="Circuit de refroidissement"/>
    <s v="Eau usée"/>
    <s v="Réparation"/>
    <s v="Vidange de circuit de refroidissement et changement d'eau distillée"/>
    <d v="2021-02-12T00:00:00"/>
    <m/>
    <n v="240"/>
    <x v="1"/>
    <x v="2"/>
    <m/>
  </r>
  <r>
    <d v="2021-02-13T00:00:00"/>
    <x v="20"/>
    <x v="0"/>
    <x v="20"/>
    <m/>
    <s v="Correctif"/>
    <s v="??"/>
    <s v="2 Roulements endommagés"/>
    <s v="Réparation"/>
    <s v="Changement de 2 roulement "/>
    <d v="2021-02-13T00:00:00"/>
    <m/>
    <n v="60"/>
    <x v="1"/>
    <x v="2"/>
    <m/>
  </r>
  <r>
    <d v="2021-02-13T00:00:00"/>
    <x v="13"/>
    <x v="0"/>
    <x v="13"/>
    <m/>
    <s v="Correctif"/>
    <s v="Cisaille"/>
    <s v="Came cisaille"/>
    <s v="Réparation"/>
    <s v="changement de ressort"/>
    <d v="2021-02-13T00:00:00"/>
    <m/>
    <n v="30"/>
    <x v="1"/>
    <x v="2"/>
    <m/>
  </r>
  <r>
    <d v="2021-02-13T00:00:00"/>
    <x v="0"/>
    <x v="0"/>
    <x v="0"/>
    <m/>
    <s v="Correctif"/>
    <s v="Bloc de soudage"/>
    <s v="Système de soudage"/>
    <s v="Réparation"/>
    <s v="Changement de bride de fixation"/>
    <d v="2021-02-13T00:00:00"/>
    <m/>
    <n v="30"/>
    <x v="1"/>
    <x v="2"/>
    <m/>
  </r>
  <r>
    <d v="2021-02-15T00:00:00"/>
    <x v="20"/>
    <x v="0"/>
    <x v="20"/>
    <m/>
    <s v="préventif"/>
    <s v="cassette d7"/>
    <s v="Blocage de l'ecrou de rassemblage"/>
    <s v="Réparation"/>
    <s v="Changement d'ecrou"/>
    <d v="2021-02-15T00:00:00"/>
    <m/>
    <n v="60"/>
    <x v="1"/>
    <x v="2"/>
    <m/>
  </r>
  <r>
    <d v="2021-02-15T00:00:00"/>
    <x v="20"/>
    <x v="0"/>
    <x v="20"/>
    <m/>
    <s v="préventif"/>
    <s v="cassette pr8"/>
    <s v="Mauvais zoomage au cassette D8"/>
    <s v="Réparation"/>
    <s v="Demontage et reglage de cassette"/>
    <d v="2021-02-15T00:00:00"/>
    <m/>
    <n v="60"/>
    <x v="1"/>
    <x v="2"/>
    <m/>
  </r>
  <r>
    <d v="2021-02-15T00:00:00"/>
    <x v="12"/>
    <x v="0"/>
    <x v="12"/>
    <m/>
    <s v="Correctif"/>
    <s v="Système de dressage"/>
    <s v="Courroie endommagée"/>
    <s v="Réparation"/>
    <s v="Changement de courroie"/>
    <d v="2021-02-15T00:00:00"/>
    <m/>
    <n v="30"/>
    <x v="1"/>
    <x v="2"/>
    <m/>
  </r>
  <r>
    <d v="2021-02-15T00:00:00"/>
    <x v="26"/>
    <x v="0"/>
    <x v="26"/>
    <m/>
    <s v="préventif"/>
    <s v="Bloc de soudage"/>
    <s v="Besoin en electrode"/>
    <s v="Réparation"/>
    <s v="Confection de deux electrodes de couteau"/>
    <d v="2021-02-15T00:00:00"/>
    <m/>
    <n v="15"/>
    <x v="1"/>
    <x v="2"/>
    <m/>
  </r>
  <r>
    <d v="2021-02-15T00:00:00"/>
    <x v="1"/>
    <x v="0"/>
    <x v="1"/>
    <m/>
    <s v="préventif"/>
    <s v="Cassette 3,2"/>
    <s v="Mauvais zoomage au cassette D3,2"/>
    <s v="Réparation"/>
    <s v="Demontage et reglage de cassette"/>
    <d v="2021-02-15T00:00:00"/>
    <m/>
    <n v="30"/>
    <x v="1"/>
    <x v="2"/>
    <m/>
  </r>
  <r>
    <d v="2021-02-15T00:00:00"/>
    <x v="3"/>
    <x v="1"/>
    <x v="3"/>
    <m/>
    <s v="préventif"/>
    <s v="Retourneur"/>
    <s v="Fuite d'air au niveau du verin de retourneur"/>
    <s v="Réparation"/>
    <s v="Changement de prise rapide"/>
    <d v="2021-02-15T00:00:00"/>
    <m/>
    <n v="15"/>
    <x v="1"/>
    <x v="2"/>
    <m/>
  </r>
  <r>
    <d v="2021-02-15T00:00:00"/>
    <x v="1"/>
    <x v="0"/>
    <x v="1"/>
    <m/>
    <s v="préventif"/>
    <s v="Cassette 4,80"/>
    <s v="Circuit de graissage de cassette D4,8"/>
    <s v="Réparation"/>
    <s v="Changement du flexible et du distributeur"/>
    <d v="2021-02-15T00:00:00"/>
    <m/>
    <n v="30"/>
    <x v="1"/>
    <x v="2"/>
    <m/>
  </r>
  <r>
    <d v="2021-02-16T00:00:00"/>
    <x v="1"/>
    <x v="0"/>
    <x v="1"/>
    <m/>
    <s v="préventif"/>
    <s v="Poste de soudage"/>
    <s v="Moteur de poste soudeur"/>
    <s v="Réparation"/>
    <s v="Changement de 2 roulement "/>
    <d v="2021-02-16T00:00:00"/>
    <m/>
    <n v="45"/>
    <x v="1"/>
    <x v="2"/>
    <m/>
  </r>
  <r>
    <d v="2021-02-16T00:00:00"/>
    <x v="7"/>
    <x v="0"/>
    <x v="7"/>
    <m/>
    <s v="Correctif"/>
    <s v="Cisaille"/>
    <s v="Fuite d'air sur le distributeur"/>
    <s v="Réparation"/>
    <s v="Changement des joints et nettoyage du distributeur"/>
    <d v="2021-02-16T00:00:00"/>
    <m/>
    <n v="30"/>
    <x v="1"/>
    <x v="2"/>
    <m/>
  </r>
  <r>
    <d v="2021-02-16T00:00:00"/>
    <x v="8"/>
    <x v="4"/>
    <x v="8"/>
    <m/>
    <s v="Correctif"/>
    <s v="Moteur latéral"/>
    <s v="Galet et accouplement endommagés"/>
    <s v="Réparation"/>
    <s v="Montage du galet et motoreducteur - Installation du cable d'alimentation du moteur"/>
    <d v="2021-02-16T00:00:00"/>
    <m/>
    <n v="180"/>
    <x v="1"/>
    <x v="2"/>
    <m/>
  </r>
  <r>
    <d v="2021-02-17T00:00:00"/>
    <x v="3"/>
    <x v="1"/>
    <x v="3"/>
    <m/>
    <s v="Correctif"/>
    <s v="Pince ??"/>
    <s v="Roue codeuse"/>
    <s v="Réparation"/>
    <s v="Défaillance d'alimentation 12V"/>
    <d v="2021-02-17T00:00:00"/>
    <m/>
    <n v="60"/>
    <x v="1"/>
    <x v="2"/>
    <m/>
  </r>
  <r>
    <d v="2021-02-17T00:00:00"/>
    <x v="3"/>
    <x v="1"/>
    <x v="3"/>
    <m/>
    <s v="Correctif"/>
    <s v="Cercleuse 06"/>
    <s v="Blocage du vérin cercleuse N6"/>
    <s v="Réparation"/>
    <s v="Dressage de fixation"/>
    <d v="2021-02-17T00:00:00"/>
    <m/>
    <n v="30"/>
    <x v="1"/>
    <x v="2"/>
    <m/>
  </r>
  <r>
    <d v="2021-02-17T00:00:00"/>
    <x v="3"/>
    <x v="1"/>
    <x v="3"/>
    <m/>
    <s v="préventif"/>
    <s v="Malaxeur"/>
    <s v="Vis desserrés"/>
    <s v="Réparation"/>
    <s v="Serrage des vis"/>
    <d v="2021-02-17T00:00:00"/>
    <m/>
    <n v="30"/>
    <x v="1"/>
    <x v="2"/>
    <m/>
  </r>
  <r>
    <d v="2021-02-17T00:00:00"/>
    <x v="4"/>
    <x v="0"/>
    <x v="4"/>
    <m/>
    <s v="préventif"/>
    <s v="Empileur"/>
    <s v="Fuite d'huile au niveau du chariot transporteur "/>
    <s v="Réparation"/>
    <s v="Changement des joints toriques usés"/>
    <d v="2021-02-17T00:00:00"/>
    <m/>
    <n v="30"/>
    <x v="1"/>
    <x v="2"/>
    <m/>
  </r>
  <r>
    <d v="2021-02-17T00:00:00"/>
    <x v="7"/>
    <x v="0"/>
    <x v="7"/>
    <m/>
    <s v="Correctif"/>
    <s v="Cisaille"/>
    <s v="Fuite d'air au niveau du vérin de cisaille"/>
    <s v="Réparation"/>
    <s v="Changement de nécessaire  et du distributeur"/>
    <d v="2021-02-17T00:00:00"/>
    <m/>
    <n v="30"/>
    <x v="1"/>
    <x v="2"/>
    <m/>
  </r>
  <r>
    <d v="2021-02-17T00:00:00"/>
    <x v="7"/>
    <x v="0"/>
    <x v="7"/>
    <m/>
    <s v="préventif"/>
    <s v="Bloc de soudure"/>
    <s v="Besoin en electrode"/>
    <s v="Réparation"/>
    <s v="Confection de 27 electrodes"/>
    <d v="2021-02-17T00:00:00"/>
    <m/>
    <n v="240"/>
    <x v="1"/>
    <x v="2"/>
    <m/>
  </r>
  <r>
    <d v="2021-02-18T00:00:00"/>
    <x v="20"/>
    <x v="0"/>
    <x v="20"/>
    <m/>
    <s v="préventif"/>
    <s v="Socle de fixation de cassette"/>
    <s v="Socle de fixation de cassette"/>
    <s v="Réparation"/>
    <s v="Changement d'ecrou M24"/>
    <d v="2021-02-18T00:00:00"/>
    <m/>
    <n v="20"/>
    <x v="1"/>
    <x v="2"/>
    <m/>
  </r>
  <r>
    <d v="2021-02-18T00:00:00"/>
    <x v="7"/>
    <x v="0"/>
    <x v="7"/>
    <m/>
    <s v="Correctif"/>
    <s v="Cisaille"/>
    <s v="Fuite d'air au niveau de deplacement de cisaille"/>
    <s v="Réparation"/>
    <s v="Changement de deux prises rapides et silencieuse et de kits de joints de distributeur"/>
    <d v="2021-02-18T00:00:00"/>
    <m/>
    <n v="30"/>
    <x v="1"/>
    <x v="2"/>
    <m/>
  </r>
  <r>
    <d v="2021-02-18T00:00:00"/>
    <x v="4"/>
    <x v="0"/>
    <x v="4"/>
    <m/>
    <s v="Correctif"/>
    <s v="Dresseuse"/>
    <s v="Galet de dressage"/>
    <s v="Réparation"/>
    <s v="Changement de 2 roulements "/>
    <d v="2021-02-18T00:00:00"/>
    <m/>
    <n v="30"/>
    <x v="1"/>
    <x v="2"/>
    <m/>
  </r>
  <r>
    <d v="2021-02-18T00:00:00"/>
    <x v="10"/>
    <x v="0"/>
    <x v="10"/>
    <m/>
    <s v="préventif"/>
    <s v="Cassette pr10"/>
    <s v="Circuit de refroidissement de cassette D10"/>
    <s v="Réparation"/>
    <s v="Changement de flexible et mamelon"/>
    <d v="2021-02-18T00:00:00"/>
    <m/>
    <n v="30"/>
    <x v="1"/>
    <x v="2"/>
    <m/>
  </r>
  <r>
    <d v="2021-02-19T00:00:00"/>
    <x v="3"/>
    <x v="1"/>
    <x v="3"/>
    <m/>
    <s v="Correctif"/>
    <s v="Alimentation générale"/>
    <s v="Disjoncteur géneral 160A"/>
    <s v="Réparation"/>
    <s v="Changement de disjoncteur"/>
    <d v="2021-02-19T00:00:00"/>
    <m/>
    <n v="60"/>
    <x v="1"/>
    <x v="2"/>
    <m/>
  </r>
  <r>
    <d v="2021-02-19T00:00:00"/>
    <x v="10"/>
    <x v="0"/>
    <x v="10"/>
    <m/>
    <s v="Correctif"/>
    <s v="Pompe de graissage"/>
    <s v="Pompe de graissage"/>
    <s v="Réparation"/>
    <s v="Changement de mamelon 1/8"/>
    <d v="2021-02-19T00:00:00"/>
    <m/>
    <n v="15"/>
    <x v="1"/>
    <x v="2"/>
    <m/>
  </r>
  <r>
    <d v="2021-02-19T00:00:00"/>
    <x v="10"/>
    <x v="0"/>
    <x v="10"/>
    <m/>
    <s v="Correctif"/>
    <s v="Poste de soudage"/>
    <s v="Pierre meuleuse emdomagée"/>
    <s v="Réparation"/>
    <s v="Changement de pierre meleuse"/>
    <d v="2021-02-19T00:00:00"/>
    <m/>
    <n v="10"/>
    <x v="1"/>
    <x v="2"/>
    <m/>
  </r>
  <r>
    <d v="2021-02-19T00:00:00"/>
    <x v="10"/>
    <x v="0"/>
    <x v="10"/>
    <m/>
    <s v="préventif"/>
    <s v="Cassette PR10"/>
    <s v="Circuit de refroidissement de cassette D10"/>
    <s v="Réparation"/>
    <s v="Changement de circuit et de flexible"/>
    <d v="2021-02-19T00:00:00"/>
    <m/>
    <n v="30"/>
    <x v="1"/>
    <x v="2"/>
    <m/>
  </r>
  <r>
    <d v="2021-02-19T00:00:00"/>
    <x v="35"/>
    <x v="8"/>
    <x v="35"/>
    <m/>
    <s v="préventif"/>
    <s v="Compresseur"/>
    <s v="Vidange"/>
    <s v="Réparation"/>
    <s v="Vidange d'huile DTE26 13l"/>
    <d v="2021-02-19T00:00:00"/>
    <m/>
    <n v="15"/>
    <x v="1"/>
    <x v="2"/>
    <m/>
  </r>
  <r>
    <d v="2021-02-19T00:00:00"/>
    <x v="0"/>
    <x v="0"/>
    <x v="0"/>
    <m/>
    <s v="Correctif"/>
    <s v="Bloc de soudage"/>
    <s v="Support de fixation de presse"/>
    <s v="Réparation"/>
    <s v="Changement du support"/>
    <d v="2021-02-19T00:00:00"/>
    <m/>
    <n v="30"/>
    <x v="1"/>
    <x v="2"/>
    <m/>
  </r>
  <r>
    <d v="2021-02-19T00:00:00"/>
    <x v="1"/>
    <x v="0"/>
    <x v="1"/>
    <m/>
    <s v="préventif"/>
    <s v="Cassette 3,8"/>
    <s v="Jeu sur cassette 3,8 galet lisse"/>
    <s v="Réparation"/>
    <s v="Changement de galet et axe de fixation "/>
    <d v="2021-02-19T00:00:00"/>
    <m/>
    <n v="120"/>
    <x v="1"/>
    <x v="2"/>
    <m/>
  </r>
  <r>
    <d v="2021-02-20T00:00:00"/>
    <x v="2"/>
    <x v="1"/>
    <x v="2"/>
    <m/>
    <s v="Correctif"/>
    <s v="Pilon"/>
    <s v="Problème au niveau du pilon"/>
    <s v="Réparation"/>
    <s v="Changement de détecteur"/>
    <d v="2021-02-20T00:00:00"/>
    <m/>
    <n v="30"/>
    <x v="1"/>
    <x v="2"/>
    <m/>
  </r>
  <r>
    <d v="2021-02-20T00:00:00"/>
    <x v="4"/>
    <x v="0"/>
    <x v="4"/>
    <m/>
    <s v="Correctif"/>
    <s v="Guide fil"/>
    <s v="Guide fil"/>
    <s v="Réparation"/>
    <s v="Soudage de partie usée et dressage du guide fil"/>
    <d v="2021-02-20T00:00:00"/>
    <m/>
    <n v="30"/>
    <x v="1"/>
    <x v="2"/>
    <m/>
  </r>
  <r>
    <d v="2021-02-20T00:00:00"/>
    <x v="16"/>
    <x v="0"/>
    <x v="16"/>
    <m/>
    <s v="préventif"/>
    <s v="Refroidisseur"/>
    <s v="Vidange"/>
    <s v="Réparation"/>
    <s v="Vidange d'eau de refroidissement"/>
    <d v="2021-02-20T00:00:00"/>
    <m/>
    <n v="45"/>
    <x v="1"/>
    <x v="2"/>
    <m/>
  </r>
  <r>
    <d v="2021-02-20T00:00:00"/>
    <x v="3"/>
    <x v="1"/>
    <x v="3"/>
    <m/>
    <s v="préventif"/>
    <s v="Malaxeur"/>
    <s v="Problème d'éclairage"/>
    <s v="Réparation"/>
    <s v="Changement de lampe et amorçeur"/>
    <d v="2021-02-20T00:00:00"/>
    <m/>
    <n v="120"/>
    <x v="1"/>
    <x v="2"/>
    <m/>
  </r>
  <r>
    <d v="2021-02-21T00:00:00"/>
    <x v="21"/>
    <x v="4"/>
    <x v="21"/>
    <m/>
    <s v="Correctif"/>
    <s v="Tambour principal"/>
    <s v="Roulement endommagé"/>
    <s v="Réparation"/>
    <s v="Changement de roulement"/>
    <d v="2021-02-21T00:00:00"/>
    <m/>
    <n v="60"/>
    <x v="1"/>
    <x v="2"/>
    <m/>
  </r>
  <r>
    <d v="2021-02-21T00:00:00"/>
    <x v="3"/>
    <x v="1"/>
    <x v="3"/>
    <m/>
    <s v="Correctif"/>
    <s v="Table vibrante"/>
    <s v="rupture de courroie 2800 de table vibrante"/>
    <s v="Réparation"/>
    <s v="Changement de courroie et réglage de calage "/>
    <d v="2021-02-22T00:00:00"/>
    <m/>
    <n v="300"/>
    <x v="1"/>
    <x v="2"/>
    <m/>
  </r>
  <r>
    <d v="2021-02-22T00:00:00"/>
    <x v="1"/>
    <x v="0"/>
    <x v="1"/>
    <m/>
    <s v="préventif"/>
    <s v="Cassette 3,2"/>
    <s v="Jeu sur cassette D3,2"/>
    <s v="Réparation"/>
    <s v="Changement de 2 roulements et reglage du zoomage"/>
    <d v="2021-02-22T00:00:00"/>
    <m/>
    <n v="60"/>
    <x v="1"/>
    <x v="2"/>
    <m/>
  </r>
  <r>
    <d v="2021-02-22T00:00:00"/>
    <x v="3"/>
    <x v="1"/>
    <x v="3"/>
    <m/>
    <s v="Correctif"/>
    <s v="Pousse planche"/>
    <s v="Défaillance de détecteur de proximité"/>
    <s v="Réparation"/>
    <s v="Changement de détecteur"/>
    <d v="2021-02-22T00:00:00"/>
    <m/>
    <n v="30"/>
    <x v="1"/>
    <x v="2"/>
    <m/>
  </r>
  <r>
    <d v="2021-02-23T00:00:00"/>
    <x v="27"/>
    <x v="2"/>
    <x v="27"/>
    <m/>
    <s v="Correctif"/>
    <s v="Malaxeur"/>
    <s v="Fuite d'huile dans le reducteur du malaxeur"/>
    <s v="Réparation"/>
    <s v="Attente livraison d'arrêt d'huile"/>
    <d v="2021-02-23T00:00:00"/>
    <m/>
    <n v="30"/>
    <x v="1"/>
    <x v="2"/>
    <m/>
  </r>
  <r>
    <d v="2021-02-23T00:00:00"/>
    <x v="3"/>
    <x v="1"/>
    <x v="3"/>
    <m/>
    <s v="Correctif"/>
    <s v="Palettiseur"/>
    <s v="Chaine du convoyeur endomagée"/>
    <s v="Réparation"/>
    <s v="Changement de chaîne"/>
    <d v="2021-02-23T00:00:00"/>
    <m/>
    <n v="15"/>
    <x v="1"/>
    <x v="2"/>
    <m/>
  </r>
  <r>
    <d v="2021-02-23T00:00:00"/>
    <x v="1"/>
    <x v="0"/>
    <x v="1"/>
    <m/>
    <s v="préventif"/>
    <s v="Cassette 4,80"/>
    <s v="Circuit de refroidissement D4,8"/>
    <s v="Réparation"/>
    <s v="Changement de flexible"/>
    <d v="2021-02-23T00:00:00"/>
    <m/>
    <n v="30"/>
    <x v="1"/>
    <x v="2"/>
    <m/>
  </r>
  <r>
    <d v="2021-02-23T00:00:00"/>
    <x v="4"/>
    <x v="0"/>
    <x v="4"/>
    <m/>
    <s v="Correctif"/>
    <s v="Empileur"/>
    <s v="Distributeur colmaté"/>
    <s v="Réparation"/>
    <s v="Nettoyage et réparation du distributeur"/>
    <d v="2021-02-23T00:00:00"/>
    <m/>
    <n v="30"/>
    <x v="1"/>
    <x v="2"/>
    <m/>
  </r>
  <r>
    <d v="2021-02-23T00:00:00"/>
    <x v="1"/>
    <x v="0"/>
    <x v="1"/>
    <m/>
    <s v="préventif"/>
    <s v="Cassette 3,2"/>
    <s v="Circuit d'eau de cassette D3,2"/>
    <s v="Réparation"/>
    <s v="Mamelon 1/8&quot; usée"/>
    <d v="2021-02-23T00:00:00"/>
    <m/>
    <n v="20"/>
    <x v="1"/>
    <x v="2"/>
    <m/>
  </r>
  <r>
    <d v="2021-02-24T00:00:00"/>
    <x v="3"/>
    <x v="1"/>
    <x v="3"/>
    <m/>
    <s v="Correctif"/>
    <s v="Skip"/>
    <s v="Rupture du cable antigiratoire"/>
    <s v="Réparation"/>
    <s v="Changement du cable cable antigiratoire D16 / et réducteur"/>
    <d v="2021-02-25T00:00:00"/>
    <m/>
    <n v="720"/>
    <x v="1"/>
    <x v="2"/>
    <m/>
  </r>
  <r>
    <d v="2021-02-25T00:00:00"/>
    <x v="10"/>
    <x v="0"/>
    <x v="10"/>
    <m/>
    <s v="préventif"/>
    <s v="Cassette PR9"/>
    <s v="Jeu sur cassette de D9"/>
    <s v="Réparation"/>
    <s v="Changement de roulement + Zoomage"/>
    <d v="2021-02-25T00:00:00"/>
    <m/>
    <n v="60"/>
    <x v="1"/>
    <x v="2"/>
    <m/>
  </r>
  <r>
    <d v="2021-02-25T00:00:00"/>
    <x v="10"/>
    <x v="0"/>
    <x v="10"/>
    <m/>
    <s v="préventif"/>
    <s v="Cassette PR8"/>
    <s v="Jeu sur cassette D8"/>
    <s v="Réparation"/>
    <s v="Demontage de cassette et changement de galet et 4 roulements "/>
    <d v="2021-02-25T00:00:00"/>
    <m/>
    <n v="60"/>
    <x v="1"/>
    <x v="2"/>
    <m/>
  </r>
  <r>
    <d v="2021-02-25T00:00:00"/>
    <x v="1"/>
    <x v="0"/>
    <x v="1"/>
    <m/>
    <s v="préventif"/>
    <s v="Cassette 3,2"/>
    <s v="circuit d'eau sur cassette D3,2"/>
    <s v="Réparation"/>
    <s v="Mamelon 1/8&quot; usée et raccord 1/8&quot; usée"/>
    <d v="2021-02-25T00:00:00"/>
    <m/>
    <n v="20"/>
    <x v="1"/>
    <x v="2"/>
    <m/>
  </r>
  <r>
    <d v="2021-02-25T00:00:00"/>
    <x v="1"/>
    <x v="0"/>
    <x v="1"/>
    <m/>
    <s v="Correctif"/>
    <s v="Cercleuse"/>
    <s v="Embout air comprimé endommagé"/>
    <s v="Réparation"/>
    <s v="Changement d'embout"/>
    <d v="2021-02-25T00:00:00"/>
    <m/>
    <n v="15"/>
    <x v="1"/>
    <x v="2"/>
    <m/>
  </r>
  <r>
    <d v="2021-02-25T00:00:00"/>
    <x v="3"/>
    <x v="1"/>
    <x v="3"/>
    <m/>
    <s v="Correctif"/>
    <s v="Colorant"/>
    <s v="Absence indicateur Alpha c2"/>
    <s v="Réparation"/>
    <s v="Installation de l'indicateur Alpha C2 du systeme de colorant"/>
    <d v="2021-02-25T00:00:00"/>
    <m/>
    <n v="15"/>
    <x v="1"/>
    <x v="2"/>
    <m/>
  </r>
  <r>
    <d v="2021-02-25T00:00:00"/>
    <x v="2"/>
    <x v="1"/>
    <x v="2"/>
    <m/>
    <s v="Correctif"/>
    <s v="Pince"/>
    <s v="Cable d'alimentation endommagé"/>
    <s v="Réparation"/>
    <s v="Changement de cable"/>
    <d v="2021-02-26T00:00:00"/>
    <m/>
    <n v="420"/>
    <x v="1"/>
    <x v="2"/>
    <m/>
  </r>
  <r>
    <d v="2021-02-26T00:00:00"/>
    <x v="10"/>
    <x v="0"/>
    <x v="10"/>
    <m/>
    <s v="préventif"/>
    <s v="Cassette d5"/>
    <s v="Jeu sur cassette de D5"/>
    <s v="Réparation"/>
    <s v="Demontage de cassete et changement de 2 roulements"/>
    <d v="2021-02-26T00:00:00"/>
    <m/>
    <n v="60"/>
    <x v="1"/>
    <x v="2"/>
    <m/>
  </r>
  <r>
    <d v="2021-02-26T00:00:00"/>
    <x v="3"/>
    <x v="1"/>
    <x v="3"/>
    <m/>
    <s v="préventif"/>
    <s v="Tiroir d'agitation"/>
    <s v="jeu sur les bras d'agitation)"/>
    <s v="Réparation"/>
    <s v="Changement des jeus de bras et 2 bielles et changement et 2 roulements"/>
    <d v="2021-02-26T00:00:00"/>
    <m/>
    <n v="240"/>
    <x v="1"/>
    <x v="2"/>
    <m/>
  </r>
  <r>
    <d v="2021-02-26T00:00:00"/>
    <x v="2"/>
    <x v="1"/>
    <x v="2"/>
    <m/>
    <s v="Correctif"/>
    <s v="Tiroir d'agitation"/>
    <s v="Palier endommagés"/>
    <s v="Réparation"/>
    <s v="Changement du palier d'agitation"/>
    <d v="2021-02-26T00:00:00"/>
    <m/>
    <n v="30"/>
    <x v="1"/>
    <x v="2"/>
    <m/>
  </r>
  <r>
    <d v="2021-02-26T00:00:00"/>
    <x v="7"/>
    <x v="0"/>
    <x v="7"/>
    <m/>
    <s v="Correctif"/>
    <s v="Cisaille"/>
    <s v="Disributeur HS"/>
    <s v="Réparation"/>
    <s v="Changement du distributeur "/>
    <d v="2021-02-26T00:00:00"/>
    <m/>
    <n v="30"/>
    <x v="1"/>
    <x v="2"/>
    <m/>
  </r>
  <r>
    <d v="2021-02-27T00:00:00"/>
    <x v="10"/>
    <x v="0"/>
    <x v="10"/>
    <m/>
    <s v="Correctif"/>
    <s v="Cassette PR5"/>
    <s v="Galet PR5 endommagé"/>
    <s v="Réparation"/>
    <s v="Changement de galet complet"/>
    <d v="2021-02-27T00:00:00"/>
    <m/>
    <n v="30"/>
    <x v="1"/>
    <x v="2"/>
    <m/>
  </r>
  <r>
    <d v="2021-02-27T00:00:00"/>
    <x v="3"/>
    <x v="1"/>
    <x v="3"/>
    <m/>
    <s v="Correctif"/>
    <s v="Pince"/>
    <s v="Cable d'alimentation electrique endommagé"/>
    <s v="Réparation"/>
    <s v="Réparation de cable"/>
    <d v="2021-02-27T00:00:00"/>
    <m/>
    <n v="15"/>
    <x v="1"/>
    <x v="2"/>
    <m/>
  </r>
  <r>
    <d v="2021-02-27T00:00:00"/>
    <x v="2"/>
    <x v="1"/>
    <x v="2"/>
    <m/>
    <s v="Correctif"/>
    <s v="Tiroir d'agitation"/>
    <s v="Chaîne B2 simple endommagée sur le système d'agitation"/>
    <s v="Réparation"/>
    <s v="Changement de chaîne "/>
    <d v="2021-02-27T00:00:00"/>
    <m/>
    <n v="15"/>
    <x v="1"/>
    <x v="2"/>
    <m/>
  </r>
  <r>
    <d v="2021-03-01T00:00:00"/>
    <x v="22"/>
    <x v="0"/>
    <x v="22"/>
    <m/>
    <s v="Correctif"/>
    <s v="Cisaille"/>
    <s v="PB d'accouplement"/>
    <s v="Réparation"/>
    <s v="Soudage de partie usée sur la clavette"/>
    <d v="2021-03-01T00:00:00"/>
    <m/>
    <n v="30"/>
    <x v="2"/>
    <x v="2"/>
    <m/>
  </r>
  <r>
    <d v="2021-03-01T00:00:00"/>
    <x v="7"/>
    <x v="0"/>
    <x v="7"/>
    <m/>
    <s v="Correctif"/>
    <s v="Dresseuse"/>
    <s v="galet du système de dressage usé"/>
    <s v="Réparation"/>
    <s v="Changement du galet"/>
    <d v="2021-03-01T00:00:00"/>
    <m/>
    <n v="20"/>
    <x v="2"/>
    <x v="2"/>
    <m/>
  </r>
  <r>
    <d v="2021-03-01T00:00:00"/>
    <x v="36"/>
    <x v="4"/>
    <x v="36"/>
    <m/>
    <s v="préventif"/>
    <s v="Cassette d7"/>
    <s v="Circuit de graissage de cassette D7"/>
    <s v="Réparation"/>
    <s v="Changement du flexible"/>
    <d v="2021-03-01T00:00:00"/>
    <m/>
    <n v="30"/>
    <x v="2"/>
    <x v="2"/>
    <m/>
  </r>
  <r>
    <d v="2021-03-01T00:00:00"/>
    <x v="20"/>
    <x v="0"/>
    <x v="20"/>
    <m/>
    <s v="préventif"/>
    <s v="Cassette d5"/>
    <s v="Circuit de graissage de cassette D5"/>
    <s v="Réparation"/>
    <s v="Changement du flexible"/>
    <d v="2021-03-01T00:00:00"/>
    <m/>
    <n v="25"/>
    <x v="2"/>
    <x v="2"/>
    <m/>
  </r>
  <r>
    <d v="2021-03-01T00:00:00"/>
    <x v="5"/>
    <x v="2"/>
    <x v="5"/>
    <m/>
    <s v="Correctif"/>
    <s v="Systeme de transmission de poutrelle"/>
    <s v="Pignons endommagés"/>
    <s v="Réparation"/>
    <s v="Changement de deux pignons"/>
    <d v="2021-03-01T00:00:00"/>
    <m/>
    <n v="30"/>
    <x v="2"/>
    <x v="2"/>
    <m/>
  </r>
  <r>
    <d v="2021-03-01T00:00:00"/>
    <x v="3"/>
    <x v="1"/>
    <x v="3"/>
    <m/>
    <s v="Correctif"/>
    <s v="Moule"/>
    <s v="Fuite interne au niveau du verin moule"/>
    <s v="Réparation"/>
    <s v="Changement du kit joint et changement de chappe"/>
    <d v="2021-03-01T00:00:00"/>
    <m/>
    <n v="45"/>
    <x v="2"/>
    <x v="2"/>
    <m/>
  </r>
  <r>
    <d v="2021-03-02T00:00:00"/>
    <x v="10"/>
    <x v="0"/>
    <x v="10"/>
    <m/>
    <s v="préventif"/>
    <s v="Cassette d12"/>
    <s v="Jeu sur cassette D12"/>
    <s v="Réparation"/>
    <s v="Changement de 6 roulements et réglage de zoomage"/>
    <d v="2021-03-02T00:00:00"/>
    <m/>
    <n v="120"/>
    <x v="2"/>
    <x v="2"/>
    <m/>
  </r>
  <r>
    <d v="2021-03-02T00:00:00"/>
    <x v="1"/>
    <x v="0"/>
    <x v="1"/>
    <m/>
    <s v="préventif"/>
    <s v="Circuit de graissage"/>
    <s v="Manque d'huile au niveau du reservoir d'huile de refroidissement"/>
    <s v="Réparation"/>
    <s v="Mise à niveau  correcte d'huile VP90"/>
    <d v="2021-03-02T00:00:00"/>
    <m/>
    <n v="45"/>
    <x v="2"/>
    <x v="2"/>
    <m/>
  </r>
  <r>
    <d v="2021-03-02T00:00:00"/>
    <x v="3"/>
    <x v="1"/>
    <x v="3"/>
    <m/>
    <s v="Correctif"/>
    <s v="presse"/>
    <s v="Problème d'éclairage"/>
    <s v="Réparation"/>
    <s v="Changement de 4 lampes et de 4 startaires"/>
    <d v="2021-03-02T00:00:00"/>
    <m/>
    <n v="0"/>
    <x v="2"/>
    <x v="2"/>
    <m/>
  </r>
  <r>
    <d v="2021-03-02T00:00:00"/>
    <x v="3"/>
    <x v="1"/>
    <x v="3"/>
    <m/>
    <s v="Correctif"/>
    <s v="Transbordeur"/>
    <s v="Palier endommagés"/>
    <s v="Réparation"/>
    <s v="Changement du palier "/>
    <d v="2021-03-02T00:00:00"/>
    <m/>
    <n v="45"/>
    <x v="2"/>
    <x v="2"/>
    <m/>
  </r>
  <r>
    <d v="2021-03-02T00:00:00"/>
    <x v="3"/>
    <x v="1"/>
    <x v="3"/>
    <m/>
    <s v="Correctif"/>
    <s v="Pilon"/>
    <s v="Fuite d'huile au niveau du verin pilon"/>
    <s v="Réparation"/>
    <s v="Changement du flexible"/>
    <d v="2021-03-02T00:00:00"/>
    <m/>
    <n v="30"/>
    <x v="2"/>
    <x v="2"/>
    <m/>
  </r>
  <r>
    <d v="2021-03-02T00:00:00"/>
    <x v="3"/>
    <x v="1"/>
    <x v="3"/>
    <m/>
    <s v="préventif"/>
    <s v="Silos"/>
    <s v="Eclairage insuffisant"/>
    <m/>
    <s v="Installation de deux projecteurs 400W"/>
    <d v="2021-03-02T00:00:00"/>
    <m/>
    <n v="0"/>
    <x v="2"/>
    <x v="2"/>
    <m/>
  </r>
  <r>
    <d v="2021-03-03T00:00:00"/>
    <x v="2"/>
    <x v="1"/>
    <x v="2"/>
    <m/>
    <s v="Correctif"/>
    <s v="Cercleuse"/>
    <s v="Probleme au niveau de cercleur N8"/>
    <s v="Réparation"/>
    <s v="Changement de commutateur"/>
    <d v="2021-03-03T00:00:00"/>
    <m/>
    <n v="20"/>
    <x v="2"/>
    <x v="2"/>
    <m/>
  </r>
  <r>
    <d v="2021-03-04T00:00:00"/>
    <x v="2"/>
    <x v="1"/>
    <x v="2"/>
    <m/>
    <s v="préventif"/>
    <s v="Convoyeur "/>
    <s v="Convoyeur d'agregats"/>
    <s v="Réparation"/>
    <s v="Changement de courroie"/>
    <d v="2021-03-04T00:00:00"/>
    <m/>
    <n v="30"/>
    <x v="2"/>
    <x v="2"/>
    <m/>
  </r>
  <r>
    <d v="2021-03-04T00:00:00"/>
    <x v="0"/>
    <x v="0"/>
    <x v="0"/>
    <m/>
    <s v="Correctif"/>
    <s v="Empileur"/>
    <s v="Signal de commande absent"/>
    <s v="Réparation"/>
    <s v="Changement de deux relais"/>
    <d v="2021-03-04T00:00:00"/>
    <m/>
    <n v="25"/>
    <x v="2"/>
    <x v="2"/>
    <m/>
  </r>
  <r>
    <d v="2021-03-04T00:00:00"/>
    <x v="22"/>
    <x v="0"/>
    <x v="22"/>
    <m/>
    <s v="Correctif"/>
    <s v="Cisaille"/>
    <s v="Pb de coupe"/>
    <s v="Réparation"/>
    <s v="Changement de 2 clavettes"/>
    <d v="2021-03-04T00:00:00"/>
    <m/>
    <n v="45"/>
    <x v="2"/>
    <x v="2"/>
    <m/>
  </r>
  <r>
    <d v="2021-03-04T00:00:00"/>
    <x v="23"/>
    <x v="4"/>
    <x v="23"/>
    <m/>
    <s v="Correctif"/>
    <s v="Chariot principal"/>
    <s v="Circuit de commande de moteur chariot HS"/>
    <s v="Réparation"/>
    <s v="Changement de bobine"/>
    <d v="2021-03-04T00:00:00"/>
    <m/>
    <n v="60"/>
    <x v="2"/>
    <x v="2"/>
    <m/>
  </r>
  <r>
    <d v="2021-03-04T00:00:00"/>
    <x v="16"/>
    <x v="0"/>
    <x v="16"/>
    <m/>
    <s v="Correctif"/>
    <s v="Redresseur"/>
    <s v="Chaine endommagée"/>
    <s v="Réparation"/>
    <s v="Changement de chaîne "/>
    <d v="2021-03-04T00:00:00"/>
    <m/>
    <n v="60"/>
    <x v="2"/>
    <x v="2"/>
    <m/>
  </r>
  <r>
    <d v="2021-03-04T00:00:00"/>
    <x v="0"/>
    <x v="0"/>
    <x v="0"/>
    <m/>
    <s v="Correctif"/>
    <s v="Système d'avancement"/>
    <s v="Bielle usée"/>
    <s v="Réparation"/>
    <s v="Changement du bielle"/>
    <d v="2021-03-04T00:00:00"/>
    <m/>
    <n v="45"/>
    <x v="2"/>
    <x v="2"/>
    <m/>
  </r>
  <r>
    <d v="2021-03-05T00:00:00"/>
    <x v="2"/>
    <x v="1"/>
    <x v="2"/>
    <m/>
    <s v="Correctif"/>
    <s v="Système d'agitation"/>
    <s v="Rupture de la chaine"/>
    <s v="Réparation"/>
    <s v="Changement de chaine"/>
    <d v="2021-03-05T00:00:00"/>
    <m/>
    <n v="45"/>
    <x v="2"/>
    <x v="2"/>
    <m/>
  </r>
  <r>
    <d v="2021-03-05T00:00:00"/>
    <x v="7"/>
    <x v="0"/>
    <x v="7"/>
    <m/>
    <s v="Correctif"/>
    <s v="Cisaille"/>
    <s v="Silent bloc du vérin endommagé"/>
    <s v="Réparation"/>
    <s v="Changement du silent bloc"/>
    <d v="2021-03-05T00:00:00"/>
    <m/>
    <n v="30"/>
    <x v="2"/>
    <x v="2"/>
    <m/>
  </r>
  <r>
    <d v="2021-03-05T00:00:00"/>
    <x v="1"/>
    <x v="0"/>
    <x v="1"/>
    <m/>
    <s v="Correctif"/>
    <s v="Poste de soudage"/>
    <s v="Commutateur endommagé"/>
    <s v="Réparation"/>
    <s v="Changement du commutateur"/>
    <d v="2021-03-05T00:00:00"/>
    <m/>
    <n v="20"/>
    <x v="2"/>
    <x v="2"/>
    <m/>
  </r>
  <r>
    <d v="2021-03-06T00:00:00"/>
    <x v="10"/>
    <x v="0"/>
    <x v="10"/>
    <m/>
    <s v="préventif"/>
    <s v="Cassette d9"/>
    <s v="Circuit d'eau sur cassette D9"/>
    <s v="Réparation"/>
    <s v="Changement de deux embouts"/>
    <d v="2021-03-06T00:00:00"/>
    <m/>
    <n v="15"/>
    <x v="2"/>
    <x v="2"/>
    <m/>
  </r>
  <r>
    <d v="2021-03-06T00:00:00"/>
    <x v="16"/>
    <x v="0"/>
    <x v="16"/>
    <m/>
    <s v="Correctif"/>
    <s v="Redresseur"/>
    <s v="Clavetage pignons endommagés"/>
    <s v="Réparation"/>
    <s v="Changement de deux pignons et de deux roulements"/>
    <d v="2021-03-06T00:00:00"/>
    <m/>
    <n v="60"/>
    <x v="2"/>
    <x v="2"/>
    <m/>
  </r>
  <r>
    <d v="2021-03-06T00:00:00"/>
    <x v="2"/>
    <x v="1"/>
    <x v="2"/>
    <m/>
    <s v="préventif"/>
    <s v="Groupe hydraulique"/>
    <s v="Niveau d'huile insuffisant"/>
    <s v="Réparation"/>
    <s v="Mise à niveau d'huile sur le groupe hydraulique "/>
    <d v="2021-03-06T00:00:00"/>
    <m/>
    <n v="20"/>
    <x v="2"/>
    <x v="2"/>
    <m/>
  </r>
  <r>
    <d v="2021-03-06T00:00:00"/>
    <x v="5"/>
    <x v="2"/>
    <x v="5"/>
    <m/>
    <s v="Correctif"/>
    <s v="Mélangeur"/>
    <s v="Manque de phase au niveau du moteur mélangeur"/>
    <s v="Réparation"/>
    <s v="Depannage de cable"/>
    <d v="2021-03-06T00:00:00"/>
    <m/>
    <n v="30"/>
    <x v="2"/>
    <x v="2"/>
    <m/>
  </r>
  <r>
    <d v="2021-03-06T00:00:00"/>
    <x v="5"/>
    <x v="2"/>
    <x v="5"/>
    <m/>
    <s v="Correctif"/>
    <s v="Systeme de transmission de poutrelle"/>
    <s v="Cable electrique endommagé"/>
    <s v="Réparation"/>
    <s v="Réparation de cable"/>
    <d v="2021-03-06T00:00:00"/>
    <m/>
    <n v="20"/>
    <x v="2"/>
    <x v="2"/>
    <m/>
  </r>
  <r>
    <d v="2021-03-06T00:00:00"/>
    <x v="2"/>
    <x v="1"/>
    <x v="2"/>
    <m/>
    <s v="Correctif"/>
    <s v="Pilon"/>
    <s v="Detecteur de pilon"/>
    <s v="Réparation"/>
    <s v="Changement de detecteur"/>
    <d v="2021-03-06T00:00:00"/>
    <m/>
    <n v="20"/>
    <x v="2"/>
    <x v="2"/>
    <m/>
  </r>
  <r>
    <d v="2021-03-08T00:00:00"/>
    <x v="3"/>
    <x v="1"/>
    <x v="3"/>
    <m/>
    <s v="Correctif"/>
    <s v="Transbordeur"/>
    <s v="Cable electrique endommagé"/>
    <s v="Réparation"/>
    <s v="Réparation de cable"/>
    <d v="2021-03-08T00:00:00"/>
    <m/>
    <n v="30"/>
    <x v="2"/>
    <x v="2"/>
    <m/>
  </r>
  <r>
    <d v="2021-03-08T00:00:00"/>
    <x v="11"/>
    <x v="0"/>
    <x v="11"/>
    <m/>
    <s v="Correctif"/>
    <s v="Circuit de refroidissement"/>
    <s v="Pompe à eau endommagé"/>
    <s v="Réparation"/>
    <s v="Changement de pompe"/>
    <d v="2021-03-08T00:00:00"/>
    <m/>
    <n v="180"/>
    <x v="2"/>
    <x v="2"/>
    <m/>
  </r>
  <r>
    <d v="2021-03-08T00:00:00"/>
    <x v="10"/>
    <x v="0"/>
    <x v="10"/>
    <m/>
    <s v="préventif"/>
    <s v="Cassette d8"/>
    <s v="Jeu sur cassette D8"/>
    <s v="Réparation"/>
    <s v="Changement de 2 roulements "/>
    <d v="2021-03-08T00:00:00"/>
    <m/>
    <n v="120"/>
    <x v="2"/>
    <x v="2"/>
    <m/>
  </r>
  <r>
    <d v="2021-03-08T00:00:00"/>
    <x v="1"/>
    <x v="0"/>
    <x v="1"/>
    <m/>
    <s v="préventif"/>
    <s v="Cassette 3,8"/>
    <s v="Fuite d'eau sur cassette D3,8"/>
    <s v="Réparation"/>
    <s v="Chanegement de raccord coudé"/>
    <d v="2021-03-08T00:00:00"/>
    <m/>
    <n v="20"/>
    <x v="2"/>
    <x v="2"/>
    <m/>
  </r>
  <r>
    <d v="2021-03-09T00:00:00"/>
    <x v="1"/>
    <x v="0"/>
    <x v="1"/>
    <m/>
    <s v="préventif"/>
    <s v="cassette 4,6"/>
    <s v="Jeu sur cassette D4,6 lisse"/>
    <s v="Réparation"/>
    <s v="Changement de 4 roulements et reglage de zoomage"/>
    <d v="2021-03-08T00:00:00"/>
    <m/>
    <n v="120"/>
    <x v="2"/>
    <x v="2"/>
    <m/>
  </r>
  <r>
    <d v="2021-03-09T00:00:00"/>
    <x v="7"/>
    <x v="0"/>
    <x v="7"/>
    <m/>
    <s v="Correctif"/>
    <s v="Guide fil"/>
    <s v="Guide fil endommagé"/>
    <s v="Réparation"/>
    <s v="Changement de bague"/>
    <d v="2021-03-09T00:00:00"/>
    <m/>
    <n v="60"/>
    <x v="2"/>
    <x v="2"/>
    <m/>
  </r>
  <r>
    <d v="2021-03-09T00:00:00"/>
    <x v="3"/>
    <x v="1"/>
    <x v="3"/>
    <m/>
    <s v="Correctif"/>
    <s v="Pilon"/>
    <s v="Verin de pilon"/>
    <s v="Réparation"/>
    <s v="Changement du verin"/>
    <d v="2021-03-09T00:00:00"/>
    <m/>
    <n v="60"/>
    <x v="2"/>
    <x v="2"/>
    <m/>
  </r>
  <r>
    <d v="2021-03-09T00:00:00"/>
    <x v="3"/>
    <x v="1"/>
    <x v="3"/>
    <m/>
    <s v="Correctif"/>
    <s v="Pilon"/>
    <s v="Verin de pilon"/>
    <s v="Réparation"/>
    <s v="Changement des vis et des ecrous"/>
    <d v="2021-03-09T00:00:00"/>
    <m/>
    <n v="10"/>
    <x v="2"/>
    <x v="2"/>
    <m/>
  </r>
  <r>
    <d v="2021-03-10T00:00:00"/>
    <x v="4"/>
    <x v="0"/>
    <x v="4"/>
    <m/>
    <s v="Correctif"/>
    <s v="Bloc de soudage"/>
    <s v="Transformateurs endommagés"/>
    <s v="Réparation"/>
    <s v="Montage de deux transformateurs "/>
    <d v="2021-03-10T00:00:00"/>
    <m/>
    <n v="480"/>
    <x v="2"/>
    <x v="2"/>
    <m/>
  </r>
  <r>
    <d v="2021-03-10T00:00:00"/>
    <x v="4"/>
    <x v="0"/>
    <x v="4"/>
    <m/>
    <s v="Correctif"/>
    <s v="Circuit de refroidissement"/>
    <s v="Circuit de refroidissement"/>
    <s v="Réparation"/>
    <s v="Débouchage de flexibles du circuit"/>
    <d v="2021-03-10T00:00:00"/>
    <m/>
    <n v="60"/>
    <x v="2"/>
    <x v="2"/>
    <m/>
  </r>
  <r>
    <d v="2021-03-10T00:00:00"/>
    <x v="2"/>
    <x v="1"/>
    <x v="2"/>
    <m/>
    <s v="Correctif"/>
    <s v="Table vibrante"/>
    <s v="Décalage de la table vibrante "/>
    <s v="Réparation"/>
    <s v="Reglage de calage"/>
    <d v="2021-03-10T00:00:00"/>
    <m/>
    <n v="30"/>
    <x v="2"/>
    <x v="2"/>
    <m/>
  </r>
  <r>
    <d v="2021-03-11T00:00:00"/>
    <x v="2"/>
    <x v="1"/>
    <x v="2"/>
    <m/>
    <s v="préventif"/>
    <s v="Table vibrante"/>
    <s v="tole usée"/>
    <s v="Réparation"/>
    <s v="Changement du tôle"/>
    <d v="2021-03-11T00:00:00"/>
    <m/>
    <n v="120"/>
    <x v="2"/>
    <x v="2"/>
    <m/>
  </r>
  <r>
    <d v="2021-03-11T00:00:00"/>
    <x v="2"/>
    <x v="1"/>
    <x v="2"/>
    <m/>
    <s v="Correctif"/>
    <s v="Grille d'agitation"/>
    <s v="Grille d'agitation décalée"/>
    <s v="Réparation"/>
    <s v="Réglage de grille et remise a l'état initial"/>
    <d v="2021-03-11T00:00:00"/>
    <m/>
    <n v="120"/>
    <x v="2"/>
    <x v="2"/>
    <m/>
  </r>
  <r>
    <d v="2021-03-11T00:00:00"/>
    <x v="2"/>
    <x v="1"/>
    <x v="2"/>
    <m/>
    <s v="Correctif"/>
    <s v="Tiroir d'agitation"/>
    <s v="Cadre glissant usé"/>
    <s v="Réparation"/>
    <s v="Charge de partie usée par soudage"/>
    <d v="2021-03-11T00:00:00"/>
    <m/>
    <n v="45"/>
    <x v="2"/>
    <x v="2"/>
    <m/>
  </r>
  <r>
    <d v="2021-03-11T00:00:00"/>
    <x v="10"/>
    <x v="0"/>
    <x v="10"/>
    <m/>
    <s v="préventif"/>
    <s v="Cassette d7"/>
    <s v="Jeu sur cassette D7 cranté"/>
    <s v="Réparation"/>
    <s v="Changement de 2 roulements et reglage du zoomage"/>
    <d v="2021-03-11T00:00:00"/>
    <m/>
    <n v="45"/>
    <x v="2"/>
    <x v="2"/>
    <m/>
  </r>
  <r>
    <d v="2021-03-11T00:00:00"/>
    <x v="1"/>
    <x v="0"/>
    <x v="1"/>
    <m/>
    <s v="préventif"/>
    <s v="Cassette 3,8"/>
    <s v="Circuit de graissage de cassette D3,8"/>
    <s v="Réparation"/>
    <s v="Changement du flexible"/>
    <d v="2021-03-11T00:00:00"/>
    <m/>
    <n v="20"/>
    <x v="2"/>
    <x v="2"/>
    <m/>
  </r>
  <r>
    <d v="2021-03-11T00:00:00"/>
    <x v="0"/>
    <x v="0"/>
    <x v="0"/>
    <m/>
    <s v="préventif"/>
    <s v="Bloc de soudage"/>
    <s v="Besoin en electrode"/>
    <s v="Réparation"/>
    <s v="Surfacage de 4 electrodes"/>
    <d v="2021-03-11T00:00:00"/>
    <m/>
    <n v="0"/>
    <x v="2"/>
    <x v="2"/>
    <m/>
  </r>
  <r>
    <d v="2021-03-11T00:00:00"/>
    <x v="22"/>
    <x v="0"/>
    <x v="22"/>
    <m/>
    <s v="Correctif"/>
    <s v="Cisaille"/>
    <s v="Clavetage endommagé"/>
    <s v="Réparation"/>
    <s v="Changement de clavette et ressort"/>
    <d v="2021-03-11T00:00:00"/>
    <m/>
    <n v="30"/>
    <x v="2"/>
    <x v="2"/>
    <m/>
  </r>
  <r>
    <d v="2021-03-11T00:00:00"/>
    <x v="7"/>
    <x v="0"/>
    <x v="7"/>
    <m/>
    <s v="Correctif"/>
    <s v="Cisaille"/>
    <s v="Système de déplacement de cisaille"/>
    <s v="Réparation"/>
    <s v="Changement de distibuteur, du tecalon et du raccord"/>
    <d v="2021-03-11T00:00:00"/>
    <m/>
    <n v="45"/>
    <x v="2"/>
    <x v="2"/>
    <m/>
  </r>
  <r>
    <d v="2021-03-12T00:00:00"/>
    <x v="1"/>
    <x v="0"/>
    <x v="1"/>
    <m/>
    <s v="préventif"/>
    <s v="Cassette 4,80"/>
    <s v="Circuit de graissage cassette bouché"/>
    <s v="Réparation"/>
    <s v="Changement de flexible"/>
    <d v="2021-03-12T00:00:00"/>
    <m/>
    <n v="20"/>
    <x v="2"/>
    <x v="2"/>
    <m/>
  </r>
  <r>
    <d v="2021-03-12T00:00:00"/>
    <x v="22"/>
    <x v="0"/>
    <x v="22"/>
    <m/>
    <m/>
    <s v="Cisaille"/>
    <s v="Cisaille"/>
    <s v="Réparation"/>
    <s v="Changement de clavette"/>
    <d v="2021-03-12T00:00:00"/>
    <m/>
    <n v="30"/>
    <x v="2"/>
    <x v="2"/>
    <m/>
  </r>
  <r>
    <d v="2021-03-12T00:00:00"/>
    <x v="13"/>
    <x v="0"/>
    <x v="13"/>
    <m/>
    <m/>
    <m/>
    <s v="Guide fil"/>
    <s v="Réparation"/>
    <s v="Charge de partie usée"/>
    <d v="2021-03-12T00:00:00"/>
    <m/>
    <n v="30"/>
    <x v="2"/>
    <x v="2"/>
    <m/>
  </r>
  <r>
    <d v="2021-03-12T00:00:00"/>
    <x v="2"/>
    <x v="1"/>
    <x v="2"/>
    <m/>
    <s v="Correctif"/>
    <s v="Fosse"/>
    <s v="Courroie de convoyeur d'agregats usées"/>
    <s v="Réparation"/>
    <s v="Changemement des courroies "/>
    <d v="2021-03-12T00:00:00"/>
    <m/>
    <n v="90"/>
    <x v="2"/>
    <x v="2"/>
    <m/>
  </r>
  <r>
    <d v="2021-03-12T00:00:00"/>
    <x v="2"/>
    <x v="1"/>
    <x v="2"/>
    <m/>
    <s v="Correctif"/>
    <s v="Fosse"/>
    <s v="Courroie de convoyeur d'agregats usées"/>
    <s v="Réparation"/>
    <s v="Changemement des courroies "/>
    <d v="2021-03-12T00:00:00"/>
    <m/>
    <n v="90"/>
    <x v="2"/>
    <x v="2"/>
    <m/>
  </r>
  <r>
    <d v="2021-03-13T00:00:00"/>
    <x v="26"/>
    <x v="0"/>
    <x v="26"/>
    <n v="24451"/>
    <m/>
    <s v="Bloc de soudage"/>
    <s v="Besoin en electrode"/>
    <s v="Réparation"/>
    <s v="Confection des electrodes"/>
    <d v="2021-03-13T00:00:00"/>
    <m/>
    <n v="120"/>
    <x v="2"/>
    <x v="2"/>
    <m/>
  </r>
  <r>
    <d v="2021-03-14T00:00:00"/>
    <x v="10"/>
    <x v="0"/>
    <x v="10"/>
    <n v="24451"/>
    <m/>
    <s v="Bobinoir"/>
    <s v="Panne sur bobinoir"/>
    <s v="Réparation"/>
    <s v="Changement de 4 tiges blocage bobinoir avec les creus en cuivre"/>
    <d v="2021-03-13T00:00:00"/>
    <m/>
    <n v="240"/>
    <x v="2"/>
    <x v="2"/>
    <m/>
  </r>
  <r>
    <d v="2021-03-15T00:00:00"/>
    <x v="7"/>
    <x v="0"/>
    <x v="7"/>
    <n v="24451"/>
    <m/>
    <s v="Porte électrode "/>
    <m/>
    <s v="Réparation"/>
    <s v="Confection des electrodes"/>
    <d v="2021-03-13T00:00:00"/>
    <m/>
    <n v="120"/>
    <x v="2"/>
    <x v="2"/>
    <m/>
  </r>
  <r>
    <d v="2021-03-15T00:00:00"/>
    <x v="3"/>
    <x v="1"/>
    <x v="3"/>
    <m/>
    <m/>
    <s v="Cercleuse"/>
    <s v="Cercleuse"/>
    <s v="Réparation"/>
    <s v="Reglage de pince / Nettoyage de la plaque fixe et mobile"/>
    <d v="2021-03-15T00:00:00"/>
    <m/>
    <m/>
    <x v="2"/>
    <x v="2"/>
    <m/>
  </r>
  <r>
    <d v="2021-03-15T00:00:00"/>
    <x v="13"/>
    <x v="0"/>
    <x v="13"/>
    <n v="24451"/>
    <m/>
    <s v="Guide fil"/>
    <s v="Guide fil endommagé"/>
    <s v="Réparation"/>
    <s v="Charge les bras de guide fil"/>
    <d v="2021-03-15T00:00:00"/>
    <m/>
    <n v="120"/>
    <x v="2"/>
    <x v="2"/>
    <m/>
  </r>
  <r>
    <d v="2021-03-16T00:00:00"/>
    <x v="7"/>
    <x v="0"/>
    <x v="7"/>
    <n v="24451"/>
    <m/>
    <s v="Cisaille"/>
    <s v="Panne de distributeur"/>
    <s v="Réparation"/>
    <s v="Changement de distributeur"/>
    <d v="2021-03-16T00:00:00"/>
    <m/>
    <n v="180"/>
    <x v="2"/>
    <x v="2"/>
    <m/>
  </r>
  <r>
    <d v="2021-03-16T00:00:00"/>
    <x v="10"/>
    <x v="0"/>
    <x v="10"/>
    <n v="24451"/>
    <m/>
    <s v="Cassette d8"/>
    <s v="Jeu sur cassette D8"/>
    <s v="Réparation"/>
    <s v="Changement de 6 roulements/changement de flexible/Reglage de zoomage"/>
    <d v="2021-03-16T00:00:00"/>
    <m/>
    <n v="180"/>
    <x v="2"/>
    <x v="2"/>
    <m/>
  </r>
  <r>
    <d v="2021-03-16T00:00:00"/>
    <x v="4"/>
    <x v="0"/>
    <x v="4"/>
    <n v="24451"/>
    <m/>
    <s v="Porte électrode "/>
    <m/>
    <s v="Réparation"/>
    <s v="Perçage des electrodes"/>
    <d v="2021-03-16T00:00:00"/>
    <m/>
    <n v="120"/>
    <x v="2"/>
    <x v="2"/>
    <m/>
  </r>
  <r>
    <d v="2021-03-17T00:00:00"/>
    <x v="4"/>
    <x v="0"/>
    <x v="4"/>
    <n v="24459"/>
    <m/>
    <s v="Refroidisseur"/>
    <s v="Panne de refroidissement"/>
    <s v="Réparation"/>
    <s v="changement de moteur de refroidissement"/>
    <d v="2021-03-17T00:00:00"/>
    <m/>
    <n v="240"/>
    <x v="2"/>
    <x v="2"/>
    <m/>
  </r>
  <r>
    <d v="2021-03-17T00:00:00"/>
    <x v="16"/>
    <x v="0"/>
    <x v="16"/>
    <n v="24451"/>
    <m/>
    <s v="Systeme de redressement"/>
    <s v="Systeme de redressement"/>
    <s v="Réparation"/>
    <s v="Changement de chaine"/>
    <d v="2021-03-17T00:00:00"/>
    <m/>
    <n v="35"/>
    <x v="2"/>
    <x v="2"/>
    <m/>
  </r>
  <r>
    <d v="2021-03-17T00:00:00"/>
    <x v="1"/>
    <x v="0"/>
    <x v="1"/>
    <n v="24451"/>
    <m/>
    <s v="Cassette D3,2"/>
    <s v="Jeu sur cassette D3,2"/>
    <s v="Réparation"/>
    <s v="Changement de deux roulements et changement de flexible"/>
    <d v="2021-03-17T00:00:00"/>
    <m/>
    <n v="165"/>
    <x v="2"/>
    <x v="2"/>
    <m/>
  </r>
  <r>
    <d v="2021-03-17T00:00:00"/>
    <x v="0"/>
    <x v="0"/>
    <x v="0"/>
    <n v="24451"/>
    <m/>
    <s v="Bloc de soudage"/>
    <s v="Electrodes usées"/>
    <s v="Réparation"/>
    <s v="Fraisage des electrodes"/>
    <d v="2021-03-17T00:00:00"/>
    <m/>
    <n v="120"/>
    <x v="2"/>
    <x v="2"/>
    <m/>
  </r>
  <r>
    <d v="2021-03-17T00:00:00"/>
    <x v="3"/>
    <x v="1"/>
    <x v="3"/>
    <m/>
    <m/>
    <m/>
    <s v="Decalage du niveau des planches"/>
    <s v="Réparation"/>
    <s v="Demontage de la chaine/Dressage du pignon tendeur/Mise a niveau des 2 chaines et changement des pales de pates"/>
    <d v="2021-03-17T00:00:00"/>
    <m/>
    <n v="250"/>
    <x v="2"/>
    <x v="2"/>
    <m/>
  </r>
  <r>
    <d v="2021-03-18T00:00:00"/>
    <x v="4"/>
    <x v="0"/>
    <x v="4"/>
    <n v="24461"/>
    <m/>
    <s v="Bloc de soudage"/>
    <s v="Panne de soudage"/>
    <s v="Réparation"/>
    <s v="Rectification des electrodes"/>
    <d v="2021-03-18T00:00:00"/>
    <m/>
    <n v="180"/>
    <x v="2"/>
    <x v="2"/>
    <m/>
  </r>
  <r>
    <d v="2021-03-18T00:00:00"/>
    <x v="7"/>
    <x v="0"/>
    <x v="7"/>
    <n v="24460"/>
    <m/>
    <s v="Bloc de soudage"/>
    <s v="Electrodes usées"/>
    <s v="Réparation"/>
    <s v="Confection des electrodes"/>
    <d v="2021-03-18T00:00:00"/>
    <m/>
    <n v="240"/>
    <x v="2"/>
    <x v="2"/>
    <m/>
  </r>
  <r>
    <d v="2021-03-18T00:00:00"/>
    <x v="3"/>
    <x v="1"/>
    <x v="3"/>
    <m/>
    <m/>
    <s v="Cercleuse"/>
    <s v="Cercleuse"/>
    <s v="Réparation"/>
    <s v="Soudage du support"/>
    <d v="2021-03-18T00:00:00"/>
    <m/>
    <n v="120"/>
    <x v="2"/>
    <x v="2"/>
    <m/>
  </r>
  <r>
    <d v="2021-03-18T00:00:00"/>
    <x v="7"/>
    <x v="0"/>
    <x v="7"/>
    <m/>
    <m/>
    <s v="Empileur"/>
    <s v="Fixation sur le verin d'empileur"/>
    <s v="Réparation"/>
    <s v="Changement du support"/>
    <d v="2021-03-18T00:00:00"/>
    <m/>
    <n v="60"/>
    <x v="2"/>
    <x v="2"/>
    <m/>
  </r>
  <r>
    <d v="2021-03-19T00:00:00"/>
    <x v="2"/>
    <x v="1"/>
    <x v="2"/>
    <m/>
    <m/>
    <s v="Malaxeur"/>
    <s v="Probleme sur vis de colorant"/>
    <s v="Réparation"/>
    <s v="demontage et soudage de la vis/Remontage et mise a nieau du systeme de colorant"/>
    <d v="2021-03-19T00:00:00"/>
    <m/>
    <n v="150"/>
    <x v="2"/>
    <x v="2"/>
    <m/>
  </r>
  <r>
    <d v="2021-03-19T00:00:00"/>
    <x v="16"/>
    <x v="0"/>
    <x v="16"/>
    <m/>
    <m/>
    <s v="Circuit d'air comprimé"/>
    <s v="fuite au niveau du circuit d'air"/>
    <s v="Réparation"/>
    <s v="Changement d'embout"/>
    <d v="2021-03-19T00:00:00"/>
    <m/>
    <n v="30"/>
    <x v="2"/>
    <x v="2"/>
    <m/>
  </r>
  <r>
    <d v="2021-03-19T00:00:00"/>
    <x v="16"/>
    <x v="0"/>
    <x v="16"/>
    <m/>
    <m/>
    <s v="Groupe hydraulique"/>
    <s v="Groupe hydraulique"/>
    <s v="Réparation"/>
    <s v="Corection du niveau d'huile sur le G.H"/>
    <d v="2021-03-19T00:00:00"/>
    <m/>
    <n v="20"/>
    <x v="2"/>
    <x v="2"/>
    <m/>
  </r>
  <r>
    <d v="2021-03-19T00:00:00"/>
    <x v="0"/>
    <x v="0"/>
    <x v="0"/>
    <n v="24462"/>
    <m/>
    <s v="Tir-fil"/>
    <s v="Panne au niveau tir-fil"/>
    <s v="Réparation"/>
    <s v="Changement de distributeur"/>
    <d v="2021-03-19T00:00:00"/>
    <m/>
    <n v="180"/>
    <x v="2"/>
    <x v="2"/>
    <m/>
  </r>
  <r>
    <d v="2021-03-19T00:00:00"/>
    <x v="16"/>
    <x v="0"/>
    <x v="16"/>
    <n v="24463"/>
    <m/>
    <s v="Systeme de tirage"/>
    <s v="Verin de pince/verin de chariot"/>
    <s v="Réparation"/>
    <s v="Changement de flexible de verin"/>
    <d v="2021-03-19T00:00:00"/>
    <m/>
    <n v="180"/>
    <x v="2"/>
    <x v="2"/>
    <m/>
  </r>
  <r>
    <d v="2021-03-20T00:00:00"/>
    <x v="2"/>
    <x v="1"/>
    <x v="2"/>
    <m/>
    <m/>
    <s v="Grille d'agitation"/>
    <s v="Fissure sur grille d'agitation"/>
    <s v="Réparation"/>
    <s v="Soudage de la grille"/>
    <d v="2021-03-20T00:00:00"/>
    <m/>
    <n v="90"/>
    <x v="2"/>
    <x v="2"/>
    <m/>
  </r>
  <r>
    <d v="2021-03-20T00:00:00"/>
    <x v="10"/>
    <x v="0"/>
    <x v="10"/>
    <m/>
    <m/>
    <s v="Cassette D9"/>
    <s v="Jeu sur cassette D9"/>
    <s v="Réparation"/>
    <s v="Changement de galet et reglage de zoomage"/>
    <d v="2021-03-20T00:00:00"/>
    <m/>
    <n v="120"/>
    <x v="2"/>
    <x v="2"/>
    <m/>
  </r>
  <r>
    <d v="2021-03-21T00:00:00"/>
    <x v="2"/>
    <x v="1"/>
    <x v="2"/>
    <m/>
    <m/>
    <s v="Malaxeur"/>
    <s v="Usure sur tole de revetement  malaxeur"/>
    <s v="Réparation"/>
    <s v="Changement de tole de revetement interieur /changement du silent bloc/Mise a niveau des pales de patte"/>
    <d v="2021-03-21T00:00:00"/>
    <m/>
    <n v="360"/>
    <x v="2"/>
    <x v="2"/>
    <m/>
  </r>
  <r>
    <d v="2021-03-22T00:00:00"/>
    <x v="23"/>
    <x v="4"/>
    <x v="23"/>
    <m/>
    <m/>
    <s v="Moteur de translation"/>
    <s v="Moteur de translation"/>
    <s v="Réparation"/>
    <s v="Changement du contacteur"/>
    <d v="2021-03-22T00:00:00"/>
    <m/>
    <n v="240"/>
    <x v="2"/>
    <x v="2"/>
    <m/>
  </r>
  <r>
    <d v="2021-03-22T00:00:00"/>
    <x v="16"/>
    <x v="0"/>
    <x v="16"/>
    <m/>
    <m/>
    <s v="Redresseur"/>
    <s v="Redresseur rebagué chez tourneur"/>
    <s v="Réparation"/>
    <s v="Changement de courroie "/>
    <d v="2021-03-22T00:00:00"/>
    <m/>
    <n v="30"/>
    <x v="2"/>
    <x v="2"/>
    <m/>
  </r>
  <r>
    <d v="2021-03-22T00:00:00"/>
    <x v="24"/>
    <x v="4"/>
    <x v="24"/>
    <m/>
    <m/>
    <s v="Moteur de levage"/>
    <s v="Moteur elevateur"/>
    <s v="Réparation"/>
    <s v="Changement de 2 contacteurs"/>
    <d v="2021-03-22T00:00:00"/>
    <m/>
    <n v="60"/>
    <x v="2"/>
    <x v="2"/>
    <m/>
  </r>
  <r>
    <d v="2021-03-24T00:00:00"/>
    <x v="3"/>
    <x v="1"/>
    <x v="3"/>
    <m/>
    <m/>
    <s v="Cercleuse "/>
    <s v="blocage du feuillard dans le circuit"/>
    <s v="Réparation"/>
    <s v="Demontage du mecanisme et extraction du morceau"/>
    <d v="2021-03-24T00:00:00"/>
    <m/>
    <n v="40"/>
    <x v="2"/>
    <x v="2"/>
    <m/>
  </r>
  <r>
    <d v="2021-03-24T00:00:00"/>
    <x v="10"/>
    <x v="0"/>
    <x v="10"/>
    <m/>
    <m/>
    <s v="Cassette d12"/>
    <s v="jeu sur cassette D12"/>
    <s v="Réparation"/>
    <s v="Changement de 3 galets crantés et reglage de zoomage"/>
    <d v="2021-03-24T00:00:00"/>
    <m/>
    <n v="165"/>
    <x v="2"/>
    <x v="2"/>
    <m/>
  </r>
  <r>
    <d v="2021-03-25T00:00:00"/>
    <x v="3"/>
    <x v="1"/>
    <x v="3"/>
    <m/>
    <m/>
    <s v="Tiroir d'agitation"/>
    <s v="Fissure au niveau du tiroir d'agitation"/>
    <s v="Réparation"/>
    <s v="Chanfreinage de partie de soudure et mise en place de la grille apres soudure"/>
    <d v="2021-03-25T00:00:00"/>
    <m/>
    <n v="90"/>
    <x v="2"/>
    <x v="2"/>
    <m/>
  </r>
  <r>
    <d v="2021-03-26T00:00:00"/>
    <x v="3"/>
    <x v="1"/>
    <x v="3"/>
    <m/>
    <m/>
    <s v="Transbordeur"/>
    <s v="probleme au niveau du reducteur de transbordeur"/>
    <s v="Réparation"/>
    <s v="Demontage et changement de la tige"/>
    <d v="2021-03-26T00:00:00"/>
    <m/>
    <n v="30"/>
    <x v="2"/>
    <x v="2"/>
    <m/>
  </r>
  <r>
    <d v="2021-03-26T00:00:00"/>
    <x v="1"/>
    <x v="0"/>
    <x v="1"/>
    <m/>
    <m/>
    <s v="Cassette 3,4"/>
    <s v="Panne sur cassette D3,4"/>
    <s v="Réparation"/>
    <s v="Changement de deux roulements 32008 et axe de galet"/>
    <d v="2021-03-26T00:00:00"/>
    <m/>
    <n v="180"/>
    <x v="2"/>
    <x v="2"/>
    <m/>
  </r>
  <r>
    <d v="2021-03-26T00:00:00"/>
    <x v="10"/>
    <x v="0"/>
    <x v="10"/>
    <m/>
    <m/>
    <s v="Cassette D10"/>
    <s v="Panne sur cassette D10"/>
    <s v="Réparation"/>
    <s v="Changement de deux roulements et reglage de zoomage"/>
    <d v="2021-03-26T00:00:00"/>
    <m/>
    <n v="120"/>
    <x v="2"/>
    <x v="2"/>
    <m/>
  </r>
  <r>
    <d v="2021-03-27T00:00:00"/>
    <x v="3"/>
    <x v="1"/>
    <x v="3"/>
    <m/>
    <m/>
    <s v="Malaxeur"/>
    <s v="Jeu sur trappe malaxeur"/>
    <s v="Réparation"/>
    <s v="Demontage et changement de la tole du trappe/Remise en marche du malaxeur"/>
    <d v="2021-03-27T00:00:00"/>
    <m/>
    <n v="60"/>
    <x v="2"/>
    <x v="2"/>
    <m/>
  </r>
  <r>
    <d v="2021-03-27T00:00:00"/>
    <x v="3"/>
    <x v="1"/>
    <x v="3"/>
    <m/>
    <m/>
    <m/>
    <s v="Rupture de chaine descendeur"/>
    <s v="Réparation"/>
    <s v="Detension de la chaine/Attachement par vis M12x80"/>
    <d v="2021-03-27T00:00:00"/>
    <m/>
    <n v="30"/>
    <x v="2"/>
    <x v="2"/>
    <m/>
  </r>
  <r>
    <d v="2021-03-27T00:00:00"/>
    <x v="1"/>
    <x v="0"/>
    <x v="1"/>
    <m/>
    <m/>
    <s v="Pompe hydraulique"/>
    <s v="Pompe d'eau"/>
    <s v="Réparation"/>
    <s v="Purge de pompe "/>
    <d v="2021-03-27T00:00:00"/>
    <m/>
    <n v="45"/>
    <x v="2"/>
    <x v="2"/>
    <m/>
  </r>
  <r>
    <d v="2021-03-27T00:00:00"/>
    <x v="11"/>
    <x v="0"/>
    <x v="11"/>
    <m/>
    <m/>
    <s v="Cercleuse"/>
    <s v="Cercleuse"/>
    <s v="Réparation"/>
    <s v="Changement de 4 goupies "/>
    <d v="2021-03-27T00:00:00"/>
    <m/>
    <n v="30"/>
    <x v="2"/>
    <x v="2"/>
    <m/>
  </r>
  <r>
    <d v="2021-03-28T00:00:00"/>
    <x v="3"/>
    <x v="1"/>
    <x v="3"/>
    <m/>
    <m/>
    <s v="Transbordeur"/>
    <s v="Railles du transbordeur"/>
    <s v="Réparation"/>
    <s v="Mise a niveau et renforcement par calle/Soudage/Revetement du sol par beton"/>
    <d v="2021-03-28T00:00:00"/>
    <m/>
    <n v="360"/>
    <x v="2"/>
    <x v="2"/>
    <m/>
  </r>
  <r>
    <d v="2021-03-28T00:00:00"/>
    <x v="10"/>
    <x v="0"/>
    <x v="10"/>
    <m/>
    <m/>
    <s v="Savonniere"/>
    <s v="Panne sur savonniere"/>
    <s v="Réparation"/>
    <s v="demontage de la savonniere pour revetement et elimination de la fuite "/>
    <d v="2021-03-28T00:00:00"/>
    <m/>
    <n v="300"/>
    <x v="2"/>
    <x v="2"/>
    <m/>
  </r>
  <r>
    <d v="2021-03-29T00:00:00"/>
    <x v="16"/>
    <x v="0"/>
    <x v="16"/>
    <m/>
    <m/>
    <s v="Plieuse"/>
    <s v="Plieuse"/>
    <s v="Réparation"/>
    <s v="Extraction du vis/Perçage et taraudage du support/changement de vis"/>
    <d v="2021-03-29T00:00:00"/>
    <m/>
    <n v="60"/>
    <x v="2"/>
    <x v="2"/>
    <m/>
  </r>
  <r>
    <d v="2021-03-30T00:00:00"/>
    <x v="2"/>
    <x v="1"/>
    <x v="2"/>
    <m/>
    <m/>
    <s v="Malaxeur"/>
    <s v="Pompe d'eau du malaxeur"/>
    <s v="Réparation"/>
    <s v="Soudage de partie usée"/>
    <d v="2021-03-30T00:00:00"/>
    <m/>
    <n v="150"/>
    <x v="2"/>
    <x v="2"/>
    <m/>
  </r>
  <r>
    <d v="2021-03-30T00:00:00"/>
    <x v="2"/>
    <x v="1"/>
    <x v="2"/>
    <m/>
    <m/>
    <s v="Malaxeur"/>
    <s v="Malaxeur"/>
    <s v="Réparation"/>
    <s v="renforcement des pats par soudage"/>
    <d v="2021-03-30T00:00:00"/>
    <m/>
    <n v="60"/>
    <x v="2"/>
    <x v="2"/>
    <m/>
  </r>
  <r>
    <d v="2021-03-30T00:00:00"/>
    <x v="2"/>
    <x v="1"/>
    <x v="2"/>
    <m/>
    <m/>
    <s v="Table vibrante"/>
    <s v="Fissure au niveau de la tole de table vibrante"/>
    <s v="Réparation"/>
    <s v="Soudage de partie fissurée"/>
    <d v="2021-03-30T00:00:00"/>
    <m/>
    <n v="90"/>
    <x v="2"/>
    <x v="2"/>
    <m/>
  </r>
  <r>
    <d v="2021-03-30T00:00:00"/>
    <x v="1"/>
    <x v="0"/>
    <x v="1"/>
    <m/>
    <m/>
    <s v="Bobinoir"/>
    <s v="Encodeur endommage"/>
    <s v="Réparation"/>
    <s v="tester l'encodeur de TEUREMA 2 sur TEUREMA 3"/>
    <d v="2021-03-30T00:00:00"/>
    <m/>
    <n v="480"/>
    <x v="2"/>
    <x v="2"/>
    <m/>
  </r>
  <r>
    <d v="2021-03-30T00:00:00"/>
    <x v="12"/>
    <x v="0"/>
    <x v="12"/>
    <m/>
    <m/>
    <s v="Cisaille"/>
    <s v="Cisaille"/>
    <s v="Réparation"/>
    <s v="Centrage de roulement et elimination de jeu"/>
    <d v="2021-03-30T00:00:00"/>
    <m/>
    <n v="60"/>
    <x v="2"/>
    <x v="2"/>
    <m/>
  </r>
  <r>
    <d v="2021-03-30T00:00:00"/>
    <x v="2"/>
    <x v="1"/>
    <x v="2"/>
    <m/>
    <m/>
    <s v="Cercleuse"/>
    <s v="Defaillance de maintien de feuillard "/>
    <s v="Réparation"/>
    <s v="Reglage de tete et serrage des molettes de maintien/Nettoyage de lame de soudage"/>
    <d v="2021-03-31T00:00:00"/>
    <m/>
    <n v="30"/>
    <x v="2"/>
    <x v="2"/>
    <m/>
  </r>
  <r>
    <d v="2021-03-31T00:00:00"/>
    <x v="2"/>
    <x v="1"/>
    <x v="2"/>
    <m/>
    <m/>
    <s v="Descenseur"/>
    <s v="Dereglage de chaine de descenceur"/>
    <s v="Réparation"/>
    <s v="Reglage de chaine et mise a niveau correct"/>
    <d v="2021-03-30T00:00:00"/>
    <m/>
    <n v="30"/>
    <x v="2"/>
    <x v="2"/>
    <m/>
  </r>
  <r>
    <d v="2021-03-31T00:00:00"/>
    <x v="4"/>
    <x v="0"/>
    <x v="4"/>
    <m/>
    <m/>
    <s v="Bloc de soudage"/>
    <s v="Surcharge sur le transformateur T4"/>
    <s v="Réparation"/>
    <s v="Changement de place du transformateur T6 pour eviter l'endommagement de T4"/>
    <d v="2021-03-31T00:00:00"/>
    <m/>
    <n v="180"/>
    <x v="2"/>
    <x v="2"/>
    <m/>
  </r>
  <r>
    <d v="2021-03-31T00:00:00"/>
    <x v="5"/>
    <x v="2"/>
    <x v="5"/>
    <m/>
    <m/>
    <s v="Malaxeur"/>
    <m/>
    <s v="Réparation"/>
    <s v="Montage de vibreur de ciment"/>
    <d v="2021-03-31T00:00:00"/>
    <m/>
    <n v="45"/>
    <x v="2"/>
    <x v="2"/>
    <m/>
  </r>
  <r>
    <d v="2021-03-31T00:00:00"/>
    <x v="10"/>
    <x v="0"/>
    <x v="10"/>
    <m/>
    <m/>
    <s v="Cercleuse"/>
    <s v="Cable antigiratoire coupe"/>
    <s v="Réparation"/>
    <s v="Elimination de partie bouchee/Sertissage du cable et remontage"/>
    <d v="2021-03-31T00:00:00"/>
    <m/>
    <n v="90"/>
    <x v="2"/>
    <x v="2"/>
    <m/>
  </r>
  <r>
    <d v="2021-03-31T00:00:00"/>
    <x v="10"/>
    <x v="0"/>
    <x v="10"/>
    <m/>
    <m/>
    <s v="Cassette D10"/>
    <s v="usure de 6 roulements 32008"/>
    <s v="Réparation"/>
    <s v="Changement de 6 roulements et moyau/Reglage de zoomage"/>
    <d v="2021-03-31T00:00:00"/>
    <m/>
    <n v="180"/>
    <x v="2"/>
    <x v="2"/>
    <m/>
  </r>
  <r>
    <d v="2021-03-31T00:00:00"/>
    <x v="10"/>
    <x v="0"/>
    <x v="10"/>
    <m/>
    <m/>
    <s v="Cassette D6"/>
    <s v="Flexible d'eau bouche"/>
    <s v="Réparation"/>
    <s v="Debouchage de flexible"/>
    <d v="2021-03-31T00:00:00"/>
    <m/>
    <n v="30"/>
    <x v="2"/>
    <x v="2"/>
    <m/>
  </r>
  <r>
    <d v="2021-03-31T00:00:00"/>
    <x v="4"/>
    <x v="0"/>
    <x v="4"/>
    <m/>
    <m/>
    <s v="Guide fil"/>
    <s v="Fixation de verin endommage"/>
    <s v="Réparation"/>
    <s v="Changement de fixation"/>
    <d v="2021-03-31T00:00:00"/>
    <m/>
    <n v="120"/>
    <x v="2"/>
    <x v="2"/>
    <m/>
  </r>
  <r>
    <d v="2021-03-31T00:00:00"/>
    <x v="4"/>
    <x v="0"/>
    <x v="4"/>
    <m/>
    <m/>
    <s v="Circuit de refroidissement"/>
    <s v="Circuit de refroidissement bouché"/>
    <s v="Réparation"/>
    <s v="Revision et controle du circuit de refroidissement du transformateur et controle de l'etat des plots de contatct de soudage"/>
    <d v="2021-03-31T00:00:00"/>
    <m/>
    <n v="45"/>
    <x v="2"/>
    <x v="2"/>
    <m/>
  </r>
  <r>
    <d v="2021-04-01T00:00:00"/>
    <x v="1"/>
    <x v="0"/>
    <x v="1"/>
    <m/>
    <m/>
    <s v="Cassette D3,2"/>
    <s v="Circuit d'eau cassette D3,2"/>
    <s v="Réparation"/>
    <s v="2 flexibles endommages"/>
    <d v="2021-04-01T00:00:00"/>
    <m/>
    <n v="45"/>
    <x v="3"/>
    <x v="2"/>
    <m/>
  </r>
  <r>
    <d v="2021-04-01T00:00:00"/>
    <x v="21"/>
    <x v="4"/>
    <x v="21"/>
    <m/>
    <m/>
    <s v="Chariot principal"/>
    <s v="2eme vitesse du moteur chariot ne fonctionne pas(fil de cable commande coupé)"/>
    <s v="Réparation"/>
    <s v="Reparation du fil(Depannage) / Attente de livraison de cable commande"/>
    <d v="2021-04-01T00:00:00"/>
    <m/>
    <n v="30"/>
    <x v="3"/>
    <x v="2"/>
    <m/>
  </r>
  <r>
    <d v="2021-04-01T00:00:00"/>
    <x v="13"/>
    <x v="0"/>
    <x v="13"/>
    <m/>
    <m/>
    <s v="Guide fil"/>
    <s v="Dereglage de raille de guide fil"/>
    <s v="Réparation"/>
    <s v="Reglage de raille"/>
    <d v="2021-04-01T00:00:00"/>
    <m/>
    <n v="60"/>
    <x v="3"/>
    <x v="2"/>
    <m/>
  </r>
  <r>
    <d v="2021-04-01T00:00:00"/>
    <x v="14"/>
    <x v="4"/>
    <x v="14"/>
    <m/>
    <m/>
    <s v="Moteur de translation"/>
    <s v="Galet usé"/>
    <s v="Réparation"/>
    <s v="Changement de galet"/>
    <d v="2021-04-01T00:00:00"/>
    <m/>
    <n v="180"/>
    <x v="3"/>
    <x v="2"/>
    <m/>
  </r>
  <r>
    <d v="2021-04-01T00:00:00"/>
    <x v="18"/>
    <x v="4"/>
    <x v="18"/>
    <m/>
    <m/>
    <s v="Alimentation générale"/>
    <s v="Support de rail endommage (probleme d'alignement des rails)"/>
    <s v="Réparation"/>
    <s v="Changement de support"/>
    <d v="2021-04-01T00:00:00"/>
    <m/>
    <n v="105"/>
    <x v="3"/>
    <x v="2"/>
    <m/>
  </r>
  <r>
    <d v="2021-04-01T00:00:00"/>
    <x v="35"/>
    <x v="8"/>
    <x v="35"/>
    <m/>
    <m/>
    <s v="Séparateur"/>
    <s v="Fuite d'huile au niveau du compresseur(Flexible endommage)"/>
    <s v="Réparation"/>
    <s v="Attente de livraison du flexible/ Mise a niveau d'huile DTE 26"/>
    <d v="2021-04-01T00:00:00"/>
    <m/>
    <n v="30"/>
    <x v="3"/>
    <x v="2"/>
    <m/>
  </r>
  <r>
    <d v="2021-04-01T00:00:00"/>
    <x v="18"/>
    <x v="4"/>
    <x v="18"/>
    <n v="24367"/>
    <m/>
    <s v="Alimentation générale"/>
    <s v="Support de rail endommage (probleme d'alignement des rails)"/>
    <s v="Réparation"/>
    <s v="Changement de support"/>
    <d v="2021-04-01T00:00:00"/>
    <m/>
    <n v="165"/>
    <x v="3"/>
    <x v="2"/>
    <m/>
  </r>
  <r>
    <d v="2021-04-01T00:00:00"/>
    <x v="13"/>
    <x v="0"/>
    <x v="13"/>
    <n v="24355"/>
    <m/>
    <s v="Guide fil"/>
    <s v="Dereglage de raille de guide fil"/>
    <s v="Réparation"/>
    <s v="Reglage de raille"/>
    <d v="2021-04-01T00:00:00"/>
    <m/>
    <n v="60"/>
    <x v="3"/>
    <x v="2"/>
    <m/>
  </r>
  <r>
    <d v="2021-04-01T00:00:00"/>
    <x v="10"/>
    <x v="0"/>
    <x v="10"/>
    <n v="24427"/>
    <m/>
    <s v="Cassette D6"/>
    <s v="Jeu sur cassette/Usure de 4 roulements 32008"/>
    <s v="Réparation"/>
    <s v="Changement de 4 roulements/Zoomage et remontage de cassette"/>
    <d v="2021-04-01T00:00:00"/>
    <m/>
    <n v="120"/>
    <x v="3"/>
    <x v="2"/>
    <m/>
  </r>
  <r>
    <d v="2021-04-01T00:00:00"/>
    <x v="16"/>
    <x v="0"/>
    <x v="16"/>
    <n v="24711"/>
    <m/>
    <s v="Redresseur"/>
    <s v="Chaine endomagée"/>
    <s v="Réparation"/>
    <s v="Changement de chaine"/>
    <d v="2021-04-01T00:00:00"/>
    <m/>
    <n v="120"/>
    <x v="3"/>
    <x v="2"/>
    <m/>
  </r>
  <r>
    <d v="2021-04-02T00:00:00"/>
    <x v="3"/>
    <x v="1"/>
    <x v="3"/>
    <n v="24301"/>
    <m/>
    <m/>
    <s v="Réducteur endommagé(Tapis beton)"/>
    <s v="Réparation"/>
    <s v="Changement du réducteur/Attente livraison du reducteur endommagé"/>
    <d v="2021-04-02T00:00:00"/>
    <m/>
    <n v="65"/>
    <x v="3"/>
    <x v="2"/>
    <m/>
  </r>
  <r>
    <d v="2021-04-02T00:00:00"/>
    <x v="4"/>
    <x v="0"/>
    <x v="4"/>
    <n v="24369"/>
    <m/>
    <m/>
    <s v="Chape endommagé au niveau du vérin"/>
    <s v="Réparation"/>
    <s v="Changement de chape"/>
    <d v="2021-04-02T00:00:00"/>
    <m/>
    <n v="60"/>
    <x v="3"/>
    <x v="2"/>
    <m/>
  </r>
  <r>
    <d v="2021-04-02T00:00:00"/>
    <x v="1"/>
    <x v="0"/>
    <x v="1"/>
    <n v="24428"/>
    <m/>
    <s v="Cercleuse"/>
    <s v="Fuite d'air "/>
    <s v="Changement"/>
    <s v="Changement du tuyeau "/>
    <d v="2021-04-02T00:00:00"/>
    <m/>
    <n v="30"/>
    <x v="3"/>
    <x v="2"/>
    <m/>
  </r>
  <r>
    <d v="2021-04-02T00:00:00"/>
    <x v="12"/>
    <x v="0"/>
    <x v="12"/>
    <n v="24370"/>
    <m/>
    <s v="Guide fil"/>
    <s v="Dereglage de pression d'air"/>
    <s v="Réparation"/>
    <s v="Reglage de pression"/>
    <d v="2021-04-02T00:00:00"/>
    <m/>
    <n v="30"/>
    <x v="3"/>
    <x v="2"/>
    <m/>
  </r>
  <r>
    <d v="2021-04-02T00:00:00"/>
    <x v="4"/>
    <x v="0"/>
    <x v="4"/>
    <n v="24371"/>
    <m/>
    <s v="Système de soudage"/>
    <s v="Surchaufage au niveau du systeme de soudage"/>
    <s v="Réparation"/>
    <s v="Surfacage des ponts de soudage"/>
    <d v="2021-04-02T00:00:00"/>
    <m/>
    <n v="240"/>
    <x v="3"/>
    <x v="2"/>
    <m/>
  </r>
  <r>
    <d v="2021-04-02T00:00:00"/>
    <x v="2"/>
    <x v="1"/>
    <x v="2"/>
    <n v="24302"/>
    <m/>
    <s v="Pince"/>
    <s v="Fils de cable d'alimentation coupé"/>
    <s v="Réparation"/>
    <s v="Reparation des fils/Attente livraison de cable"/>
    <d v="2021-04-02T00:00:00"/>
    <m/>
    <n v="180"/>
    <x v="3"/>
    <x v="2"/>
    <m/>
  </r>
  <r>
    <d v="2021-04-02T00:00:00"/>
    <x v="4"/>
    <x v="0"/>
    <x v="4"/>
    <n v="24372"/>
    <m/>
    <s v="Refroidisseur"/>
    <s v="Dereglage de temperature"/>
    <s v="Réparation"/>
    <s v="Reglage de temperature"/>
    <d v="2021-04-02T00:00:00"/>
    <m/>
    <n v="15"/>
    <x v="3"/>
    <x v="2"/>
    <m/>
  </r>
  <r>
    <d v="2021-04-02T00:00:00"/>
    <x v="16"/>
    <x v="0"/>
    <x v="16"/>
    <n v="24712"/>
    <m/>
    <s v="Système de soudage"/>
    <s v="usure au niveau des bagues d'isolation d'électrode"/>
    <s v="Réparation"/>
    <s v="Changement de 4 bagues"/>
    <d v="2021-04-02T00:00:00"/>
    <m/>
    <n v="120"/>
    <x v="3"/>
    <x v="2"/>
    <m/>
  </r>
  <r>
    <d v="2021-04-03T00:00:00"/>
    <x v="3"/>
    <x v="1"/>
    <x v="3"/>
    <n v="24303"/>
    <m/>
    <s v="Moteur d'agitation"/>
    <s v="Moteur à la masse"/>
    <s v="Réparation"/>
    <s v="Changement du moteur/ Demontage et remontage du nouveau moteur"/>
    <d v="2021-04-03T00:00:00"/>
    <m/>
    <n v="90"/>
    <x v="3"/>
    <x v="2"/>
    <m/>
  </r>
  <r>
    <d v="2021-04-04T00:00:00"/>
    <x v="23"/>
    <x v="4"/>
    <x v="23"/>
    <n v="24713"/>
    <m/>
    <s v="Commande "/>
    <s v="Fil coupé dans la boite de commande "/>
    <s v="Dépannage"/>
    <s v="Reparation du cable"/>
    <d v="2021-04-03T00:00:00"/>
    <m/>
    <n v="90"/>
    <x v="3"/>
    <x v="2"/>
    <m/>
  </r>
  <r>
    <d v="2021-04-05T00:00:00"/>
    <x v="3"/>
    <x v="1"/>
    <x v="3"/>
    <n v="24304"/>
    <m/>
    <s v="Transbordeur"/>
    <s v="Defaillance de reducteur du transbordeur"/>
    <s v="Réparation"/>
    <s v="Changement du reducteur"/>
    <d v="2021-04-05T00:00:00"/>
    <m/>
    <n v="90"/>
    <x v="3"/>
    <x v="2"/>
    <m/>
  </r>
  <r>
    <d v="2021-04-05T00:00:00"/>
    <x v="26"/>
    <x v="0"/>
    <x v="26"/>
    <n v="24714"/>
    <m/>
    <m/>
    <s v="Fuite d'eau au niveau de la pompe "/>
    <s v="Changement"/>
    <s v="Changement du presse-étoupe endommagée"/>
    <d v="2021-04-05T00:00:00"/>
    <m/>
    <n v="60"/>
    <x v="3"/>
    <x v="2"/>
    <m/>
  </r>
  <r>
    <d v="2021-04-05T00:00:00"/>
    <x v="38"/>
    <x v="9"/>
    <x v="38"/>
    <n v="24375"/>
    <m/>
    <s v="Boite a commande"/>
    <s v="Cables d'alimentation de la commande coupés "/>
    <s v="Réparation"/>
    <s v="Reparation des cables de a commande "/>
    <d v="2021-04-05T00:00:00"/>
    <m/>
    <n v="45"/>
    <x v="3"/>
    <x v="2"/>
    <m/>
  </r>
  <r>
    <d v="2021-04-05T00:00:00"/>
    <x v="10"/>
    <x v="0"/>
    <x v="10"/>
    <n v="24429"/>
    <m/>
    <s v="Redresseur"/>
    <s v="Jeu sur galet de redresseur "/>
    <s v="Changement"/>
    <s v="Changement de 2 roulements"/>
    <d v="2021-04-05T00:00:00"/>
    <m/>
    <n v="45"/>
    <x v="3"/>
    <x v="2"/>
    <m/>
  </r>
  <r>
    <d v="2021-04-05T00:00:00"/>
    <x v="0"/>
    <x v="0"/>
    <x v="0"/>
    <n v="24374"/>
    <m/>
    <s v="Cuircuit de refroidissement "/>
    <s v="Pompe d'eau endommagé "/>
    <s v="Changement"/>
    <s v="Installation d'une nouvelle pompe de refroidissement Pegasus"/>
    <d v="2021-04-05T00:00:00"/>
    <m/>
    <n v="120"/>
    <x v="3"/>
    <x v="2"/>
    <m/>
  </r>
  <r>
    <d v="2021-04-05T00:00:00"/>
    <x v="2"/>
    <x v="1"/>
    <x v="2"/>
    <n v="24306"/>
    <m/>
    <s v="Malaxeur"/>
    <s v="Pompe endommagée "/>
    <s v="Changement"/>
    <s v="Changement de la pompe/modification de la canalisation d'eau "/>
    <d v="2021-04-05T00:00:00"/>
    <m/>
    <n v="180"/>
    <x v="3"/>
    <x v="2"/>
    <m/>
  </r>
  <r>
    <d v="2021-04-06T00:00:00"/>
    <x v="3"/>
    <x v="1"/>
    <x v="3"/>
    <n v="24308"/>
    <m/>
    <s v="Cercleuse"/>
    <s v="Molette grippé(Blocage du feuillard sur la cercleurse N8"/>
    <s v="Réparation"/>
    <s v="Deblocage de molette/Remise de la chaine en marche"/>
    <d v="2021-04-06T00:00:00"/>
    <m/>
    <n v="90"/>
    <x v="3"/>
    <x v="2"/>
    <m/>
  </r>
  <r>
    <d v="2021-04-06T00:00:00"/>
    <x v="8"/>
    <x v="4"/>
    <x v="8"/>
    <n v="24376"/>
    <m/>
    <s v="Alimentation générale"/>
    <s v="Chariot collecteur endommagé"/>
    <s v="Réparation"/>
    <s v="Changement du chariot collecteur endommagé"/>
    <d v="2021-04-06T00:00:00"/>
    <m/>
    <n v="90"/>
    <x v="3"/>
    <x v="2"/>
    <m/>
  </r>
  <r>
    <d v="2021-04-06T00:00:00"/>
    <x v="4"/>
    <x v="0"/>
    <x v="4"/>
    <n v="24377"/>
    <m/>
    <s v="Porte électrode "/>
    <s v="Vis de fixation (porte electrode ) cassé"/>
    <s v="Changement"/>
    <s v="Extraction du vis/changement de vis "/>
    <d v="2021-04-06T00:00:00"/>
    <m/>
    <n v="60"/>
    <x v="3"/>
    <x v="2"/>
    <m/>
  </r>
  <r>
    <d v="2021-04-06T00:00:00"/>
    <x v="0"/>
    <x v="0"/>
    <x v="0"/>
    <n v="24378"/>
    <m/>
    <s v="Système de soudage"/>
    <s v="Support de presse de soudage endommagé"/>
    <s v="Changement"/>
    <s v="Changement du support"/>
    <d v="2021-04-06T00:00:00"/>
    <m/>
    <n v="60"/>
    <x v="3"/>
    <x v="2"/>
    <m/>
  </r>
  <r>
    <d v="2021-04-06T00:00:00"/>
    <x v="3"/>
    <x v="1"/>
    <x v="3"/>
    <n v="24307"/>
    <m/>
    <s v="Descenseur"/>
    <s v="Desserage de tendeur de chaine"/>
    <s v="Réparation"/>
    <s v="Reglage de chaine/serrage du tendeur"/>
    <d v="2021-04-06T00:00:00"/>
    <m/>
    <n v="45"/>
    <x v="3"/>
    <x v="2"/>
    <m/>
  </r>
  <r>
    <d v="2021-04-06T00:00:00"/>
    <x v="13"/>
    <x v="0"/>
    <x v="13"/>
    <n v="24379"/>
    <m/>
    <s v="Table du vibreur "/>
    <s v="Table de vibreur usée"/>
    <s v="Réparation"/>
    <s v="Soudage de la partie usée"/>
    <d v="2021-04-06T00:00:00"/>
    <m/>
    <n v="45"/>
    <x v="3"/>
    <x v="2"/>
    <m/>
  </r>
  <r>
    <d v="2021-04-06T00:00:00"/>
    <x v="2"/>
    <x v="1"/>
    <x v="2"/>
    <n v="24306"/>
    <m/>
    <s v="Pince"/>
    <s v="Cable d'alimentation endommagé"/>
    <s v="Réparation"/>
    <s v="Reparation du cable et mise de pince en marche"/>
    <d v="2021-04-06T00:00:00"/>
    <m/>
    <n v="135"/>
    <x v="3"/>
    <x v="2"/>
    <m/>
  </r>
  <r>
    <d v="2021-04-06T00:00:00"/>
    <x v="2"/>
    <x v="1"/>
    <x v="2"/>
    <n v="24311"/>
    <m/>
    <s v="Malaxeur"/>
    <s v="Axe de pompe usé"/>
    <s v="Réparation"/>
    <s v="Changement de pompe/Mofification de canalisation d'eau"/>
    <d v="2021-04-06T00:00:00"/>
    <m/>
    <n v="135"/>
    <x v="3"/>
    <x v="2"/>
    <m/>
  </r>
  <r>
    <d v="2021-04-07T00:00:00"/>
    <x v="3"/>
    <x v="1"/>
    <x v="3"/>
    <n v="24310"/>
    <m/>
    <s v="Convoyeur "/>
    <s v="Fin duree de vie de courroie tapis"/>
    <s v="Réparation"/>
    <s v="Changement de courroie B63"/>
    <d v="2021-04-07T00:00:00"/>
    <m/>
    <n v="35"/>
    <x v="3"/>
    <x v="2"/>
    <m/>
  </r>
  <r>
    <d v="2021-04-07T00:00:00"/>
    <x v="4"/>
    <x v="0"/>
    <x v="4"/>
    <n v="24380"/>
    <m/>
    <s v="Soudage "/>
    <s v="Vis de fixation du plot de contact cassé"/>
    <s v="Changement"/>
    <s v="Extraction du vis/changement de vis "/>
    <d v="2021-04-07T00:00:00"/>
    <m/>
    <n v="30"/>
    <x v="3"/>
    <x v="2"/>
    <m/>
  </r>
  <r>
    <d v="2021-04-07T00:00:00"/>
    <x v="27"/>
    <x v="2"/>
    <x v="27"/>
    <n v="24309"/>
    <m/>
    <s v="Vibreur"/>
    <s v="Probleme au niveau de la commande du vibreur "/>
    <s v="Changement"/>
    <s v="Changement d'interrupteur "/>
    <d v="2021-04-07T00:00:00"/>
    <m/>
    <n v="30"/>
    <x v="3"/>
    <x v="2"/>
    <m/>
  </r>
  <r>
    <d v="2021-04-08T00:00:00"/>
    <x v="13"/>
    <x v="0"/>
    <x v="13"/>
    <n v="24381"/>
    <m/>
    <s v="Systeme de redressement"/>
    <s v="Courroie 1570 coupée"/>
    <s v="Changement"/>
    <s v="Changement de la courroie endommagée"/>
    <d v="2021-04-08T00:00:00"/>
    <m/>
    <n v="60"/>
    <x v="3"/>
    <x v="2"/>
    <m/>
  </r>
  <r>
    <d v="2021-04-08T00:00:00"/>
    <x v="2"/>
    <x v="1"/>
    <x v="2"/>
    <n v="24312"/>
    <m/>
    <m/>
    <s v="Coupure de 2 courroie thermosoudable"/>
    <s v="Changement"/>
    <s v="Changement de 2 courroies endommagée et soudage"/>
    <d v="2021-04-08T00:00:00"/>
    <m/>
    <n v="60"/>
    <x v="3"/>
    <x v="2"/>
    <m/>
  </r>
  <r>
    <d v="2021-04-08T00:00:00"/>
    <x v="25"/>
    <x v="0"/>
    <x v="25"/>
    <n v="24721"/>
    <m/>
    <s v="Clavetage"/>
    <s v="Clavetage endommagé"/>
    <s v="Changement"/>
    <s v="Changement clavette "/>
    <d v="2021-04-08T00:00:00"/>
    <m/>
    <n v="60"/>
    <x v="3"/>
    <x v="2"/>
    <m/>
  </r>
  <r>
    <d v="2021-04-08T00:00:00"/>
    <x v="39"/>
    <x v="9"/>
    <x v="38"/>
    <n v="24715"/>
    <m/>
    <s v="Balance "/>
    <s v="Mauvais fonctionnement de la balance "/>
    <s v="Changement"/>
    <s v="Changement du vis de fixation et reparation du cable"/>
    <d v="2021-04-08T00:00:00"/>
    <m/>
    <n v="45"/>
    <x v="3"/>
    <x v="2"/>
    <m/>
  </r>
  <r>
    <d v="2021-04-08T00:00:00"/>
    <x v="27"/>
    <x v="2"/>
    <x v="27"/>
    <n v="24309"/>
    <m/>
    <s v="Vibreur"/>
    <s v="Deux cables de commande en contact"/>
    <s v="Réparation"/>
    <s v="Isolation de deux cables"/>
    <d v="2021-04-08T00:00:00"/>
    <m/>
    <n v="30"/>
    <x v="3"/>
    <x v="2"/>
    <m/>
  </r>
  <r>
    <d v="2021-04-08T00:00:00"/>
    <x v="1"/>
    <x v="0"/>
    <x v="1"/>
    <n v="24430"/>
    <m/>
    <s v="Cassette d4,6"/>
    <s v="Circuit de graisssage bouché "/>
    <s v="Rectification"/>
    <s v="Débouchage de flexibles du circuit"/>
    <d v="2021-04-08T00:00:00"/>
    <m/>
    <n v="30"/>
    <x v="3"/>
    <x v="2"/>
    <m/>
  </r>
  <r>
    <d v="2021-04-09T00:00:00"/>
    <x v="0"/>
    <x v="0"/>
    <x v="0"/>
    <n v="24384"/>
    <m/>
    <s v="Distrubuteur d'air"/>
    <s v="Blocage du distributeur et filtre d'air"/>
    <s v="Changement"/>
    <s v="Changement du joint usée et deblocage du distributeur "/>
    <d v="2021-04-09T00:00:00"/>
    <m/>
    <n v="90"/>
    <x v="3"/>
    <x v="2"/>
    <m/>
  </r>
  <r>
    <d v="2021-04-09T00:00:00"/>
    <x v="3"/>
    <x v="1"/>
    <x v="3"/>
    <n v="24314"/>
    <m/>
    <m/>
    <s v="Probleme au niveau de l'installation du circuit de commande de verin colorant"/>
    <s v="Réparation"/>
    <s v="Montage de distributeur et electrovanne/Installation de canalisaton/debouchage du verin pneumatique"/>
    <d v="2021-04-09T00:00:00"/>
    <m/>
    <n v="60"/>
    <x v="3"/>
    <x v="2"/>
    <m/>
  </r>
  <r>
    <d v="2021-04-09T00:00:00"/>
    <x v="13"/>
    <x v="0"/>
    <x v="13"/>
    <n v="24383"/>
    <m/>
    <s v="Guide fil"/>
    <s v="Mauvais fixation du guide fil"/>
    <s v="Changement"/>
    <s v="Extraction de 2 vis cassés/changement de vis "/>
    <d v="2021-04-09T00:00:00"/>
    <m/>
    <n v="45"/>
    <x v="3"/>
    <x v="2"/>
    <m/>
  </r>
  <r>
    <d v="2021-04-09T00:00:00"/>
    <x v="3"/>
    <x v="1"/>
    <x v="3"/>
    <n v="24315"/>
    <m/>
    <m/>
    <s v="La porte du ciment ne s'ouvre pas"/>
    <s v="Réparation"/>
    <s v="mauvais contact sur la switch de commande de butterfly valve"/>
    <d v="2021-04-09T00:00:00"/>
    <m/>
    <n v="30"/>
    <x v="3"/>
    <x v="2"/>
    <m/>
  </r>
  <r>
    <d v="2021-04-09T00:00:00"/>
    <x v="10"/>
    <x v="0"/>
    <x v="10"/>
    <n v="24431"/>
    <m/>
    <s v="Cercleuse"/>
    <s v="Tuyau d'air endommagé"/>
    <s v="Dépannage"/>
    <s v="Elimination de partie bouchee/Sertissage du cable et remontage"/>
    <d v="2021-04-09T00:00:00"/>
    <m/>
    <n v="15"/>
    <x v="3"/>
    <x v="2"/>
    <m/>
  </r>
  <r>
    <d v="2021-04-09T00:00:00"/>
    <x v="0"/>
    <x v="0"/>
    <x v="0"/>
    <n v="24382"/>
    <m/>
    <s v="Systeme de tirage"/>
    <s v="Bielle cassée"/>
    <s v="Changement"/>
    <s v="Changement de la bielle cassée"/>
    <d v="2021-04-09T00:00:00"/>
    <m/>
    <n v="120"/>
    <x v="3"/>
    <x v="2"/>
    <m/>
  </r>
  <r>
    <d v="2021-04-10T00:00:00"/>
    <x v="3"/>
    <x v="1"/>
    <x v="3"/>
    <n v="24317"/>
    <m/>
    <m/>
    <m/>
    <s v="Réparation"/>
    <s v="Reglage de capteur de poids"/>
    <d v="2021-04-10T00:00:00"/>
    <m/>
    <n v="90"/>
    <x v="3"/>
    <x v="2"/>
    <m/>
  </r>
  <r>
    <d v="2021-04-10T00:00:00"/>
    <x v="3"/>
    <x v="1"/>
    <x v="3"/>
    <n v="24316"/>
    <m/>
    <s v="Tiroir d'agitation"/>
    <s v="Fuite d'huile au niveau de verin du tiroir "/>
    <s v="Réparation"/>
    <s v="Changement de flexible"/>
    <d v="2021-04-10T00:00:00"/>
    <m/>
    <n v="45"/>
    <x v="3"/>
    <x v="2"/>
    <m/>
  </r>
  <r>
    <d v="2021-04-10T00:00:00"/>
    <x v="2"/>
    <x v="1"/>
    <x v="2"/>
    <n v="24318"/>
    <m/>
    <m/>
    <s v="Durcissement de ciment dans le vis"/>
    <s v="Réparation"/>
    <s v="Deblocage de vis"/>
    <d v="2021-04-10T00:00:00"/>
    <m/>
    <n v="30"/>
    <x v="3"/>
    <x v="2"/>
    <m/>
  </r>
  <r>
    <d v="2021-04-10T00:00:00"/>
    <x v="1"/>
    <x v="0"/>
    <x v="1"/>
    <n v="24433"/>
    <m/>
    <s v="Cassette d4,6"/>
    <s v="Circuit de graissange bouché"/>
    <s v="Réparation"/>
    <s v="Débouchage de flexibles du circuit"/>
    <d v="2021-04-10T00:00:00"/>
    <m/>
    <n v="30"/>
    <x v="3"/>
    <x v="2"/>
    <m/>
  </r>
  <r>
    <d v="2021-04-10T00:00:00"/>
    <x v="29"/>
    <x v="4"/>
    <x v="29"/>
    <n v="24716"/>
    <m/>
    <s v="Chariot "/>
    <s v="Pignons de transmission usés"/>
    <s v="Démontage "/>
    <s v="Démontage/attente des nouveaux pignons"/>
    <d v="2021-04-10T00:00:00"/>
    <m/>
    <n v="180"/>
    <x v="3"/>
    <x v="2"/>
    <m/>
  </r>
  <r>
    <d v="2021-04-10T00:00:00"/>
    <x v="10"/>
    <x v="0"/>
    <x v="10"/>
    <n v="24432"/>
    <m/>
    <s v="Cassette d5"/>
    <s v="usure de 2 roulements 32008"/>
    <s v="Changement"/>
    <s v="Demontage de cassete et changement de 2 roulements"/>
    <d v="2021-04-10T00:00:00"/>
    <m/>
    <n v="120"/>
    <x v="3"/>
    <x v="2"/>
    <m/>
  </r>
  <r>
    <d v="2021-04-12T00:00:00"/>
    <x v="4"/>
    <x v="0"/>
    <x v="4"/>
    <n v="24385"/>
    <m/>
    <s v="Verrin de griffe"/>
    <s v="Blocage du verrin de griffe"/>
    <s v="Changement"/>
    <s v="Changement des joints"/>
    <d v="2021-04-12T00:00:00"/>
    <m/>
    <n v="90"/>
    <x v="3"/>
    <x v="2"/>
    <m/>
  </r>
  <r>
    <d v="2021-04-12T00:00:00"/>
    <x v="16"/>
    <x v="0"/>
    <x v="16"/>
    <n v="24717"/>
    <m/>
    <s v="Electrode "/>
    <s v="Vis cassé dans l'electrode de soudage "/>
    <s v="Changement"/>
    <s v="Extraction du vis/changement de vis "/>
    <d v="2021-04-12T00:00:00"/>
    <m/>
    <n v="60"/>
    <x v="3"/>
    <x v="2"/>
    <m/>
  </r>
  <r>
    <d v="2021-04-12T00:00:00"/>
    <x v="2"/>
    <x v="1"/>
    <x v="2"/>
    <n v="24324"/>
    <m/>
    <s v="Table vibrante"/>
    <s v="Fissure au niveau de la table vibrante"/>
    <s v="Réparation"/>
    <s v="Soudage de partie fissurée"/>
    <d v="2021-04-12T00:00:00"/>
    <m/>
    <n v="60"/>
    <x v="3"/>
    <x v="2"/>
    <m/>
  </r>
  <r>
    <d v="2021-04-12T00:00:00"/>
    <x v="3"/>
    <x v="1"/>
    <x v="3"/>
    <n v="24319"/>
    <m/>
    <s v="Moteur d'agitation"/>
    <s v="Clavette d'accouplement et pignon usé"/>
    <s v="Changement"/>
    <s v="Chanegement de clavette et pignon "/>
    <d v="2021-04-12T00:00:00"/>
    <m/>
    <n v="45"/>
    <x v="3"/>
    <x v="2"/>
    <m/>
  </r>
  <r>
    <d v="2021-04-13T00:00:00"/>
    <x v="0"/>
    <x v="0"/>
    <x v="0"/>
    <n v="24387"/>
    <m/>
    <s v="Soudage "/>
    <s v="Jeu sur le suppor de presse soudage "/>
    <s v="Réparation"/>
    <s v="Soudage de la partie usée"/>
    <d v="2021-04-13T00:00:00"/>
    <m/>
    <n v="45"/>
    <x v="3"/>
    <x v="2"/>
    <m/>
  </r>
  <r>
    <d v="2021-04-13T00:00:00"/>
    <x v="2"/>
    <x v="1"/>
    <x v="2"/>
    <n v="24321"/>
    <m/>
    <s v="Palettiseur"/>
    <s v="Decalage du photo-collecteur"/>
    <s v="Rectification"/>
    <s v="Reglage et remise a marche  "/>
    <d v="2021-04-13T00:00:00"/>
    <m/>
    <n v="45"/>
    <x v="3"/>
    <x v="2"/>
    <m/>
  </r>
  <r>
    <d v="2021-04-13T00:00:00"/>
    <x v="12"/>
    <x v="0"/>
    <x v="12"/>
    <n v="24386"/>
    <m/>
    <s v="Cisaille"/>
    <s v="Probleme au niveau du detecteur de cisaille , pignon usé"/>
    <s v="Démontage "/>
    <s v="Démontage/attente des nouveaux pignons"/>
    <d v="2021-04-13T00:00:00"/>
    <m/>
    <n v="35"/>
    <x v="3"/>
    <x v="2"/>
    <m/>
  </r>
  <r>
    <d v="2021-04-13T00:00:00"/>
    <x v="5"/>
    <x v="2"/>
    <x v="5"/>
    <n v="24322"/>
    <m/>
    <s v="Pince"/>
    <s v="Fuite d'huile au niveau du pince "/>
    <s v="Changement"/>
    <s v="Changement du flexible"/>
    <d v="2021-04-13T00:00:00"/>
    <m/>
    <n v="30"/>
    <x v="3"/>
    <x v="2"/>
    <m/>
  </r>
  <r>
    <d v="2021-04-13T00:00:00"/>
    <x v="10"/>
    <x v="0"/>
    <x v="10"/>
    <n v="24435"/>
    <m/>
    <s v="Cassette d8"/>
    <s v="Jeu sur la cassette "/>
    <s v="Démontage "/>
    <s v="Demontage de cassette /changement des roulement /Remontage zoomage /Changement flexible "/>
    <d v="2021-04-13T00:00:00"/>
    <m/>
    <n v="180"/>
    <x v="3"/>
    <x v="2"/>
    <m/>
  </r>
  <r>
    <d v="2021-04-13T00:00:00"/>
    <x v="1"/>
    <x v="0"/>
    <x v="1"/>
    <n v="24434"/>
    <m/>
    <s v="Cabeston"/>
    <s v="Usure sur la surface du cabeston "/>
    <s v="Réparation"/>
    <s v="Soudage de partie usée"/>
    <d v="2021-04-13T00:00:00"/>
    <m/>
    <n v="120"/>
    <x v="3"/>
    <x v="2"/>
    <m/>
  </r>
  <r>
    <d v="2021-04-13T00:00:00"/>
    <x v="3"/>
    <x v="1"/>
    <x v="3"/>
    <n v="24320"/>
    <m/>
    <s v="Presse béton "/>
    <s v="Fixation de goulotte "/>
    <s v="Réparation"/>
    <m/>
    <d v="2021-04-13T00:00:00"/>
    <m/>
    <n v="10"/>
    <x v="3"/>
    <x v="2"/>
    <m/>
  </r>
  <r>
    <d v="2021-04-14T00:00:00"/>
    <x v="20"/>
    <x v="0"/>
    <x v="20"/>
    <n v="24437"/>
    <m/>
    <s v="Cassette d5"/>
    <s v="Fuite d'eau "/>
    <s v="Changement"/>
    <s v="Changement du flexible"/>
    <d v="2021-04-14T00:00:00"/>
    <m/>
    <n v="30"/>
    <x v="3"/>
    <x v="2"/>
    <m/>
  </r>
  <r>
    <d v="2021-04-14T00:00:00"/>
    <x v="10"/>
    <x v="0"/>
    <x v="10"/>
    <n v="24438"/>
    <m/>
    <s v="Cercleuse"/>
    <s v="Prise rapide endommage et raccord flexible endommagé"/>
    <s v="Changement"/>
    <s v="Changement prise rapide et serrage des raccords"/>
    <d v="2021-04-14T00:00:00"/>
    <m/>
    <n v="30"/>
    <x v="3"/>
    <x v="2"/>
    <m/>
  </r>
  <r>
    <d v="2021-04-14T00:00:00"/>
    <x v="5"/>
    <x v="2"/>
    <x v="5"/>
    <n v="24323"/>
    <m/>
    <s v="Vibreur"/>
    <s v="Cable de commande endommagé"/>
    <s v="Dépannage"/>
    <s v="Réparation de cable"/>
    <d v="2021-04-14T00:00:00"/>
    <m/>
    <n v="25"/>
    <x v="3"/>
    <x v="2"/>
    <m/>
  </r>
  <r>
    <d v="2021-04-14T00:00:00"/>
    <x v="23"/>
    <x v="4"/>
    <x v="23"/>
    <n v="24718"/>
    <m/>
    <s v="Chariot "/>
    <s v="Usure des galets du chariot "/>
    <s v="Montage "/>
    <s v="Montage des nouveaux galets/installation du cable d'alimentation "/>
    <d v="2021-04-15T00:00:00"/>
    <m/>
    <n v="480"/>
    <x v="3"/>
    <x v="2"/>
    <m/>
  </r>
  <r>
    <d v="2021-04-14T00:00:00"/>
    <x v="1"/>
    <x v="0"/>
    <x v="1"/>
    <n v="24436"/>
    <m/>
    <s v="Cassette D3,2"/>
    <s v="Jeu sur la cassette "/>
    <s v="Démontage "/>
    <s v="Demontage de cassette /changement des roulement /Remontage zoomage "/>
    <d v="2021-04-14T00:00:00"/>
    <m/>
    <n v="120"/>
    <x v="3"/>
    <x v="2"/>
    <m/>
  </r>
  <r>
    <d v="2021-04-15T00:00:00"/>
    <x v="4"/>
    <x v="0"/>
    <x v="4"/>
    <n v="24390"/>
    <m/>
    <s v="Chemin roulant "/>
    <s v="Mauvais fonctionnement du capteur"/>
    <s v="Changement"/>
    <s v="Changement du capteur et reglage photo cellule"/>
    <d v="2021-04-15T00:00:00"/>
    <m/>
    <n v="60"/>
    <x v="3"/>
    <x v="2"/>
    <m/>
  </r>
  <r>
    <d v="2021-04-15T00:00:00"/>
    <x v="0"/>
    <x v="0"/>
    <x v="0"/>
    <n v="24389"/>
    <m/>
    <s v="Soudage "/>
    <s v="usure de fixation du support presse de soudage"/>
    <s v="Rectification"/>
    <s v="Soudage de la partie usée"/>
    <d v="2021-04-15T00:00:00"/>
    <m/>
    <n v="450"/>
    <x v="3"/>
    <x v="2"/>
    <m/>
  </r>
  <r>
    <d v="2021-04-16T00:00:00"/>
    <x v="4"/>
    <x v="0"/>
    <x v="4"/>
    <n v="24388"/>
    <m/>
    <s v="Systeme d'avancement "/>
    <s v="Serre clipse endommagé"/>
    <s v="Changement"/>
    <s v="Changement du serre clipse et remontage d'axe"/>
    <d v="2021-04-16T00:00:00"/>
    <m/>
    <n v="60"/>
    <x v="3"/>
    <x v="2"/>
    <m/>
  </r>
  <r>
    <d v="2021-04-16T00:00:00"/>
    <x v="29"/>
    <x v="4"/>
    <x v="29"/>
    <n v="24719"/>
    <m/>
    <m/>
    <s v="Cable antigiratoire coupe"/>
    <s v="Changement"/>
    <s v="Changement du cable "/>
    <d v="2021-04-16T00:00:00"/>
    <m/>
    <n v="120"/>
    <x v="3"/>
    <x v="2"/>
    <m/>
  </r>
  <r>
    <d v="2021-04-17T00:00:00"/>
    <x v="3"/>
    <x v="1"/>
    <x v="3"/>
    <n v="24326"/>
    <m/>
    <s v="Transbordeur"/>
    <s v="Réducteur du transbordeur endommagé"/>
    <s v="Changement"/>
    <s v="Changement du reducteur endommagé "/>
    <d v="2021-04-17T00:00:00"/>
    <m/>
    <n v="60"/>
    <x v="3"/>
    <x v="2"/>
    <m/>
  </r>
  <r>
    <d v="2021-04-17T00:00:00"/>
    <x v="14"/>
    <x v="4"/>
    <x v="14"/>
    <n v="24391"/>
    <m/>
    <s v="Commande "/>
    <s v="Cable de la commande arraché"/>
    <s v="Rectification"/>
    <s v="Fixation du cable"/>
    <d v="2021-04-16T00:00:00"/>
    <m/>
    <n v="45"/>
    <x v="3"/>
    <x v="2"/>
    <m/>
  </r>
  <r>
    <d v="2021-04-17T00:00:00"/>
    <x v="16"/>
    <x v="0"/>
    <x v="16"/>
    <n v="24720"/>
    <m/>
    <s v="Chariot "/>
    <s v="2 vis cassés au niveau du chariot support "/>
    <s v="Changement"/>
    <s v="Extraction de 2 vis cassés/changement de vis "/>
    <d v="2021-04-17T00:00:00"/>
    <m/>
    <n v="45"/>
    <x v="3"/>
    <x v="2"/>
    <m/>
  </r>
  <r>
    <d v="2021-04-17T00:00:00"/>
    <x v="2"/>
    <x v="1"/>
    <x v="2"/>
    <n v="24325"/>
    <m/>
    <s v="Pince "/>
    <s v="Reducteur pince endommagé"/>
    <s v="Changement"/>
    <s v="Changement du reducteur et reparation du reducteur endommagé"/>
    <d v="2021-04-17T00:00:00"/>
    <m/>
    <n v="155"/>
    <x v="3"/>
    <x v="2"/>
    <m/>
  </r>
  <r>
    <d v="2021-04-19T00:00:00"/>
    <x v="3"/>
    <x v="1"/>
    <x v="3"/>
    <n v="24328"/>
    <m/>
    <s v="Compresseur"/>
    <s v="Coupure de 2 courroies G22"/>
    <s v="Changement"/>
    <s v="Changement des 2 courroies"/>
    <d v="2021-04-19T00:00:00"/>
    <m/>
    <n v="45"/>
    <x v="3"/>
    <x v="2"/>
    <m/>
  </r>
  <r>
    <d v="2021-04-19T00:00:00"/>
    <x v="3"/>
    <x v="1"/>
    <x v="3"/>
    <n v="24327"/>
    <m/>
    <s v="Descenseur"/>
    <s v="Vis cassé dans la chaine du descenseur"/>
    <s v="Changement"/>
    <s v="Changement du vis cassé"/>
    <d v="2021-04-19T00:00:00"/>
    <m/>
    <n v="30"/>
    <x v="3"/>
    <x v="2"/>
    <m/>
  </r>
  <r>
    <d v="2021-04-20T00:00:00"/>
    <x v="14"/>
    <x v="4"/>
    <x v="14"/>
    <n v="24391"/>
    <m/>
    <s v="Commande "/>
    <s v="Cable de la commande arraché"/>
    <s v="Réparation"/>
    <s v="Fixation du cable de la commande "/>
    <d v="2021-04-20T00:00:00"/>
    <m/>
    <n v="45"/>
    <x v="3"/>
    <x v="2"/>
    <m/>
  </r>
  <r>
    <d v="2021-04-20T00:00:00"/>
    <x v="1"/>
    <x v="0"/>
    <x v="1"/>
    <n v="24441"/>
    <m/>
    <s v="Cassette D3,2"/>
    <s v="Fuite d'eau au niveau de l'axe du galet"/>
    <s v="Changement"/>
    <s v="Changement d'axe et remontage de la cassette "/>
    <d v="2021-04-20T00:00:00"/>
    <m/>
    <n v="45"/>
    <x v="3"/>
    <x v="2"/>
    <m/>
  </r>
  <r>
    <d v="2021-04-21T00:00:00"/>
    <x v="4"/>
    <x v="0"/>
    <x v="4"/>
    <n v="24392"/>
    <m/>
    <s v="Electrode "/>
    <s v="Vis bloqué a cause du surchauffage"/>
    <s v="Changement"/>
    <s v="Extraction du vis/changement de vis "/>
    <d v="2021-04-21T00:00:00"/>
    <m/>
    <n v="30"/>
    <x v="3"/>
    <x v="2"/>
    <m/>
  </r>
  <r>
    <d v="2021-04-21T00:00:00"/>
    <x v="2"/>
    <x v="1"/>
    <x v="2"/>
    <n v="24329"/>
    <m/>
    <s v="Silos n°6 "/>
    <s v="Reducteur et moteur endommagé "/>
    <s v="Changement"/>
    <s v="Changement du moteur et du réducteur "/>
    <d v="2021-04-21T00:00:00"/>
    <m/>
    <n v="180"/>
    <x v="3"/>
    <x v="2"/>
    <m/>
  </r>
  <r>
    <d v="2021-04-22T00:00:00"/>
    <x v="1"/>
    <x v="0"/>
    <x v="1"/>
    <n v="24440"/>
    <m/>
    <s v="Cassette d4"/>
    <s v="Fuite d'air "/>
    <s v="Changement"/>
    <s v="Changement mamlo 1/4x10"/>
    <d v="2021-04-22T00:00:00"/>
    <m/>
    <n v="35"/>
    <x v="3"/>
    <x v="2"/>
    <m/>
  </r>
  <r>
    <d v="2021-04-22T00:00:00"/>
    <x v="10"/>
    <x v="0"/>
    <x v="10"/>
    <n v="24439"/>
    <m/>
    <s v="Cercleuse"/>
    <s v="Fuite d'air"/>
    <s v="Changement"/>
    <s v="Changement prise rapide "/>
    <d v="2021-04-22T00:00:00"/>
    <m/>
    <n v="30"/>
    <x v="3"/>
    <x v="2"/>
    <m/>
  </r>
  <r>
    <d v="2021-04-22T00:00:00"/>
    <x v="2"/>
    <x v="1"/>
    <x v="2"/>
    <n v="24330"/>
    <m/>
    <s v="Table vibrante"/>
    <s v="Fissure au niveau de la table vibrante"/>
    <s v="Dépannage"/>
    <s v="Soudage de partie fissurée"/>
    <d v="2021-04-22T00:00:00"/>
    <m/>
    <n v="30"/>
    <x v="3"/>
    <x v="2"/>
    <m/>
  </r>
  <r>
    <d v="2021-04-23T00:00:00"/>
    <x v="1"/>
    <x v="0"/>
    <x v="1"/>
    <n v="24442"/>
    <m/>
    <s v="Cabeston"/>
    <s v="Mauvaise fixation du frein du moteur "/>
    <s v="Changement"/>
    <s v="Changement de fixation "/>
    <d v="2021-04-23T00:00:00"/>
    <m/>
    <n v="60"/>
    <x v="3"/>
    <x v="2"/>
    <m/>
  </r>
  <r>
    <d v="2021-04-23T00:00:00"/>
    <x v="3"/>
    <x v="1"/>
    <x v="3"/>
    <n v="24331"/>
    <m/>
    <s v="Transbordeur"/>
    <s v="Coupure du cable antigiratoire "/>
    <s v="Changement"/>
    <s v="Changement du cable antigiratoire "/>
    <d v="2021-04-23T00:00:00"/>
    <m/>
    <n v="120"/>
    <x v="3"/>
    <x v="2"/>
    <m/>
  </r>
  <r>
    <d v="2021-04-24T00:00:00"/>
    <x v="21"/>
    <x v="4"/>
    <x v="21"/>
    <n v="24443"/>
    <m/>
    <s v="Cable antigiratoire "/>
    <s v="Coupure du cable antigiratoire "/>
    <s v="Changement"/>
    <s v="Changement du cable antigiratoire "/>
    <d v="2021-04-24T00:00:00"/>
    <m/>
    <n v="60"/>
    <x v="3"/>
    <x v="2"/>
    <m/>
  </r>
  <r>
    <d v="2021-04-26T00:00:00"/>
    <x v="0"/>
    <x v="0"/>
    <x v="0"/>
    <n v="24394"/>
    <m/>
    <s v="Empileur"/>
    <s v="Support de galet d'empileur cassé"/>
    <s v="Réparation "/>
    <s v="Soudage de la partie cassé du support et remontage du support "/>
    <d v="2021-04-26T00:00:00"/>
    <m/>
    <n v="60"/>
    <x v="3"/>
    <x v="2"/>
    <m/>
  </r>
  <r>
    <d v="2021-04-26T00:00:00"/>
    <x v="3"/>
    <x v="1"/>
    <x v="3"/>
    <n v="24332"/>
    <m/>
    <s v="Systeme pneumatique "/>
    <m/>
    <s v="Réglage"/>
    <s v="Installation du pulverisateur et modification de la fixation"/>
    <d v="2021-04-26T00:00:00"/>
    <m/>
    <n v="60"/>
    <x v="3"/>
    <x v="2"/>
    <m/>
  </r>
  <r>
    <d v="2021-04-26T00:00:00"/>
    <x v="3"/>
    <x v="1"/>
    <x v="3"/>
    <n v="24333"/>
    <m/>
    <s v="Moule ventouse "/>
    <m/>
    <s v="Changement"/>
    <s v="Changement manometre "/>
    <d v="2021-04-26T00:00:00"/>
    <m/>
    <n v="30"/>
    <x v="3"/>
    <x v="2"/>
    <m/>
  </r>
  <r>
    <d v="2021-04-27T00:00:00"/>
    <x v="21"/>
    <x v="4"/>
    <x v="21"/>
    <n v="24444"/>
    <m/>
    <s v="Systeme de lévage "/>
    <s v="Elingue de lévage/maillon d'assemblage usé"/>
    <s v="Changement"/>
    <s v="Changement de maillon "/>
    <d v="2021-04-27T00:00:00"/>
    <m/>
    <n v="45"/>
    <x v="3"/>
    <x v="2"/>
    <m/>
  </r>
  <r>
    <d v="2021-04-27T00:00:00"/>
    <x v="10"/>
    <x v="0"/>
    <x v="10"/>
    <n v="24446"/>
    <m/>
    <s v="Circuit de graissage"/>
    <s v="Flexible endommagée "/>
    <s v="Changement"/>
    <s v="Changement du flexible"/>
    <d v="2021-04-27T00:00:00"/>
    <m/>
    <n v="150"/>
    <x v="3"/>
    <x v="2"/>
    <m/>
  </r>
  <r>
    <d v="2021-04-28T00:00:00"/>
    <x v="10"/>
    <x v="0"/>
    <x v="10"/>
    <n v="24445"/>
    <m/>
    <s v="Cassette d8"/>
    <s v="2 roulements 32008 usés"/>
    <s v="Changement"/>
    <s v="Demontage de la cassette/changement de roulements/zoomage et remontage "/>
    <d v="2021-04-28T00:00:00"/>
    <m/>
    <n v="120"/>
    <x v="3"/>
    <x v="2"/>
    <m/>
  </r>
  <r>
    <d v="2021-04-29T00:00:00"/>
    <x v="17"/>
    <x v="0"/>
    <x v="17"/>
    <n v="24395"/>
    <m/>
    <s v="Poulie"/>
    <s v="Usure de la gorge de la polie"/>
    <s v="Changement"/>
    <s v="Changement de la poulie"/>
    <d v="2021-04-29T00:00:00"/>
    <m/>
    <n v="150"/>
    <x v="3"/>
    <x v="2"/>
    <m/>
  </r>
  <r>
    <d v="2021-04-30T00:00:00"/>
    <x v="4"/>
    <x v="0"/>
    <x v="4"/>
    <n v="24396"/>
    <m/>
    <s v="Automates"/>
    <s v="Modules d'automates endommagé"/>
    <s v="Changement"/>
    <s v="changement des modules de l'automate"/>
    <d v="2021-04-30T00:00:00"/>
    <m/>
    <n v="150"/>
    <x v="3"/>
    <x v="2"/>
    <m/>
  </r>
  <r>
    <d v="2021-05-01T00:00:00"/>
    <x v="4"/>
    <x v="0"/>
    <x v="4"/>
    <m/>
    <m/>
    <s v="Magasin FT"/>
    <s v="Echeance vidange"/>
    <s v="Vidange"/>
    <s v="Vidange réducteur"/>
    <d v="2021-05-01T00:00:00"/>
    <m/>
    <n v="45"/>
    <x v="5"/>
    <x v="2"/>
    <m/>
  </r>
  <r>
    <d v="2021-05-01T00:00:00"/>
    <x v="4"/>
    <x v="0"/>
    <x v="4"/>
    <m/>
    <m/>
    <s v="Pousse fil "/>
    <s v="Echeance vidange"/>
    <s v="Vidange"/>
    <s v="Vidange réducteur"/>
    <d v="2021-05-01T00:00:00"/>
    <m/>
    <n v="45"/>
    <x v="5"/>
    <x v="2"/>
    <m/>
  </r>
  <r>
    <d v="2021-05-02T00:00:00"/>
    <x v="4"/>
    <x v="0"/>
    <x v="4"/>
    <n v="25153"/>
    <m/>
    <m/>
    <s v="Assistance de production"/>
    <s v="Assistance "/>
    <s v="Controle de la temperature du frigo"/>
    <d v="2021-05-02T00:00:00"/>
    <m/>
    <n v="360"/>
    <x v="5"/>
    <x v="2"/>
    <m/>
  </r>
  <r>
    <d v="2021-05-03T00:00:00"/>
    <x v="1"/>
    <x v="0"/>
    <x v="1"/>
    <n v="25201"/>
    <m/>
    <s v="Chariot "/>
    <s v="Chariot guide-fil endommagé"/>
    <s v="Changement"/>
    <s v="Changement du chariot guide fil"/>
    <d v="2021-05-03T00:00:00"/>
    <m/>
    <n v="60"/>
    <x v="5"/>
    <x v="2"/>
    <m/>
  </r>
  <r>
    <d v="2021-05-03T00:00:00"/>
    <x v="10"/>
    <x v="0"/>
    <x v="10"/>
    <n v="25202"/>
    <m/>
    <s v="Pompe"/>
    <s v="Mauvais fonctionnement de la pompe "/>
    <s v="Purge"/>
    <s v="Purge de pompe "/>
    <d v="2021-05-03T00:00:00"/>
    <m/>
    <n v="45"/>
    <x v="5"/>
    <x v="2"/>
    <m/>
  </r>
  <r>
    <d v="2021-05-03T00:00:00"/>
    <x v="1"/>
    <x v="0"/>
    <x v="1"/>
    <n v="25202"/>
    <m/>
    <s v="Pompe "/>
    <s v="Mauvais fonctionnement de la pompe "/>
    <s v="Purge"/>
    <s v="Purge de pompe "/>
    <d v="2021-05-03T00:00:00"/>
    <m/>
    <n v="45"/>
    <x v="5"/>
    <x v="2"/>
    <m/>
  </r>
  <r>
    <d v="2021-05-03T00:00:00"/>
    <x v="22"/>
    <x v="0"/>
    <x v="22"/>
    <n v="25151"/>
    <m/>
    <s v="Cisaille"/>
    <s v="Tige du tendeur de la cisaille endommagé"/>
    <s v="Changement"/>
    <s v="Changement de la tige et reglage de la cisaille"/>
    <d v="2021-05-03T00:00:00"/>
    <m/>
    <n v="45"/>
    <x v="5"/>
    <x v="2"/>
    <m/>
  </r>
  <r>
    <d v="2021-05-03T00:00:00"/>
    <x v="4"/>
    <x v="0"/>
    <x v="4"/>
    <n v="25154"/>
    <m/>
    <s v="Rouleau d'avancement"/>
    <s v="Axe de rouleau usé"/>
    <s v="Changement"/>
    <s v="Changement d'axe et remontage du rouleau"/>
    <d v="2021-05-03T00:00:00"/>
    <m/>
    <n v="45"/>
    <x v="5"/>
    <x v="2"/>
    <m/>
  </r>
  <r>
    <d v="2021-05-03T00:00:00"/>
    <x v="3"/>
    <x v="1"/>
    <x v="3"/>
    <n v="25052"/>
    <m/>
    <s v="Descenseur"/>
    <s v="Probleme au niveau du frein du moteur descenseur "/>
    <s v="Changement"/>
    <s v="changement du disque "/>
    <d v="2021-05-03T00:00:00"/>
    <m/>
    <n v="150"/>
    <x v="5"/>
    <x v="2"/>
    <m/>
  </r>
  <r>
    <d v="2021-05-03T00:00:00"/>
    <x v="3"/>
    <x v="1"/>
    <x v="3"/>
    <n v="25051"/>
    <m/>
    <s v="Réducteur "/>
    <s v="Vis cassées"/>
    <s v="Changement"/>
    <s v="changement des vis "/>
    <d v="2021-05-03T00:00:00"/>
    <m/>
    <n v="150"/>
    <x v="5"/>
    <x v="2"/>
    <m/>
  </r>
  <r>
    <d v="2021-05-04T00:00:00"/>
    <x v="16"/>
    <x v="0"/>
    <x v="16"/>
    <n v="25101"/>
    <m/>
    <s v="Cable antigiratoire "/>
    <s v="Cable antigiratoire coupé"/>
    <s v="Changement"/>
    <s v="changement du cable"/>
    <d v="2021-05-04T00:00:00"/>
    <m/>
    <n v="90"/>
    <x v="5"/>
    <x v="2"/>
    <m/>
  </r>
  <r>
    <d v="2021-05-04T00:00:00"/>
    <x v="2"/>
    <x v="1"/>
    <x v="2"/>
    <n v="25054"/>
    <m/>
    <s v="Sortie presse"/>
    <s v="2 courroies thermo usées"/>
    <s v="Changement"/>
    <s v="Changement des 2 courroies"/>
    <d v="2021-05-04T00:00:00"/>
    <m/>
    <n v="60"/>
    <x v="5"/>
    <x v="2"/>
    <m/>
  </r>
  <r>
    <d v="2021-05-04T00:00:00"/>
    <x v="2"/>
    <x v="1"/>
    <x v="2"/>
    <n v="25056"/>
    <m/>
    <s v="Malaxeur"/>
    <s v="Pales de pattes usée "/>
    <s v="Changement"/>
    <s v="Changement de 3 pales de patte"/>
    <d v="2021-05-04T00:00:00"/>
    <m/>
    <n v="60"/>
    <x v="5"/>
    <x v="2"/>
    <m/>
  </r>
  <r>
    <d v="2021-05-04T00:00:00"/>
    <x v="7"/>
    <x v="0"/>
    <x v="7"/>
    <n v="25102"/>
    <m/>
    <s v="Presse étoupe de la pompe d'eau usée"/>
    <s v="Presse etoupe usée"/>
    <s v="Démontage "/>
    <s v="Démontage de la pompe/attente de reparation de la pompe "/>
    <d v="2021-05-04T00:00:00"/>
    <m/>
    <n v="60"/>
    <x v="5"/>
    <x v="2"/>
    <m/>
  </r>
  <r>
    <d v="2021-05-04T00:00:00"/>
    <x v="27"/>
    <x v="2"/>
    <x v="27"/>
    <n v="25057"/>
    <m/>
    <s v="Vibreur"/>
    <s v="Cable de puissance coupé"/>
    <s v="Changement"/>
    <s v="Dépannage du cable et chagement de la cosse "/>
    <d v="2021-05-04T00:00:00"/>
    <m/>
    <n v="35"/>
    <x v="5"/>
    <x v="2"/>
    <m/>
  </r>
  <r>
    <d v="2021-05-04T00:00:00"/>
    <x v="2"/>
    <x v="1"/>
    <x v="2"/>
    <n v="25055"/>
    <m/>
    <s v="Pousse planche"/>
    <s v="Dereglage du débit du vérin"/>
    <s v="Réglage"/>
    <s v="Réglage du débit "/>
    <d v="2021-05-04T00:00:00"/>
    <m/>
    <n v="30"/>
    <x v="5"/>
    <x v="2"/>
    <m/>
  </r>
  <r>
    <d v="2021-05-04T00:00:00"/>
    <x v="2"/>
    <x v="1"/>
    <x v="2"/>
    <n v="25058"/>
    <m/>
    <s v="Silent bloc "/>
    <s v="Silent bloc du moule endommagé"/>
    <s v="Changement"/>
    <s v="Changement de 4 silent bloc"/>
    <d v="2021-05-04T00:00:00"/>
    <m/>
    <n v="30"/>
    <x v="5"/>
    <x v="2"/>
    <m/>
  </r>
  <r>
    <d v="2021-05-04T00:00:00"/>
    <x v="2"/>
    <x v="1"/>
    <x v="2"/>
    <n v="25053"/>
    <m/>
    <s v="Table vibrante"/>
    <s v="Courroie 2008 coupée"/>
    <s v="Changement"/>
    <s v="Changement de la courroie et reglage de calage "/>
    <d v="2021-05-04T00:00:00"/>
    <m/>
    <n v="180"/>
    <x v="5"/>
    <x v="2"/>
    <m/>
  </r>
  <r>
    <d v="2021-05-04T00:00:00"/>
    <x v="1"/>
    <x v="0"/>
    <x v="1"/>
    <n v="25204"/>
    <m/>
    <s v="Cassette 3,8"/>
    <s v="Jeu sur cassette/Usure de 2 roulements 32008"/>
    <s v="Changement"/>
    <s v="Demontage de cassette /changement des roulement /Remontage zoomage "/>
    <d v="2021-05-04T00:00:00"/>
    <m/>
    <n v="120"/>
    <x v="5"/>
    <x v="2"/>
    <m/>
  </r>
  <r>
    <d v="2021-05-04T00:00:00"/>
    <x v="1"/>
    <x v="0"/>
    <x v="1"/>
    <n v="25205"/>
    <m/>
    <s v="Cassette 3,2"/>
    <s v="Jeu sur cassette/Usure de 4 roulements 32008"/>
    <s v="Changement"/>
    <s v="Demontage de cassette /changement des roulement /Remontage zoomage "/>
    <d v="2021-05-04T00:00:00"/>
    <m/>
    <n v="120"/>
    <x v="5"/>
    <x v="2"/>
    <m/>
  </r>
  <r>
    <d v="2021-05-05T00:00:00"/>
    <x v="16"/>
    <x v="0"/>
    <x v="16"/>
    <n v="25103"/>
    <m/>
    <s v="Pince cisaille"/>
    <s v="Probleme au niveau du pince de la cisaille / roulement 6004 endommagé"/>
    <s v="Changement"/>
    <s v="Changement du roulement endommagé"/>
    <d v="2021-05-05T00:00:00"/>
    <m/>
    <n v="60"/>
    <x v="5"/>
    <x v="2"/>
    <m/>
  </r>
  <r>
    <d v="2021-05-05T00:00:00"/>
    <x v="39"/>
    <x v="9"/>
    <x v="38"/>
    <n v="25203"/>
    <m/>
    <m/>
    <m/>
    <s v="Vidange"/>
    <s v="Mise a niveau de l'huile 68 et 90 sur tout les groupes hydraulique"/>
    <d v="2021-05-04T00:00:00"/>
    <m/>
    <n v="60"/>
    <x v="5"/>
    <x v="2"/>
    <m/>
  </r>
  <r>
    <d v="2021-05-06T00:00:00"/>
    <x v="3"/>
    <x v="1"/>
    <x v="3"/>
    <n v="25060"/>
    <m/>
    <s v="Malaxeur"/>
    <s v="Pales de pattes usée "/>
    <s v="Réctification"/>
    <s v="Soudage de la partie usée"/>
    <d v="2021-05-06T00:00:00"/>
    <m/>
    <n v="60"/>
    <x v="5"/>
    <x v="2"/>
    <m/>
  </r>
  <r>
    <d v="2021-05-06T00:00:00"/>
    <x v="4"/>
    <x v="0"/>
    <x v="4"/>
    <n v="25156"/>
    <m/>
    <s v="Poste de soudage"/>
    <s v="Pierre  meuleuse endommagé"/>
    <s v="Changement"/>
    <s v="Changement de la pierre meuleuse"/>
    <d v="2021-05-06T00:00:00"/>
    <m/>
    <n v="45"/>
    <x v="5"/>
    <x v="2"/>
    <m/>
  </r>
  <r>
    <d v="2021-05-06T00:00:00"/>
    <x v="11"/>
    <x v="0"/>
    <x v="11"/>
    <n v="25206"/>
    <m/>
    <s v="Savonniere"/>
    <s v="Tige M14 cassée au niveau du guide fil "/>
    <s v="Changement"/>
    <s v="Changement de la tige et d'ecrou"/>
    <d v="2021-05-06T00:00:00"/>
    <m/>
    <n v="35"/>
    <x v="5"/>
    <x v="2"/>
    <m/>
  </r>
  <r>
    <d v="2021-05-06T00:00:00"/>
    <x v="10"/>
    <x v="0"/>
    <x v="10"/>
    <n v="25207"/>
    <m/>
    <s v="Clé à choc"/>
    <s v="Fuite d'air "/>
    <s v="Changement"/>
    <s v="Changement du prise rapide et verification du circuit d'air "/>
    <d v="2021-05-06T00:00:00"/>
    <m/>
    <n v="30"/>
    <x v="5"/>
    <x v="2"/>
    <m/>
  </r>
  <r>
    <d v="2021-05-06T00:00:00"/>
    <x v="3"/>
    <x v="1"/>
    <x v="3"/>
    <n v="25059"/>
    <m/>
    <s v="Compresseure GA22"/>
    <s v="Courroie coupé"/>
    <s v="Changement"/>
    <s v="Changement du compresseur /  réparation du compresseur"/>
    <d v="2021-05-06T00:00:00"/>
    <m/>
    <n v="180"/>
    <x v="5"/>
    <x v="2"/>
    <m/>
  </r>
  <r>
    <d v="2021-05-06T00:00:00"/>
    <x v="12"/>
    <x v="0"/>
    <x v="12"/>
    <m/>
    <m/>
    <s v="Cisaille"/>
    <s v="Servomoteur endommagé"/>
    <s v="Réparation "/>
    <s v="Achat en cours de traitement"/>
    <d v="2021-05-31T00:00:00"/>
    <m/>
    <n v="9600"/>
    <x v="5"/>
    <x v="2"/>
    <m/>
  </r>
  <r>
    <d v="2021-05-07T00:00:00"/>
    <x v="2"/>
    <x v="1"/>
    <x v="2"/>
    <n v="25061"/>
    <m/>
    <s v="Cadre glissant et grille d'agitation"/>
    <s v="Usure du cadre glissant / grille endommagé"/>
    <s v="Changement"/>
    <s v="Changement du cadre/grille/ ressort du tiroir"/>
    <d v="2021-05-07T00:00:00"/>
    <m/>
    <n v="420"/>
    <x v="5"/>
    <x v="2"/>
    <m/>
  </r>
  <r>
    <d v="2021-05-07T00:00:00"/>
    <x v="3"/>
    <x v="1"/>
    <x v="3"/>
    <n v="25062"/>
    <m/>
    <s v="Pousse planche"/>
    <s v="Mal fonctionnement de fin de course du pousse planche "/>
    <s v="Changement"/>
    <s v="Changement de fixation"/>
    <d v="2021-05-07T00:00:00"/>
    <m/>
    <n v="30"/>
    <x v="5"/>
    <x v="2"/>
    <m/>
  </r>
  <r>
    <d v="2021-05-07T00:00:00"/>
    <x v="3"/>
    <x v="1"/>
    <x v="3"/>
    <n v="25062"/>
    <m/>
    <s v="Pousse planche"/>
    <s v="Manométre endommagé"/>
    <s v="Installation"/>
    <s v="Installation du manométre de la venteuse / verin pousse planche"/>
    <d v="2021-05-07T00:00:00"/>
    <m/>
    <n v="30"/>
    <x v="5"/>
    <x v="2"/>
    <m/>
  </r>
  <r>
    <d v="2021-05-08T00:00:00"/>
    <x v="1"/>
    <x v="0"/>
    <x v="1"/>
    <n v="25209"/>
    <m/>
    <s v="Cassette 5"/>
    <s v="Entretien complet de la cassette d5"/>
    <s v="Rénnovation "/>
    <s v="Changement du support/demontage et nettoyage /verification/peinture/remontage "/>
    <d v="2021-05-15T00:00:00"/>
    <m/>
    <m/>
    <x v="5"/>
    <x v="2"/>
    <m/>
  </r>
  <r>
    <d v="2021-05-08T00:00:00"/>
    <x v="11"/>
    <x v="0"/>
    <x v="11"/>
    <n v="25208"/>
    <m/>
    <s v="Guide fil"/>
    <s v="Galet usé"/>
    <s v="Changement"/>
    <s v="Changement du galet endommagé"/>
    <d v="2021-05-08T00:00:00"/>
    <m/>
    <n v="45"/>
    <x v="5"/>
    <x v="2"/>
    <m/>
  </r>
  <r>
    <d v="2021-05-09T00:00:00"/>
    <x v="4"/>
    <x v="0"/>
    <x v="4"/>
    <n v="25157"/>
    <m/>
    <s v="Frigo"/>
    <s v="Installation du frigo "/>
    <s v="Installation"/>
    <s v="Installation du frigo et branchement du cable d'alimentation"/>
    <d v="2021-05-09T00:00:00"/>
    <m/>
    <n v="360"/>
    <x v="5"/>
    <x v="2"/>
    <m/>
  </r>
  <r>
    <d v="2021-05-09T00:00:00"/>
    <x v="2"/>
    <x v="1"/>
    <x v="2"/>
    <n v="25064"/>
    <m/>
    <s v="Courroie 1760"/>
    <s v="Courroie1760 coupé"/>
    <s v="Changement"/>
    <s v="Changement de la courroie 1760 / changement de 2 roulements"/>
    <d v="2021-05-09T00:00:00"/>
    <m/>
    <n v="240"/>
    <x v="5"/>
    <x v="2"/>
    <m/>
  </r>
  <r>
    <d v="2021-05-10T00:00:00"/>
    <x v="16"/>
    <x v="0"/>
    <x v="16"/>
    <n v="25104"/>
    <m/>
    <s v="Embrayage "/>
    <s v="3 courroies usées"/>
    <s v="Changement"/>
    <s v="Changement des courroies"/>
    <d v="2021-05-10T00:00:00"/>
    <m/>
    <n v="120"/>
    <x v="5"/>
    <x v="2"/>
    <m/>
  </r>
  <r>
    <d v="2021-05-10T00:00:00"/>
    <x v="2"/>
    <x v="1"/>
    <x v="2"/>
    <n v="25065"/>
    <m/>
    <s v="Agitateur"/>
    <s v="Chaine endommagée"/>
    <s v="Changement"/>
    <s v="Changement de la chaine B12"/>
    <d v="2021-05-10T00:00:00"/>
    <m/>
    <n v="120"/>
    <x v="5"/>
    <x v="2"/>
    <m/>
  </r>
  <r>
    <d v="2021-05-11T00:00:00"/>
    <x v="10"/>
    <x v="0"/>
    <x v="10"/>
    <n v="25210"/>
    <m/>
    <s v="Fuite d'huile"/>
    <s v="Flexible d'huile endommagé"/>
    <s v="Changement"/>
    <s v="Changement du flexible / remise a niveau de l'huile 68"/>
    <d v="2021-05-11T00:00:00"/>
    <m/>
    <n v="60"/>
    <x v="5"/>
    <x v="2"/>
    <m/>
  </r>
  <r>
    <d v="2021-05-11T00:00:00"/>
    <x v="0"/>
    <x v="0"/>
    <x v="0"/>
    <n v="25161"/>
    <m/>
    <s v="Presse soudage"/>
    <s v="Probleme au niveau de la presse de soudage"/>
    <s v="Reparation"/>
    <s v="Soudage de la partie usée"/>
    <d v="2021-05-11T00:00:00"/>
    <m/>
    <n v="45"/>
    <x v="5"/>
    <x v="2"/>
    <m/>
  </r>
  <r>
    <d v="2021-05-11T00:00:00"/>
    <x v="1"/>
    <x v="0"/>
    <x v="1"/>
    <n v="25211"/>
    <m/>
    <s v="Circuit de graissage"/>
    <s v="Flexible de graissage endommagé et embout+raccord usé"/>
    <s v="Changement"/>
    <s v="Changement du raccord / embout /flexible"/>
    <d v="2021-05-11T00:00:00"/>
    <m/>
    <n v="40"/>
    <x v="5"/>
    <x v="2"/>
    <m/>
  </r>
  <r>
    <d v="2021-05-11T00:00:00"/>
    <x v="0"/>
    <x v="0"/>
    <x v="0"/>
    <n v="25159"/>
    <m/>
    <s v="Tendeur"/>
    <s v="Vis tendeur cassé"/>
    <s v="Changement"/>
    <s v="Extraction du vis/changement de vis "/>
    <d v="2021-05-11T00:00:00"/>
    <m/>
    <n v="35"/>
    <x v="5"/>
    <x v="2"/>
    <m/>
  </r>
  <r>
    <d v="2021-05-12T00:00:00"/>
    <x v="7"/>
    <x v="0"/>
    <x v="7"/>
    <n v="25105"/>
    <m/>
    <s v="Pince cisaille"/>
    <s v="Usure de 2 roulements 6000"/>
    <s v="Changement"/>
    <s v="Changement de 2 roulements"/>
    <d v="2021-05-12T00:00:00"/>
    <m/>
    <n v="60"/>
    <x v="5"/>
    <x v="2"/>
    <m/>
  </r>
  <r>
    <d v="2021-05-12T00:00:00"/>
    <x v="0"/>
    <x v="0"/>
    <x v="0"/>
    <n v="25160"/>
    <m/>
    <s v="Ejecteur trame"/>
    <s v="Echappe du verin "/>
    <s v="Changement"/>
    <s v="Changement de l'echappe du verin "/>
    <d v="2021-05-12T00:00:00"/>
    <m/>
    <n v="60"/>
    <x v="5"/>
    <x v="2"/>
    <m/>
  </r>
  <r>
    <d v="2021-05-12T00:00:00"/>
    <x v="1"/>
    <x v="0"/>
    <x v="1"/>
    <n v="25212"/>
    <m/>
    <s v="Cassette 3,2"/>
    <s v="Usure de 4 roulements 32008"/>
    <s v="Changement"/>
    <s v="Demontage de cassette /changement des roulement /Remontage zoomage "/>
    <d v="2021-05-12T00:00:00"/>
    <m/>
    <n v="120"/>
    <x v="5"/>
    <x v="2"/>
    <m/>
  </r>
  <r>
    <d v="2021-05-17T00:00:00"/>
    <x v="2"/>
    <x v="1"/>
    <x v="2"/>
    <n v="25160"/>
    <m/>
    <s v="Cercleuse"/>
    <s v="Levier usé"/>
    <s v="Changement"/>
    <s v="Changement du levier"/>
    <d v="2021-05-17T00:00:00"/>
    <m/>
    <n v="45"/>
    <x v="5"/>
    <x v="2"/>
    <m/>
  </r>
  <r>
    <d v="2021-05-17T00:00:00"/>
    <x v="2"/>
    <x v="1"/>
    <x v="2"/>
    <n v="25070"/>
    <m/>
    <s v="Pilon"/>
    <s v="Détecteur endommagée "/>
    <s v="Répa"/>
    <s v="Changemet de fiche et detecteur"/>
    <d v="2021-05-17T00:00:00"/>
    <m/>
    <n v="45"/>
    <x v="5"/>
    <x v="2"/>
    <m/>
  </r>
  <r>
    <d v="2021-05-18T00:00:00"/>
    <x v="10"/>
    <x v="0"/>
    <x v="10"/>
    <n v="25216"/>
    <m/>
    <s v="Guide fil"/>
    <s v="Manque de phase au niveau du ventilateur moteur"/>
    <s v="Rép"/>
    <s v="chnagement d'un contacteur"/>
    <d v="2021-05-18T00:00:00"/>
    <m/>
    <n v="45"/>
    <x v="5"/>
    <x v="2"/>
    <m/>
  </r>
  <r>
    <d v="2021-05-19T00:00:00"/>
    <x v="17"/>
    <x v="0"/>
    <x v="17"/>
    <n v="25158"/>
    <m/>
    <s v="Moteur cisaille endommagé"/>
    <s v="Moteur cisaille"/>
    <s v="Changement"/>
    <s v="Demontage/rebobinage/installation du moteur"/>
    <d v="2021-05-21T00:00:00"/>
    <m/>
    <n v="480"/>
    <x v="5"/>
    <x v="2"/>
    <m/>
  </r>
  <r>
    <d v="2021-05-20T00:00:00"/>
    <x v="20"/>
    <x v="0"/>
    <x v="20"/>
    <m/>
    <m/>
    <s v="Pupitre de commande"/>
    <s v="Terminal MP277 touch endommagé"/>
    <s v="Réparation"/>
    <s v="Réparation du terminal"/>
    <d v="2021-05-31T00:00:00"/>
    <m/>
    <n v="4800"/>
    <x v="5"/>
    <x v="2"/>
    <m/>
  </r>
  <r>
    <d v="2021-05-21T00:00:00"/>
    <x v="11"/>
    <x v="0"/>
    <x v="11"/>
    <n v="25217"/>
    <m/>
    <s v="Cabestan"/>
    <s v="Usure de surface du cabestan "/>
    <s v="Réparation "/>
    <s v="Surfaçage du cabestan et mise en marche"/>
    <d v="2021-05-21T00:00:00"/>
    <m/>
    <n v="180"/>
    <x v="5"/>
    <x v="2"/>
    <m/>
  </r>
  <r>
    <d v="2021-05-21T00:00:00"/>
    <x v="2"/>
    <x v="1"/>
    <x v="2"/>
    <n v="25073"/>
    <m/>
    <s v="Tiroir d'agitation"/>
    <s v="Pignon d'accouplement endommagé"/>
    <s v="Réparation "/>
    <s v="Changement du pignon et changement d'attache"/>
    <d v="2021-05-21T00:00:00"/>
    <m/>
    <n v="45"/>
    <x v="5"/>
    <x v="2"/>
    <m/>
  </r>
  <r>
    <d v="2021-05-21T00:00:00"/>
    <x v="5"/>
    <x v="2"/>
    <x v="5"/>
    <n v="25075"/>
    <m/>
    <s v="MAlaxeur"/>
    <s v="Arbre réducteur endommagé"/>
    <s v="Répa"/>
    <s v="Changement de l'arbre et du revetement du malaxeur"/>
    <d v="2021-05-21T00:00:00"/>
    <m/>
    <n v="8160"/>
    <x v="5"/>
    <x v="2"/>
    <m/>
  </r>
  <r>
    <d v="2021-05-22T00:00:00"/>
    <x v="7"/>
    <x v="0"/>
    <x v="7"/>
    <n v="25106"/>
    <m/>
    <s v="Systeme de redressement"/>
    <s v="2 roulements du galet de redressement usés"/>
    <s v="Changement"/>
    <s v="Changement de 2 roulements"/>
    <d v="2021-05-22T00:00:00"/>
    <m/>
    <n v="60"/>
    <x v="5"/>
    <x v="2"/>
    <m/>
  </r>
  <r>
    <d v="2021-05-26T00:00:00"/>
    <x v="4"/>
    <x v="0"/>
    <x v="4"/>
    <n v="25169"/>
    <m/>
    <s v="Plot du contact"/>
    <s v="Usure du filtage et ressort endommagé"/>
    <s v="Changement"/>
    <s v="Taroudage du plot et changement du ressort "/>
    <d v="2021-05-26T00:00:00"/>
    <m/>
    <n v="60"/>
    <x v="5"/>
    <x v="2"/>
    <m/>
  </r>
  <r>
    <d v="2021-05-26T00:00:00"/>
    <x v="26"/>
    <x v="0"/>
    <x v="26"/>
    <n v="25107"/>
    <m/>
    <s v="Groupe hydraulique"/>
    <s v="Niveau d'huile insuffisant"/>
    <s v="Correction"/>
    <s v="Correction du niveau d'huile au niveau du groupe hydraulique "/>
    <d v="2021-05-26T00:00:00"/>
    <m/>
    <n v="15"/>
    <x v="5"/>
    <x v="2"/>
    <m/>
  </r>
  <r>
    <d v="2021-05-27T00:00:00"/>
    <x v="2"/>
    <x v="1"/>
    <x v="2"/>
    <n v="25076"/>
    <m/>
    <s v="Moule"/>
    <s v="Manque de manometres"/>
    <s v="Installation"/>
    <s v="Installation de 2 manometres du vitesse du moule"/>
    <d v="2021-05-27T00:00:00"/>
    <m/>
    <n v="30"/>
    <x v="5"/>
    <x v="2"/>
    <m/>
  </r>
  <r>
    <d v="2021-05-27T00:00:00"/>
    <x v="16"/>
    <x v="0"/>
    <x v="16"/>
    <n v="25168"/>
    <m/>
    <s v="Guide fil"/>
    <s v="Guide"/>
    <s v="Changement"/>
    <s v="Changement du guide fil endommagé"/>
    <d v="2021-05-27T00:00:00"/>
    <m/>
    <n v="45"/>
    <x v="5"/>
    <x v="2"/>
    <m/>
  </r>
  <r>
    <d v="2021-05-28T00:00:00"/>
    <x v="2"/>
    <x v="1"/>
    <x v="2"/>
    <n v="25074"/>
    <m/>
    <s v="Table vibrante"/>
    <s v="rupture de courroie 2800 de table vibrante"/>
    <s v="Réparation"/>
    <s v="Changement de la courroie et calage de la table"/>
    <d v="2021-05-28T00:00:00"/>
    <m/>
    <n v="180"/>
    <x v="5"/>
    <x v="2"/>
    <m/>
  </r>
  <r>
    <d v="2021-05-28T00:00:00"/>
    <x v="4"/>
    <x v="0"/>
    <x v="4"/>
    <n v="25170"/>
    <m/>
    <s v="Table elevatrice"/>
    <s v="Dereglage de la table elevatrice "/>
    <s v="Réglage"/>
    <s v="Reglage de la table et mise a niveau correcte "/>
    <d v="2021-05-28T00:00:00"/>
    <m/>
    <n v="30"/>
    <x v="5"/>
    <x v="2"/>
    <m/>
  </r>
  <r>
    <d v="2021-05-29T00:00:00"/>
    <x v="16"/>
    <x v="0"/>
    <x v="16"/>
    <n v="25172"/>
    <m/>
    <s v="Groupe hydraulique"/>
    <s v="Niveau d'huile insuffisant"/>
    <s v="Rectification"/>
    <s v="Correction du niveau d'huile hydraulique "/>
    <d v="2021-05-29T00:00:00"/>
    <m/>
    <n v="15"/>
    <x v="5"/>
    <x v="2"/>
    <m/>
  </r>
  <r>
    <d v="2021-05-31T00:00:00"/>
    <x v="16"/>
    <x v="0"/>
    <x v="16"/>
    <n v="25173"/>
    <m/>
    <s v="Systeme de guidage "/>
    <s v="probleme au niveau du systeme de guidage "/>
    <s v="Changement"/>
    <s v="Changement du fer plat"/>
    <d v="2021-05-31T00:00:00"/>
    <m/>
    <n v="60"/>
    <x v="5"/>
    <x v="2"/>
    <m/>
  </r>
  <r>
    <d v="2021-05-31T00:00:00"/>
    <x v="22"/>
    <x v="0"/>
    <x v="22"/>
    <n v="25174"/>
    <m/>
    <s v="Cisaille"/>
    <s v="Ressort endommagé"/>
    <s v="Changement"/>
    <s v="Changement du ressort endommagé"/>
    <d v="2021-05-31T00:00:00"/>
    <m/>
    <n v="45"/>
    <x v="5"/>
    <x v="2"/>
    <m/>
  </r>
  <r>
    <d v="2021-05-31T00:00:00"/>
    <x v="0"/>
    <x v="0"/>
    <x v="0"/>
    <n v="25175"/>
    <m/>
    <s v="Presse soudage"/>
    <s v="Probleme au niveau de la presse de soudage"/>
    <s v="Reparation"/>
    <s v="Soudage de partie usée"/>
    <d v="2021-05-31T00:00:00"/>
    <m/>
    <n v="60"/>
    <x v="5"/>
    <x v="2"/>
    <m/>
  </r>
  <r>
    <d v="2021-05-31T00:00:00"/>
    <x v="7"/>
    <x v="0"/>
    <x v="7"/>
    <n v="25108"/>
    <m/>
    <s v="Porte électrode "/>
    <s v="Probleme au niveau du support porte electrode"/>
    <s v="Changement"/>
    <s v="Changement bride"/>
    <d v="2021-05-31T00:00:00"/>
    <m/>
    <n v="60"/>
    <x v="5"/>
    <x v="2"/>
    <m/>
  </r>
  <r>
    <d v="2021-06-01T00:00:00"/>
    <x v="10"/>
    <x v="0"/>
    <x v="10"/>
    <n v="24501"/>
    <m/>
    <s v="Casette PR8"/>
    <s v="Galet cranté endommagé et 6 roulements endommagés "/>
    <s v="Changement"/>
    <s v="Changement du galet et des 6 roulements "/>
    <d v="2021-06-01T00:00:00"/>
    <m/>
    <m/>
    <x v="4"/>
    <x v="2"/>
    <m/>
  </r>
  <r>
    <d v="2021-06-01T00:00:00"/>
    <x v="1"/>
    <x v="0"/>
    <x v="1"/>
    <n v="24502"/>
    <m/>
    <s v="Pompe de graissage"/>
    <s v="Fuite d'air au niveau de la pompe/mamelon 1/8 endommagé"/>
    <s v="Changement"/>
    <s v="Changement du mamelon endommagé"/>
    <d v="2021-06-01T00:00:00"/>
    <m/>
    <n v="30"/>
    <x v="4"/>
    <x v="2"/>
    <m/>
  </r>
  <r>
    <d v="2021-06-01T00:00:00"/>
    <x v="10"/>
    <x v="0"/>
    <x v="10"/>
    <n v="24503"/>
    <m/>
    <s v="Casette PR8"/>
    <s v="Galet PR8 endommagé"/>
    <s v="Changement"/>
    <s v="Demontage du cassette/changement du galet/remontage de la cassette "/>
    <d v="2021-06-01T00:00:00"/>
    <m/>
    <n v="180"/>
    <x v="4"/>
    <x v="2"/>
    <m/>
  </r>
  <r>
    <d v="2021-06-01T00:00:00"/>
    <x v="3"/>
    <x v="1"/>
    <x v="3"/>
    <n v="25501"/>
    <m/>
    <s v="Tendeur bonde a béton "/>
    <s v="Tige de tendeur de la bande à béton endommagé"/>
    <s v="Changement"/>
    <s v="Changement du tige "/>
    <d v="2021-06-01T00:00:00"/>
    <m/>
    <n v="45"/>
    <x v="4"/>
    <x v="2"/>
    <m/>
  </r>
  <r>
    <d v="2021-06-01T00:00:00"/>
    <x v="3"/>
    <x v="1"/>
    <x v="3"/>
    <n v="25502"/>
    <m/>
    <s v="Cconvoyeur"/>
    <s v="Rouleux endommagé "/>
    <s v="Changement"/>
    <s v="Changement du rouleaux "/>
    <d v="2021-06-01T00:00:00"/>
    <m/>
    <n v="60"/>
    <x v="4"/>
    <x v="2"/>
    <m/>
  </r>
  <r>
    <d v="2021-06-01T00:00:00"/>
    <x v="4"/>
    <x v="0"/>
    <x v="4"/>
    <n v="25551"/>
    <m/>
    <s v="Systéme  d'avencement "/>
    <s v="Fuite d'air au niveau de vérin / prise rapide endommagé "/>
    <s v="Changement"/>
    <s v="Changement de prise rapide "/>
    <d v="2021-06-01T00:00:00"/>
    <m/>
    <n v="25"/>
    <x v="4"/>
    <x v="2"/>
    <m/>
  </r>
  <r>
    <d v="2021-06-01T00:00:00"/>
    <x v="12"/>
    <x v="0"/>
    <x v="12"/>
    <m/>
    <m/>
    <s v="Cisaille"/>
    <s v="Servomoteur endommagé"/>
    <m/>
    <s v="Livraison en cours de chez Eurolls"/>
    <d v="2021-06-30T00:00:00"/>
    <m/>
    <n v="24960"/>
    <x v="4"/>
    <x v="2"/>
    <m/>
  </r>
  <r>
    <d v="2021-06-02T00:00:00"/>
    <x v="2"/>
    <x v="1"/>
    <x v="2"/>
    <n v="25503"/>
    <m/>
    <s v="Table vibrante"/>
    <s v="Décalage du table vibrante "/>
    <s v="Réglage"/>
    <s v="Réglage du calage / changement des silent blocs "/>
    <d v="2021-06-02T00:00:00"/>
    <m/>
    <n v="120"/>
    <x v="4"/>
    <x v="2"/>
    <m/>
  </r>
  <r>
    <d v="2021-06-02T00:00:00"/>
    <x v="22"/>
    <x v="0"/>
    <x v="22"/>
    <n v="24551"/>
    <m/>
    <s v="Cisaille"/>
    <s v="Ressort endommagé"/>
    <s v="Changement"/>
    <s v="Changement du ressort endommagé"/>
    <d v="2021-06-02T00:00:00"/>
    <m/>
    <n v="60"/>
    <x v="4"/>
    <x v="2"/>
    <m/>
  </r>
  <r>
    <d v="2021-06-02T00:00:00"/>
    <x v="0"/>
    <x v="0"/>
    <x v="0"/>
    <n v="25552"/>
    <m/>
    <s v="Empileur "/>
    <s v="Roue d'explusion endommagé "/>
    <s v="Changement"/>
    <s v="Changement du roue "/>
    <d v="2021-06-02T00:00:00"/>
    <m/>
    <n v="15"/>
    <x v="4"/>
    <x v="2"/>
    <m/>
  </r>
  <r>
    <d v="2021-06-03T00:00:00"/>
    <x v="2"/>
    <x v="1"/>
    <x v="2"/>
    <n v="25504"/>
    <m/>
    <s v="Cercleuse"/>
    <s v="Lame de soudage usé et résistance endommagé "/>
    <s v="Changement"/>
    <s v="Changement  du lame et la  résistance "/>
    <d v="2021-06-03T00:00:00"/>
    <m/>
    <n v="60"/>
    <x v="4"/>
    <x v="2"/>
    <m/>
  </r>
  <r>
    <d v="2021-06-03T00:00:00"/>
    <x v="3"/>
    <x v="1"/>
    <x v="3"/>
    <n v="25505"/>
    <m/>
    <s v="MAlaxeur"/>
    <s v="Niveau d'huile insuffisant au niveau du réducteur "/>
    <s v="Rectification"/>
    <s v="Correction du niveau d'huile hydrolique "/>
    <d v="2021-06-03T00:00:00"/>
    <m/>
    <n v="15"/>
    <x v="4"/>
    <x v="2"/>
    <m/>
  </r>
  <r>
    <d v="2021-06-03T00:00:00"/>
    <x v="3"/>
    <x v="1"/>
    <x v="3"/>
    <n v="25506"/>
    <m/>
    <s v="Pousse planche "/>
    <s v="Fin de course endommagé "/>
    <s v="Changement"/>
    <s v="Changement du fin de course"/>
    <d v="2021-06-03T00:00:00"/>
    <m/>
    <n v="35"/>
    <x v="4"/>
    <x v="2"/>
    <m/>
  </r>
  <r>
    <d v="2021-06-04T00:00:00"/>
    <x v="10"/>
    <x v="0"/>
    <x v="10"/>
    <n v="24504"/>
    <m/>
    <s v="Cassete d9"/>
    <s v="Galet lisse endommagé et usure de 8 roulements "/>
    <s v="Changement"/>
    <s v="Demontage cassette/changement du galet et des 8 roulements / remontage/zoomage "/>
    <d v="2021-06-04T00:00:00"/>
    <m/>
    <n v="150"/>
    <x v="4"/>
    <x v="2"/>
    <m/>
  </r>
  <r>
    <d v="2021-06-04T00:00:00"/>
    <x v="7"/>
    <x v="0"/>
    <x v="7"/>
    <n v="24554"/>
    <m/>
    <s v="Systéme transmision de poutrelles"/>
    <s v="Fuite d'huile au niveau de flexible "/>
    <s v="Changement"/>
    <s v="Changement du flexible "/>
    <d v="2021-06-04T00:00:00"/>
    <m/>
    <n v="45"/>
    <x v="4"/>
    <x v="2"/>
    <m/>
  </r>
  <r>
    <d v="2021-06-04T00:00:00"/>
    <x v="17"/>
    <x v="0"/>
    <x v="17"/>
    <n v="25553"/>
    <m/>
    <s v="Came de cisaille"/>
    <s v="Jeu au niveau du came "/>
    <s v="Changement"/>
    <s v="Changement de roulement "/>
    <d v="2021-06-04T00:00:00"/>
    <m/>
    <n v="45"/>
    <x v="4"/>
    <x v="2"/>
    <m/>
  </r>
  <r>
    <d v="2021-06-05T00:00:00"/>
    <x v="2"/>
    <x v="1"/>
    <x v="2"/>
    <n v="25507"/>
    <m/>
    <s v="Pilon"/>
    <s v="Fuite interne au niveau de vérin "/>
    <s v="Changement"/>
    <s v="Changement des kit joints"/>
    <d v="2021-06-05T00:00:00"/>
    <m/>
    <n v="90"/>
    <x v="4"/>
    <x v="2"/>
    <m/>
  </r>
  <r>
    <d v="2021-06-05T00:00:00"/>
    <x v="3"/>
    <x v="1"/>
    <x v="3"/>
    <n v="25508"/>
    <m/>
    <s v="Vis a ciment"/>
    <s v="Accouplement usé "/>
    <s v="Changement"/>
    <s v="Changement d'accouplement "/>
    <d v="2021-06-05T00:00:00"/>
    <m/>
    <n v="45"/>
    <x v="4"/>
    <x v="2"/>
    <m/>
  </r>
  <r>
    <d v="2021-06-05T00:00:00"/>
    <x v="26"/>
    <x v="0"/>
    <x v="26"/>
    <n v="24553"/>
    <m/>
    <s v="Refroidisseur "/>
    <s v="Flow switch endommagé "/>
    <s v="Changement"/>
    <s v="Attent changement de Flow Switch "/>
    <d v="2021-06-05T00:00:00"/>
    <m/>
    <n v="30"/>
    <x v="4"/>
    <x v="2"/>
    <m/>
  </r>
  <r>
    <d v="2021-06-06T00:00:00"/>
    <x v="1"/>
    <x v="0"/>
    <x v="1"/>
    <n v="24505"/>
    <m/>
    <m/>
    <s v="Cassette endommagé"/>
    <s v="Rennovation "/>
    <s v="Réparation complete de la cassette "/>
    <d v="2021-06-06T00:00:00"/>
    <m/>
    <m/>
    <x v="4"/>
    <x v="2"/>
    <m/>
  </r>
  <r>
    <d v="2021-06-06T00:00:00"/>
    <x v="4"/>
    <x v="0"/>
    <x v="4"/>
    <n v="25555"/>
    <m/>
    <s v="Refroidisseur "/>
    <s v="Fusible 6A endommagé "/>
    <s v="Changement"/>
    <s v="Changement du fusible "/>
    <d v="2021-06-06T00:00:00"/>
    <m/>
    <n v="60"/>
    <x v="4"/>
    <x v="2"/>
    <m/>
  </r>
  <r>
    <d v="2021-06-07T00:00:00"/>
    <x v="27"/>
    <x v="2"/>
    <x v="27"/>
    <n v="25509"/>
    <m/>
    <s v="Vibreur"/>
    <s v="Interrupteur endommagé "/>
    <s v="Changement"/>
    <s v="Changement d'interrupteur "/>
    <d v="2021-06-07T00:00:00"/>
    <m/>
    <n v="30"/>
    <x v="4"/>
    <x v="2"/>
    <m/>
  </r>
  <r>
    <d v="2021-06-07T00:00:00"/>
    <x v="16"/>
    <x v="0"/>
    <x v="16"/>
    <n v="24555"/>
    <m/>
    <s v="Cisaille"/>
    <s v="Couteau usé "/>
    <s v="Changement"/>
    <s v="Changement du couteau  "/>
    <d v="2021-06-07T00:00:00"/>
    <m/>
    <n v="90"/>
    <x v="4"/>
    <x v="2"/>
    <m/>
  </r>
  <r>
    <d v="2021-06-07T00:00:00"/>
    <x v="16"/>
    <x v="0"/>
    <x v="16"/>
    <n v="24556"/>
    <m/>
    <s v="Cisaille"/>
    <s v="Detecteur de proximité endommagé "/>
    <s v="Changement"/>
    <s v="Changement de detecteur "/>
    <d v="2021-06-07T00:00:00"/>
    <m/>
    <n v="30"/>
    <x v="4"/>
    <x v="2"/>
    <m/>
  </r>
  <r>
    <d v="2021-06-08T00:00:00"/>
    <x v="10"/>
    <x v="0"/>
    <x v="10"/>
    <n v="24506"/>
    <m/>
    <s v="Tecalon"/>
    <s v="Fuite d'air "/>
    <s v="Reparation"/>
    <s v="Reparation du tecalon diametre 10 "/>
    <d v="2021-06-08T00:00:00"/>
    <m/>
    <n v="45"/>
    <x v="4"/>
    <x v="2"/>
    <m/>
  </r>
  <r>
    <d v="2021-06-08T00:00:00"/>
    <x v="1"/>
    <x v="0"/>
    <x v="1"/>
    <n v="24507"/>
    <m/>
    <s v="Cassette 3,2"/>
    <s v="Fuite au niveau du circuit d'eau "/>
    <s v="Changement"/>
    <s v="Changement du raccord "/>
    <d v="2021-06-08T00:00:00"/>
    <m/>
    <n v="30"/>
    <x v="4"/>
    <x v="2"/>
    <m/>
  </r>
  <r>
    <d v="2021-06-08T00:00:00"/>
    <x v="2"/>
    <x v="1"/>
    <x v="2"/>
    <n v="25510"/>
    <m/>
    <s v="Pince"/>
    <s v="Fin de course endommagé "/>
    <s v="Changement"/>
    <s v="Changement du findee course / changement du fixation "/>
    <d v="2021-06-08T00:00:00"/>
    <m/>
    <n v="45"/>
    <x v="4"/>
    <x v="2"/>
    <m/>
  </r>
  <r>
    <d v="2021-06-08T00:00:00"/>
    <x v="2"/>
    <x v="1"/>
    <x v="2"/>
    <n v="25511"/>
    <m/>
    <s v="vis colorant "/>
    <s v="Vis endommagé "/>
    <s v="Changement"/>
    <s v="Changement de vis "/>
    <d v="2021-06-08T00:00:00"/>
    <m/>
    <n v="90"/>
    <x v="4"/>
    <x v="2"/>
    <m/>
  </r>
  <r>
    <d v="2021-06-09T00:00:00"/>
    <x v="0"/>
    <x v="0"/>
    <x v="0"/>
    <n v="25556"/>
    <m/>
    <s v="Pousse fil "/>
    <s v="Hexagon usé "/>
    <s v="Changement"/>
    <s v="Changement de hexagon "/>
    <d v="2021-06-09T00:00:00"/>
    <m/>
    <n v="180"/>
    <x v="4"/>
    <x v="2"/>
    <m/>
  </r>
  <r>
    <d v="2021-06-10T00:00:00"/>
    <x v="11"/>
    <x v="0"/>
    <x v="11"/>
    <n v="24508"/>
    <m/>
    <s v="Guide savonnier "/>
    <s v="Tige filtée usée"/>
    <s v="Changement"/>
    <s v="Changement de la tige "/>
    <d v="2021-06-10T00:00:00"/>
    <m/>
    <n v="60"/>
    <x v="4"/>
    <x v="2"/>
    <m/>
  </r>
  <r>
    <d v="2021-06-10T00:00:00"/>
    <x v="10"/>
    <x v="0"/>
    <x v="10"/>
    <n v="24509"/>
    <m/>
    <s v="Cercleuse"/>
    <s v="Probleme au niveau du couteau de la cercleuse"/>
    <s v="Changement"/>
    <s v="Changement du couteau  "/>
    <d v="2021-06-10T00:00:00"/>
    <m/>
    <n v="45"/>
    <x v="4"/>
    <x v="2"/>
    <m/>
  </r>
  <r>
    <d v="2021-06-10T00:00:00"/>
    <x v="3"/>
    <x v="1"/>
    <x v="3"/>
    <n v="25512"/>
    <m/>
    <s v="Cercleuse"/>
    <s v="Detecteur de position endommagé  "/>
    <s v="Changement"/>
    <s v="Changement de detecteur "/>
    <d v="2021-06-10T00:00:00"/>
    <m/>
    <n v="60"/>
    <x v="4"/>
    <x v="2"/>
    <m/>
  </r>
  <r>
    <d v="2021-06-10T00:00:00"/>
    <x v="3"/>
    <x v="1"/>
    <x v="3"/>
    <n v="25513"/>
    <m/>
    <s v="Systéme d'agitation"/>
    <s v="Pignon d'accouplement endommagé et chaine B12 usé "/>
    <s v="Changement"/>
    <s v="Changement du pignon et changement de chaine "/>
    <d v="2021-06-10T00:00:00"/>
    <m/>
    <n v="90"/>
    <x v="4"/>
    <x v="2"/>
    <m/>
  </r>
  <r>
    <d v="2021-06-10T00:00:00"/>
    <x v="4"/>
    <x v="0"/>
    <x v="4"/>
    <n v="25557"/>
    <m/>
    <s v="Systéme d'avancement "/>
    <s v="Circlips de vérin endommagé "/>
    <s v="Changement"/>
    <s v="Changement de circlips "/>
    <d v="2021-06-10T00:00:00"/>
    <m/>
    <n v="30"/>
    <x v="4"/>
    <x v="2"/>
    <m/>
  </r>
  <r>
    <d v="2021-06-10T00:00:00"/>
    <x v="20"/>
    <x v="0"/>
    <x v="20"/>
    <m/>
    <m/>
    <s v="Pupitre de commande"/>
    <s v="Panel tactile endommagé"/>
    <s v="Réparation"/>
    <s v="Réparation du panel chez AMS electronique"/>
    <d v="2021-06-10T00:00:00"/>
    <m/>
    <n v="4800"/>
    <x v="4"/>
    <x v="2"/>
    <m/>
  </r>
  <r>
    <d v="2021-06-11T00:00:00"/>
    <x v="27"/>
    <x v="2"/>
    <x v="27"/>
    <n v="25514"/>
    <m/>
    <s v="Alimentation en eau"/>
    <s v="Ballon d'eau endommagé"/>
    <s v="Changement"/>
    <s v="Changement du ballon d'eau 100L"/>
    <d v="2021-06-11T00:00:00"/>
    <m/>
    <m/>
    <x v="4"/>
    <x v="2"/>
    <m/>
  </r>
  <r>
    <d v="2021-06-12T00:00:00"/>
    <x v="2"/>
    <x v="1"/>
    <x v="2"/>
    <n v="25515"/>
    <m/>
    <s v="Malaxeur"/>
    <s v="Pompe à eau endommagée"/>
    <s v="Réparation "/>
    <s v="Changement de la pompe en attente d'achat d'une nouvelle"/>
    <d v="2021-06-12T00:00:00"/>
    <m/>
    <n v="240"/>
    <x v="4"/>
    <x v="2"/>
    <m/>
  </r>
  <r>
    <d v="2021-06-12T00:00:00"/>
    <x v="1"/>
    <x v="0"/>
    <x v="1"/>
    <n v="15082"/>
    <m/>
    <s v="Savonniere"/>
    <s v="Palier endommagés"/>
    <s v="Réparation"/>
    <s v="Changement d'un palier usé"/>
    <d v="2021-06-12T00:00:00"/>
    <m/>
    <n v="90"/>
    <x v="4"/>
    <x v="2"/>
    <m/>
  </r>
  <r>
    <d v="2021-06-15T00:00:00"/>
    <x v="1"/>
    <x v="0"/>
    <x v="1"/>
    <m/>
    <m/>
    <s v="Cabestans"/>
    <s v="Entretien du circuit de refroidissement"/>
    <s v="Réparation"/>
    <s v="Entretien général"/>
    <d v="2021-06-15T00:00:00"/>
    <m/>
    <n v="2400"/>
    <x v="4"/>
    <x v="2"/>
    <m/>
  </r>
  <r>
    <d v="2021-06-15T00:00:00"/>
    <x v="4"/>
    <x v="0"/>
    <x v="4"/>
    <m/>
    <m/>
    <s v="Bloc de soudage"/>
    <s v="PB transfos"/>
    <s v="Réparation"/>
    <s v="dépannage"/>
    <d v="2021-06-15T00:00:00"/>
    <m/>
    <n v="960"/>
    <x v="4"/>
    <x v="2"/>
    <m/>
  </r>
  <r>
    <d v="2021-06-16T00:00:00"/>
    <x v="3"/>
    <x v="1"/>
    <x v="3"/>
    <n v="25517"/>
    <m/>
    <s v="Table vibrante"/>
    <s v="Rupture de la courroie 2800"/>
    <s v="Réparation"/>
    <s v="Changement de la courroie et calage de la table"/>
    <d v="2021-06-16T00:00:00"/>
    <m/>
    <n v="120"/>
    <x v="4"/>
    <x v="2"/>
    <m/>
  </r>
  <r>
    <d v="2021-06-16T00:00:00"/>
    <x v="3"/>
    <x v="1"/>
    <x v="3"/>
    <n v="25518"/>
    <m/>
    <s v="Table vibrante"/>
    <s v="Roulements de tendeurs usé"/>
    <s v="Réparation"/>
    <s v="Changement des roulements endommagés"/>
    <d v="2021-06-16T00:00:00"/>
    <m/>
    <n v="180"/>
    <x v="4"/>
    <x v="2"/>
    <m/>
  </r>
  <r>
    <d v="2021-06-16T00:00:00"/>
    <x v="11"/>
    <x v="0"/>
    <x v="11"/>
    <n v="24514"/>
    <m/>
    <s v="Bobinoir"/>
    <s v="Roulement endommagé"/>
    <s v="Réparation"/>
    <s v="Changement du roulement et vidange de la boite à vitesse"/>
    <d v="2021-06-19T00:00:00"/>
    <m/>
    <n v="1920"/>
    <x v="4"/>
    <x v="2"/>
    <m/>
  </r>
  <r>
    <d v="2021-06-17T00:00:00"/>
    <x v="3"/>
    <x v="1"/>
    <x v="3"/>
    <n v="25519"/>
    <m/>
    <s v="Transbordeur"/>
    <s v="Fuite interne au niveau du vérin du transbordeur"/>
    <s v="Réparation"/>
    <s v="Chnagement du nécessaire de vérin"/>
    <d v="2021-06-17T00:00:00"/>
    <m/>
    <n v="360"/>
    <x v="4"/>
    <x v="2"/>
    <m/>
  </r>
  <r>
    <d v="2021-06-18T00:00:00"/>
    <x v="2"/>
    <x v="1"/>
    <x v="2"/>
    <n v="25520"/>
    <m/>
    <s v="Table vibrante"/>
    <s v="Rupture de courroie 1600"/>
    <s v="Réparation"/>
    <s v="Changement de la courroie et réglage des positions de poulies"/>
    <d v="2021-06-18T00:00:00"/>
    <s v="Entretien général à prévoir / Intervention technicien Poyatos"/>
    <n v="240"/>
    <x v="4"/>
    <x v="2"/>
    <m/>
  </r>
  <r>
    <d v="2021-06-18T00:00:00"/>
    <x v="2"/>
    <x v="1"/>
    <x v="2"/>
    <n v="25521"/>
    <m/>
    <s v="Paletiseur"/>
    <s v="Rouleau endommagé"/>
    <s v="Réparation"/>
    <s v="Changement du rouleau endommagé"/>
    <d v="2021-06-18T00:00:00"/>
    <m/>
    <n v="45"/>
    <x v="4"/>
    <x v="2"/>
    <m/>
  </r>
  <r>
    <d v="2021-06-21T00:00:00"/>
    <x v="2"/>
    <x v="1"/>
    <x v="2"/>
    <n v="25522"/>
    <m/>
    <s v="Table vibrante"/>
    <s v="Entretien annuel"/>
    <s v="Réparation"/>
    <s v="Révision générale du mécanisme de vibtation de la presse"/>
    <d v="2021-06-23T00:00:00"/>
    <m/>
    <n v="1620"/>
    <x v="4"/>
    <x v="2"/>
    <m/>
  </r>
  <r>
    <d v="2021-06-23T00:00:00"/>
    <x v="2"/>
    <x v="1"/>
    <x v="2"/>
    <n v="25527"/>
    <m/>
    <s v="Table vibrante"/>
    <s v="Fuite d'huile au niveau de la table vibrante"/>
    <s v="Réparation"/>
    <s v="Changement de l'arrêt d'huile des poulies"/>
    <d v="2021-06-23T00:00:00"/>
    <m/>
    <n v="180"/>
    <x v="4"/>
    <x v="2"/>
    <m/>
  </r>
  <r>
    <d v="2021-06-23T00:00:00"/>
    <x v="20"/>
    <x v="0"/>
    <x v="20"/>
    <n v="14955"/>
    <m/>
    <s v="Air comprimé"/>
    <s v="Rupture d'un tuyau d'air comprimé"/>
    <s v="Réparation"/>
    <s v="Elimination de la fuite et mise en marche"/>
    <d v="2021-06-23T00:00:00"/>
    <m/>
    <m/>
    <x v="4"/>
    <x v="2"/>
    <m/>
  </r>
  <r>
    <d v="2021-06-25T00:00:00"/>
    <x v="3"/>
    <x v="1"/>
    <x v="3"/>
    <n v="25530"/>
    <m/>
    <s v="Brosse"/>
    <s v="Rupture de 2 courroies A50"/>
    <s v="Réparation"/>
    <s v="Changement des courroies A50"/>
    <d v="2021-06-25T00:00:00"/>
    <m/>
    <n v="30"/>
    <x v="4"/>
    <x v="2"/>
    <m/>
  </r>
  <r>
    <d v="2021-06-28T00:00:00"/>
    <x v="3"/>
    <x v="1"/>
    <x v="3"/>
    <n v="25534"/>
    <m/>
    <s v="Système d'agitation"/>
    <s v="Rupture de la chaine B12"/>
    <s v="Réparation"/>
    <s v="Changement de la chaine B12"/>
    <d v="2021-06-28T00:00:00"/>
    <m/>
    <n v="45"/>
    <x v="4"/>
    <x v="2"/>
    <m/>
  </r>
  <r>
    <d v="2021-07-01T00:00:00"/>
    <x v="3"/>
    <x v="1"/>
    <x v="3"/>
    <m/>
    <m/>
    <s v="Malaxeur"/>
    <s v="Echeance vidange"/>
    <s v="Vidange"/>
    <s v="Vidange du groupe hydraulique"/>
    <d v="2021-07-01T00:00:00"/>
    <m/>
    <n v="45"/>
    <x v="6"/>
    <x v="2"/>
    <m/>
  </r>
  <r>
    <d v="2021-07-05T00:00:00"/>
    <x v="2"/>
    <x v="1"/>
    <x v="2"/>
    <n v="15905"/>
    <m/>
    <s v="Transbordeur"/>
    <s v="Réducteurs endommagés"/>
    <s v="Rép"/>
    <s v="Mise en place d'un  Réducteur en attendant confection de pignons neufs"/>
    <d v="2021-07-05T00:00:00"/>
    <s v="Confection à suivre"/>
    <n v="90"/>
    <x v="6"/>
    <x v="2"/>
    <m/>
  </r>
  <r>
    <d v="2021-07-19T00:00:00"/>
    <x v="3"/>
    <x v="1"/>
    <x v="3"/>
    <n v="15765"/>
    <m/>
    <s v="Machine"/>
    <s v="Entretien général"/>
    <s v="Entretien"/>
    <s v=" - Révision du  système mooule/pilon ( changement des coussinet et confection de tous les élements usés_x000a_- Révision du transbordeur ( changement des roues et arbres de roues)_x000a_- Changement du revetement du malaxeur et portes du malaxeur"/>
    <d v="2021-07-31T00:00:00"/>
    <m/>
    <n v="4320"/>
    <x v="6"/>
    <x v="2"/>
    <m/>
  </r>
  <r>
    <d v="2021-08-04T00:00:00"/>
    <x v="17"/>
    <x v="0"/>
    <x v="17"/>
    <n v="15509"/>
    <m/>
    <s v="Redresseur"/>
    <s v="Courroies de transmission endommagées"/>
    <s v="Réparation "/>
    <s v="Changement des courroies"/>
    <d v="2021-08-05T00:00:00"/>
    <m/>
    <n v="480"/>
    <x v="8"/>
    <x v="2"/>
    <m/>
  </r>
  <r>
    <d v="2021-08-04T00:00:00"/>
    <x v="2"/>
    <x v="1"/>
    <x v="2"/>
    <m/>
    <m/>
    <s v="Table vibrante"/>
    <s v="Echeance vidange"/>
    <s v="Vidange"/>
    <s v="Vidange de la table vibrante"/>
    <d v="2021-08-04T00:00:00"/>
    <m/>
    <n v="45"/>
    <x v="8"/>
    <x v="2"/>
    <m/>
  </r>
  <r>
    <d v="2021-08-05T00:00:00"/>
    <x v="4"/>
    <x v="0"/>
    <x v="4"/>
    <n v="15511"/>
    <m/>
    <s v="Table elevatrice"/>
    <s v="Ecrous en bronze endommagés"/>
    <s v="Réparation"/>
    <s v="Changement des ecrous en bronze"/>
    <d v="2021-08-05T00:00:00"/>
    <m/>
    <n v="960"/>
    <x v="8"/>
    <x v="2"/>
    <m/>
  </r>
  <r>
    <d v="2021-08-06T00:00:00"/>
    <x v="4"/>
    <x v="0"/>
    <x v="4"/>
    <n v="15513"/>
    <m/>
    <s v="Bloc de soudage"/>
    <s v="Transformateur n3 grillé"/>
    <s v="Réparation"/>
    <s v="Equilibrage des trois transfo restant"/>
    <d v="2021-08-06T00:00:00"/>
    <m/>
    <n v="960"/>
    <x v="8"/>
    <x v="2"/>
    <m/>
  </r>
  <r>
    <d v="2021-08-07T00:00:00"/>
    <x v="14"/>
    <x v="4"/>
    <x v="14"/>
    <n v="15514"/>
    <m/>
    <s v="Mecanisme de déplacement"/>
    <s v="Galet endommagé"/>
    <s v="Répaciotn "/>
    <s v="Confection et changement des galets endommagés"/>
    <d v="2021-08-07T00:00:00"/>
    <m/>
    <n v="1920"/>
    <x v="8"/>
    <x v="2"/>
    <m/>
  </r>
  <r>
    <d v="2021-08-11T00:00:00"/>
    <x v="7"/>
    <x v="0"/>
    <x v="7"/>
    <n v="25314"/>
    <m/>
    <s v="Guide fil"/>
    <s v="Servomoteur HS"/>
    <s v="Réparation"/>
    <s v="Réparation servomoteur"/>
    <d v="2021-08-31T00:00:00"/>
    <m/>
    <n v="8640"/>
    <x v="8"/>
    <x v="2"/>
    <m/>
  </r>
  <r>
    <d v="2021-08-19T00:00:00"/>
    <x v="3"/>
    <x v="1"/>
    <x v="3"/>
    <n v="15913"/>
    <m/>
    <s v="Compresseur GA22"/>
    <s v="Moteur grillé"/>
    <s v="Réparation "/>
    <s v="Entretien du moteur ( dépannage avec compresseur ATMAINT"/>
    <d v="2021-08-19T00:00:00"/>
    <m/>
    <n v="120"/>
    <x v="8"/>
    <x v="2"/>
    <m/>
  </r>
  <r>
    <d v="2021-08-19T00:00:00"/>
    <x v="27"/>
    <x v="2"/>
    <x v="27"/>
    <n v="14402"/>
    <m/>
    <s v="Treuil principal"/>
    <s v="Cable d6 endommagé"/>
    <s v="Réparation"/>
    <s v="Changement du cable"/>
    <d v="2021-08-19T00:00:00"/>
    <m/>
    <n v="240"/>
    <x v="8"/>
    <x v="2"/>
    <m/>
  </r>
  <r>
    <d v="2021-08-23T00:00:00"/>
    <x v="3"/>
    <x v="1"/>
    <x v="3"/>
    <n v="25701"/>
    <m/>
    <s v="Pince"/>
    <s v="Déterioration des vis de frein"/>
    <s v="Réparation"/>
    <s v="Changement des vis + réglage"/>
    <d v="2021-08-23T00:00:00"/>
    <m/>
    <n v="60"/>
    <x v="8"/>
    <x v="2"/>
    <m/>
  </r>
  <r>
    <d v="2021-08-23T00:00:00"/>
    <x v="40"/>
    <x v="8"/>
    <x v="39"/>
    <n v="25702"/>
    <m/>
    <s v="Groupe compresseur"/>
    <s v="Révision générale"/>
    <s v="Réparation"/>
    <s v=" - Rebobinage moteur 22kw_x000a_ - Changement d'un flexible endommagé_x000a_ - Changement des courroies endommagées"/>
    <d v="2021-08-23T00:00:00"/>
    <m/>
    <m/>
    <x v="8"/>
    <x v="2"/>
    <m/>
  </r>
  <r>
    <d v="2021-08-23T00:00:00"/>
    <x v="18"/>
    <x v="4"/>
    <x v="18"/>
    <n v="25703"/>
    <m/>
    <s v="Moufle"/>
    <s v="Déterioration de la poulie"/>
    <s v="Réparation"/>
    <s v="Confection d'une poulie / soudage du support"/>
    <d v="2021-08-23T00:00:00"/>
    <m/>
    <n v="90"/>
    <x v="8"/>
    <x v="2"/>
    <m/>
  </r>
  <r>
    <d v="2021-08-24T00:00:00"/>
    <x v="2"/>
    <x v="1"/>
    <x v="2"/>
    <n v="25705"/>
    <m/>
    <s v="Transbordeur"/>
    <s v="Réducteurs endommagés"/>
    <s v="Réparation"/>
    <s v="Remplacement par Un réducteur en attendant reception des pignons en confection"/>
    <d v="2021-08-24T00:00:00"/>
    <m/>
    <n v="180"/>
    <x v="8"/>
    <x v="2"/>
    <m/>
  </r>
  <r>
    <d v="2021-08-24T00:00:00"/>
    <x v="7"/>
    <x v="0"/>
    <x v="7"/>
    <n v="25706"/>
    <m/>
    <s v="Cisaille"/>
    <s v="Fuite d'huile au niveau du vérin de cisaille"/>
    <s v="Réparation"/>
    <s v="Changement des coupelles du vérin"/>
    <d v="2021-08-24T00:00:00"/>
    <m/>
    <n v="45"/>
    <x v="8"/>
    <x v="2"/>
    <m/>
  </r>
  <r>
    <d v="2021-08-24T00:00:00"/>
    <x v="4"/>
    <x v="0"/>
    <x v="4"/>
    <n v="25707"/>
    <m/>
    <s v="Transporteur"/>
    <s v="Fuite d'air au niveau du vérin du  crochet du transporteur"/>
    <s v="Réparation"/>
    <s v="Changement du vérin "/>
    <d v="2021-08-24T00:00:00"/>
    <s v="DA réalisé pour vérin stock"/>
    <n v="90"/>
    <x v="8"/>
    <x v="2"/>
    <m/>
  </r>
  <r>
    <d v="2021-08-25T00:00:00"/>
    <x v="0"/>
    <x v="0"/>
    <x v="0"/>
    <n v="25709"/>
    <m/>
    <s v="Table elevatrice"/>
    <s v="Défaillance de détecteur de proximité"/>
    <s v="Réparation"/>
    <s v="Changement du capteur de proximité"/>
    <d v="2021-08-27T00:00:00"/>
    <m/>
    <n v="50"/>
    <x v="8"/>
    <x v="2"/>
    <m/>
  </r>
  <r>
    <d v="2021-08-30T00:00:00"/>
    <x v="0"/>
    <x v="0"/>
    <x v="0"/>
    <n v="25714"/>
    <m/>
    <s v="Lance trame"/>
    <s v="Défaillance de détecteur de proximité"/>
    <s v="Réparation"/>
    <s v="Défaillance d'un capteur de proximité"/>
    <d v="2021-08-30T00:00:00"/>
    <m/>
    <n v="60"/>
    <x v="8"/>
    <x v="2"/>
    <m/>
  </r>
  <r>
    <d v="2021-08-30T00:00:00"/>
    <x v="18"/>
    <x v="4"/>
    <x v="18"/>
    <n v="25715"/>
    <m/>
    <s v="Moteur translation"/>
    <s v="Moteur endommagé"/>
    <s v="Réparation"/>
    <s v="Rebobinage moteur chez Voselec"/>
    <d v="2021-09-30T00:00:00"/>
    <m/>
    <m/>
    <x v="7"/>
    <x v="2"/>
    <m/>
  </r>
  <r>
    <d v="2021-09-01T00:00:00"/>
    <x v="3"/>
    <x v="1"/>
    <x v="3"/>
    <m/>
    <m/>
    <s v="Presse"/>
    <s v="Echeance vidange"/>
    <s v="Vidange"/>
    <s v=" - Vidange du groupe hydraulique_x000a_- Changement des filtres aspiration / retour /pression"/>
    <d v="2021-09-01T00:00:00"/>
    <m/>
    <n v="120"/>
    <x v="7"/>
    <x v="2"/>
    <m/>
  </r>
  <r>
    <d v="2021-09-01T00:00:00"/>
    <x v="3"/>
    <x v="1"/>
    <x v="3"/>
    <m/>
    <m/>
    <s v="Malaxeur"/>
    <s v="Echeance vidange"/>
    <s v="Vidange"/>
    <s v="Vidange du réducteur"/>
    <d v="2021-09-01T00:00:00"/>
    <m/>
    <n v="45"/>
    <x v="7"/>
    <x v="2"/>
    <m/>
  </r>
  <r>
    <d v="2021-09-03T00:00:00"/>
    <x v="3"/>
    <x v="1"/>
    <x v="3"/>
    <m/>
    <m/>
    <s v="Tabke vibrante"/>
    <s v="Echeance vidange"/>
    <s v="Vidange"/>
    <s v="Vidange de la table vibrante"/>
    <d v="2021-09-03T00:00:00"/>
    <m/>
    <n v="45"/>
    <x v="7"/>
    <x v="2"/>
    <m/>
  </r>
  <r>
    <d v="2021-09-06T00:00:00"/>
    <x v="2"/>
    <x v="1"/>
    <x v="2"/>
    <m/>
    <m/>
    <s v="Malaxeur"/>
    <s v="Echeance vidange"/>
    <s v="Vidange"/>
    <s v="Vidange du réducteur du malaxeur"/>
    <d v="2021-09-06T00:00:00"/>
    <m/>
    <n v="60"/>
    <x v="7"/>
    <x v="2"/>
    <m/>
  </r>
  <r>
    <d v="2021-09-07T00:00:00"/>
    <x v="20"/>
    <x v="0"/>
    <x v="20"/>
    <n v="25451"/>
    <m/>
    <s v="Cassette Pr9"/>
    <s v="Flexible endommagée "/>
    <s v="Réparation"/>
    <s v="Changement flexible"/>
    <d v="2021-09-07T00:00:00"/>
    <m/>
    <n v="130"/>
    <x v="7"/>
    <x v="2"/>
    <m/>
  </r>
  <r>
    <d v="2021-09-08T00:00:00"/>
    <x v="4"/>
    <x v="0"/>
    <x v="4"/>
    <n v="25493"/>
    <m/>
    <s v="Bloc de soudage"/>
    <s v="Absence transformateur"/>
    <s v="Réparation"/>
    <s v="Montage d'un transformateur réparé"/>
    <d v="2021-09-08T00:00:00"/>
    <m/>
    <n v="300"/>
    <x v="7"/>
    <x v="2"/>
    <m/>
  </r>
  <r>
    <d v="2021-09-09T00:00:00"/>
    <x v="2"/>
    <x v="1"/>
    <x v="2"/>
    <n v="25453"/>
    <m/>
    <s v="Malaxeur"/>
    <s v="Racleur endommagé"/>
    <s v="Réparation"/>
    <s v="Changement du racleur et ajustement avec paroies malaxeur"/>
    <d v="2021-09-09T00:00:00"/>
    <m/>
    <n v="150"/>
    <x v="7"/>
    <x v="2"/>
    <m/>
  </r>
  <r>
    <d v="2021-09-09T00:00:00"/>
    <x v="2"/>
    <x v="1"/>
    <x v="2"/>
    <n v="25456"/>
    <m/>
    <s v="Tiroir d'agitation"/>
    <s v="Mauvais contact au niveau de la boite à borne "/>
    <s v="Réparation"/>
    <s v="Elimination du mauvais contact"/>
    <d v="2021-09-09T00:00:00"/>
    <m/>
    <n v="30"/>
    <x v="7"/>
    <x v="2"/>
    <m/>
  </r>
  <r>
    <d v="2021-09-10T00:00:00"/>
    <x v="16"/>
    <x v="0"/>
    <x v="16"/>
    <n v="25455"/>
    <m/>
    <s v="Cisaille"/>
    <s v="Vis endommagés"/>
    <s v="Réparation"/>
    <s v="Extraction des vis et changements de ceux-ci "/>
    <d v="2021-09-10T00:00:00"/>
    <m/>
    <n v="90"/>
    <x v="7"/>
    <x v="2"/>
    <m/>
  </r>
  <r>
    <d v="2021-09-10T00:00:00"/>
    <x v="3"/>
    <x v="1"/>
    <x v="3"/>
    <n v="25473"/>
    <m/>
    <s v="Grille d'agitation"/>
    <s v="Réducteur enommagé"/>
    <s v="Réparation "/>
    <s v="Changement d'une clavette et mise en marche"/>
    <d v="2021-09-10T00:00:00"/>
    <m/>
    <n v="150"/>
    <x v="7"/>
    <x v="2"/>
    <m/>
  </r>
  <r>
    <d v="2021-09-10T00:00:00"/>
    <x v="1"/>
    <x v="0"/>
    <x v="1"/>
    <n v="25480"/>
    <m/>
    <s v="Cassette d3,90"/>
    <s v="Fuite d'eau"/>
    <s v="Réparation"/>
    <s v="Chnagment d'un flexible endommagé"/>
    <d v="2021-09-10T00:00:00"/>
    <m/>
    <n v="75"/>
    <x v="7"/>
    <x v="2"/>
    <m/>
  </r>
  <r>
    <d v="2021-09-11T00:00:00"/>
    <x v="17"/>
    <x v="0"/>
    <x v="17"/>
    <n v="25458"/>
    <m/>
    <s v="Guide fil"/>
    <s v="clavette endommagé"/>
    <s v="Réparation"/>
    <s v="Changement de la clavette"/>
    <d v="2021-09-11T00:00:00"/>
    <m/>
    <n v="60"/>
    <x v="7"/>
    <x v="2"/>
    <m/>
  </r>
  <r>
    <d v="2021-09-13T00:00:00"/>
    <x v="2"/>
    <x v="1"/>
    <x v="2"/>
    <n v="25461"/>
    <m/>
    <s v="Convoyeur"/>
    <s v="Déterioration d'un rouleau convoyeur"/>
    <s v="Réparation"/>
    <s v="Soudage du rouleau convoyeur et changement de deux pieds de malaxeur"/>
    <d v="2021-09-13T00:00:00"/>
    <m/>
    <n v="90"/>
    <x v="7"/>
    <x v="2"/>
    <m/>
  </r>
  <r>
    <d v="2021-09-13T00:00:00"/>
    <x v="20"/>
    <x v="0"/>
    <x v="20"/>
    <n v="25465"/>
    <m/>
    <s v="guie fil"/>
    <s v="Deterioration des poulies guide fils"/>
    <s v="Réparation"/>
    <s v="Rechargement des poulies"/>
    <d v="2021-09-13T00:00:00"/>
    <m/>
    <n v="90"/>
    <x v="7"/>
    <x v="2"/>
    <m/>
  </r>
  <r>
    <d v="2021-09-13T00:00:00"/>
    <x v="7"/>
    <x v="0"/>
    <x v="7"/>
    <n v="25345"/>
    <m/>
    <s v="Guide fil"/>
    <s v="Servomoteur HS"/>
    <s v="Réparation"/>
    <s v="Réparation servomoteur"/>
    <d v="2021-09-13T00:00:00"/>
    <m/>
    <n v="6240"/>
    <x v="7"/>
    <x v="2"/>
    <m/>
  </r>
  <r>
    <d v="2021-09-14T00:00:00"/>
    <x v="20"/>
    <x v="0"/>
    <x v="20"/>
    <n v="25475"/>
    <m/>
    <s v="Groupe hydraulique"/>
    <s v="Pompe HS"/>
    <s v="Réparation"/>
    <s v="Réparation de la pompe"/>
    <d v="2021-09-28T00:00:00"/>
    <m/>
    <n v="6720"/>
    <x v="7"/>
    <x v="2"/>
    <m/>
  </r>
  <r>
    <d v="2021-09-14T00:00:00"/>
    <x v="2"/>
    <x v="1"/>
    <x v="2"/>
    <n v="25464"/>
    <m/>
    <s v="Pince"/>
    <s v="Cable endommagé"/>
    <s v="Réparation"/>
    <s v="Raccordement de la partie endommagée et mise en marche"/>
    <d v="2021-09-14T00:00:00"/>
    <m/>
    <n v="60"/>
    <x v="7"/>
    <x v="2"/>
    <m/>
  </r>
  <r>
    <d v="2021-09-14T00:00:00"/>
    <x v="2"/>
    <x v="1"/>
    <x v="2"/>
    <n v="25470"/>
    <m/>
    <s v="Malaxeur "/>
    <s v="Porte malaxeur endommagé"/>
    <s v="Réparation"/>
    <s v="Soudage de la porte"/>
    <d v="2021-09-14T00:00:00"/>
    <m/>
    <n v="75"/>
    <x v="7"/>
    <x v="2"/>
    <m/>
  </r>
  <r>
    <d v="2021-09-14T00:00:00"/>
    <x v="16"/>
    <x v="0"/>
    <x v="16"/>
    <n v="25477"/>
    <m/>
    <s v="Porte électrode "/>
    <s v="Fuite d'eau"/>
    <s v="Réparation"/>
    <s v="Changement de deux flexibles endommagés"/>
    <d v="2021-09-14T00:00:00"/>
    <m/>
    <n v="60"/>
    <x v="7"/>
    <x v="2"/>
    <m/>
  </r>
  <r>
    <d v="2021-09-14T00:00:00"/>
    <x v="3"/>
    <x v="1"/>
    <x v="3"/>
    <n v="25483"/>
    <m/>
    <s v="Moule"/>
    <s v="Axe vérin endommagé"/>
    <s v="Réparation"/>
    <s v="Soudage de la partie endommagée"/>
    <d v="2021-09-14T00:00:00"/>
    <m/>
    <n v="60"/>
    <x v="7"/>
    <x v="2"/>
    <m/>
  </r>
  <r>
    <d v="2021-09-15T00:00:00"/>
    <x v="2"/>
    <x v="1"/>
    <x v="2"/>
    <n v="25474"/>
    <m/>
    <s v="Pince"/>
    <s v="Cable de commande endommagé"/>
    <s v="Réparation"/>
    <s v="Raccordement du cble et mise en marche"/>
    <d v="2021-09-15T00:00:00"/>
    <m/>
    <n v="120"/>
    <x v="7"/>
    <x v="2"/>
    <m/>
  </r>
  <r>
    <d v="2021-09-15T00:00:00"/>
    <x v="3"/>
    <x v="1"/>
    <x v="3"/>
    <n v="25478"/>
    <m/>
    <s v="Transbordeur"/>
    <s v="Clavette endommagée"/>
    <s v="Réparation"/>
    <s v="Changement de la clavette du réducteur"/>
    <d v="2021-09-15T00:00:00"/>
    <m/>
    <n v="90"/>
    <x v="7"/>
    <x v="2"/>
    <m/>
  </r>
  <r>
    <d v="2021-09-15T00:00:00"/>
    <x v="3"/>
    <x v="1"/>
    <x v="3"/>
    <n v="25496"/>
    <m/>
    <s v="Tiroir d'agitation"/>
    <s v="Changement des vis + serrage"/>
    <s v="Réparation"/>
    <m/>
    <d v="2021-09-15T00:00:00"/>
    <m/>
    <n v="120"/>
    <x v="7"/>
    <x v="2"/>
    <m/>
  </r>
  <r>
    <d v="2021-09-15T00:00:00"/>
    <x v="4"/>
    <x v="0"/>
    <x v="4"/>
    <m/>
    <m/>
    <s v="Bloc de soudage"/>
    <s v="Echeance vidange"/>
    <s v="Vidange"/>
    <s v=" - Vidange du groupe hydraulique_x000a_- Changement des filtres aspiration / retour /pression"/>
    <d v="2021-09-15T00:00:00"/>
    <m/>
    <n v="240"/>
    <x v="7"/>
    <x v="2"/>
    <m/>
  </r>
  <r>
    <d v="2021-09-16T00:00:00"/>
    <x v="24"/>
    <x v="4"/>
    <x v="24"/>
    <n v="25457"/>
    <m/>
    <s v="Boite a commande"/>
    <s v="Cable endommagé"/>
    <s v="Réparation"/>
    <s v="changement du cable de commande"/>
    <d v="2021-09-16T00:00:00"/>
    <m/>
    <n v="240"/>
    <x v="7"/>
    <x v="2"/>
    <m/>
  </r>
  <r>
    <d v="2021-09-16T00:00:00"/>
    <x v="10"/>
    <x v="0"/>
    <x v="10"/>
    <n v="25468"/>
    <m/>
    <s v="Cassette pr8"/>
    <s v="Roulements endommags"/>
    <s v="Réparation"/>
    <s v="Changement de deux roulements"/>
    <d v="2021-08-16T00:00:00"/>
    <m/>
    <n v="60"/>
    <x v="8"/>
    <x v="2"/>
    <m/>
  </r>
  <r>
    <d v="2021-09-16T00:00:00"/>
    <x v="10"/>
    <x v="0"/>
    <x v="10"/>
    <n v="25484"/>
    <m/>
    <s v="Bobinoir"/>
    <s v="Cone de fixation endommagé"/>
    <s v="Réparation"/>
    <s v="Changemen du cone endommagé"/>
    <d v="2021-09-16T00:00:00"/>
    <m/>
    <n v="90"/>
    <x v="7"/>
    <x v="2"/>
    <m/>
  </r>
  <r>
    <d v="2021-09-17T00:00:00"/>
    <x v="2"/>
    <x v="1"/>
    <x v="2"/>
    <n v="25467"/>
    <m/>
    <s v="Grille d'agitation"/>
    <s v="Grille endommagée"/>
    <s v="Réparation"/>
    <s v="Soudage des parties endommagées"/>
    <d v="2021-09-17T00:00:00"/>
    <m/>
    <n v="90"/>
    <x v="7"/>
    <x v="2"/>
    <m/>
  </r>
  <r>
    <d v="2021-09-17T00:00:00"/>
    <x v="16"/>
    <x v="0"/>
    <x v="16"/>
    <n v="25472"/>
    <m/>
    <s v="Pince Zigzag"/>
    <s v="Panne distributeur"/>
    <s v="Réparation"/>
    <s v="changement du distributeur"/>
    <d v="2021-09-17T00:00:00"/>
    <m/>
    <n v="120"/>
    <x v="7"/>
    <x v="2"/>
    <m/>
  </r>
  <r>
    <d v="2021-09-17T00:00:00"/>
    <x v="4"/>
    <x v="0"/>
    <x v="4"/>
    <n v="25495"/>
    <m/>
    <s v="Support electrode"/>
    <s v="Usure de surface"/>
    <s v="Réparation"/>
    <s v="Rectification de surface"/>
    <d v="2021-09-17T00:00:00"/>
    <m/>
    <n v="120"/>
    <x v="7"/>
    <x v="2"/>
    <m/>
  </r>
  <r>
    <d v="2021-09-18T00:00:00"/>
    <x v="12"/>
    <x v="0"/>
    <x v="12"/>
    <n v="25355"/>
    <m/>
    <s v="Devidoir"/>
    <s v="Roulement du devidoir endommagés"/>
    <s v="Réparation"/>
    <s v="Révision générale du devidoir"/>
    <d v="2021-09-21T00:00:00"/>
    <s v="Machine en marche / attente réponse production pour montage du devidoir"/>
    <n v="0"/>
    <x v="7"/>
    <x v="2"/>
    <m/>
  </r>
  <r>
    <d v="2021-09-18T00:00:00"/>
    <x v="10"/>
    <x v="0"/>
    <x v="10"/>
    <n v="25356"/>
    <m/>
    <s v="Cassette d13 lisse"/>
    <s v="Roulements endommagés"/>
    <s v="Réparation"/>
    <s v="Changement des roulement endommagés + zoomage"/>
    <d v="2021-09-18T00:00:00"/>
    <m/>
    <n v="0"/>
    <x v="7"/>
    <x v="2"/>
    <m/>
  </r>
  <r>
    <d v="2021-09-18T00:00:00"/>
    <x v="10"/>
    <x v="0"/>
    <x v="10"/>
    <n v="25356"/>
    <m/>
    <s v="problem cassete  daimmetre 13 L"/>
    <s v="defaillance des ronlements  "/>
    <s v="reparation "/>
    <s v="chengement des roulemments serrage "/>
    <d v="2021-09-18T00:00:00"/>
    <m/>
    <n v="240"/>
    <x v="7"/>
    <x v="2"/>
    <m/>
  </r>
  <r>
    <d v="2021-09-18T00:00:00"/>
    <x v="1"/>
    <x v="0"/>
    <x v="1"/>
    <n v="25361"/>
    <m/>
    <s v="porbleme electrique "/>
    <s v="sur charege "/>
    <s v="reparation "/>
    <s v="rearmement "/>
    <d v="2021-09-18T00:00:00"/>
    <m/>
    <n v="30"/>
    <x v="7"/>
    <x v="2"/>
    <m/>
  </r>
  <r>
    <d v="2021-09-20T00:00:00"/>
    <x v="16"/>
    <x v="0"/>
    <x v="16"/>
    <n v="25487"/>
    <m/>
    <s v="Redresseur"/>
    <s v="Chaine endommagée"/>
    <s v="Réparation"/>
    <s v="Changement de la chaine endommagée"/>
    <d v="2021-09-20T00:00:00"/>
    <m/>
    <n v="90"/>
    <x v="7"/>
    <x v="2"/>
    <m/>
  </r>
  <r>
    <d v="2021-09-20T00:00:00"/>
    <x v="3"/>
    <x v="1"/>
    <x v="3"/>
    <n v="25488"/>
    <m/>
    <s v="Transbordeur"/>
    <s v="Desserage de la vis de réglage du frein"/>
    <s v="Réparation"/>
    <s v="Changement des vis de réglage"/>
    <d v="2021-09-20T00:00:00"/>
    <m/>
    <n v="105"/>
    <x v="7"/>
    <x v="2"/>
    <m/>
  </r>
  <r>
    <d v="2021-09-20T00:00:00"/>
    <x v="2"/>
    <x v="1"/>
    <x v="2"/>
    <n v="25489"/>
    <m/>
    <s v="Table vibrante"/>
    <s v="Courroie 1760 endommagée"/>
    <s v="Réparation"/>
    <s v="Changement de la courroie endommagé"/>
    <d v="2021-09-20T00:00:00"/>
    <m/>
    <n v="240"/>
    <x v="7"/>
    <x v="2"/>
    <m/>
  </r>
  <r>
    <d v="2021-09-20T00:00:00"/>
    <x v="3"/>
    <x v="1"/>
    <x v="3"/>
    <n v="25490"/>
    <m/>
    <s v="Table vibrante"/>
    <s v="Courroie 2800 endommagée"/>
    <s v="Réparation"/>
    <s v="Changement de la courroie 2800"/>
    <d v="2021-09-20T00:00:00"/>
    <m/>
    <n v="150"/>
    <x v="7"/>
    <x v="2"/>
    <m/>
  </r>
  <r>
    <d v="2021-09-20T00:00:00"/>
    <x v="2"/>
    <x v="1"/>
    <x v="2"/>
    <n v="25491"/>
    <m/>
    <s v="Tiroir d'agitation"/>
    <s v="Cadre glissant usé"/>
    <s v="Réparation"/>
    <s v="Changement du cadre glissant"/>
    <d v="2021-09-20T00:00:00"/>
    <m/>
    <n v="90"/>
    <x v="7"/>
    <x v="2"/>
    <m/>
  </r>
  <r>
    <d v="2021-09-20T00:00:00"/>
    <x v="3"/>
    <x v="1"/>
    <x v="3"/>
    <n v="25354"/>
    <m/>
    <s v="monque d'eclairage au niveau de transporteur "/>
    <s v="l'ampe grillee "/>
    <s v="reparation "/>
    <s v="changement de l'ampe "/>
    <d v="2021-09-20T00:00:00"/>
    <m/>
    <n v="30"/>
    <x v="7"/>
    <x v="2"/>
    <m/>
  </r>
  <r>
    <d v="2021-09-20T00:00:00"/>
    <x v="3"/>
    <x v="1"/>
    <x v="3"/>
    <n v="25357"/>
    <m/>
    <s v="deterioration  du flexible d'aire "/>
    <m/>
    <s v="reparation "/>
    <s v="chengement flexible "/>
    <d v="2021-09-20T00:00:00"/>
    <m/>
    <n v="60"/>
    <x v="7"/>
    <x v="2"/>
    <m/>
  </r>
  <r>
    <d v="2021-09-21T00:00:00"/>
    <x v="3"/>
    <x v="1"/>
    <x v="3"/>
    <n v="25494"/>
    <m/>
    <s v="Cercleuse"/>
    <s v="Tendeur sortie cercleuse N8"/>
    <s v="Réparation"/>
    <s v="Changement de la courroie "/>
    <d v="2021-09-21T00:00:00"/>
    <m/>
    <n v="60"/>
    <x v="7"/>
    <x v="2"/>
    <m/>
  </r>
  <r>
    <d v="2021-09-21T00:00:00"/>
    <x v="12"/>
    <x v="0"/>
    <x v="12"/>
    <n v="25355"/>
    <m/>
    <s v="Devidoir"/>
    <s v="Arbre et roulements endommagés"/>
    <s v="Réparation"/>
    <s v="Revision du devidoir"/>
    <d v="2021-09-21T00:00:00"/>
    <m/>
    <n v="240"/>
    <x v="7"/>
    <x v="2"/>
    <m/>
  </r>
  <r>
    <d v="2021-09-21T00:00:00"/>
    <x v="10"/>
    <x v="0"/>
    <x v="10"/>
    <n v="25365"/>
    <m/>
    <s v="Chariot"/>
    <s v="Chariots usés"/>
    <s v="Réparation"/>
    <s v="Soudage des parties endommagées"/>
    <d v="2021-09-21T00:00:00"/>
    <s v="Fer rond commandés / en attente de réception pour cintrage et mise en place"/>
    <n v="90"/>
    <x v="7"/>
    <x v="2"/>
    <m/>
  </r>
  <r>
    <d v="2021-09-21T00:00:00"/>
    <x v="1"/>
    <x v="0"/>
    <x v="1"/>
    <n v="25353"/>
    <m/>
    <s v="probleme de teur 2 "/>
    <s v="deterionation de chaine tire hl "/>
    <s v="reparation "/>
    <s v="chengement d'axe plus repation du chaine "/>
    <d v="2021-09-21T00:00:00"/>
    <m/>
    <n v="75"/>
    <x v="7"/>
    <x v="2"/>
    <m/>
  </r>
  <r>
    <d v="2021-09-21T00:00:00"/>
    <x v="12"/>
    <x v="0"/>
    <x v="12"/>
    <n v="25355"/>
    <m/>
    <s v="probleme de devialair de vitari "/>
    <s v="defaillance l'axe et ronlements "/>
    <s v="reparation "/>
    <s v="rectifacation d'arbere et changement des ronlements ( revision generale ) "/>
    <d v="2021-09-21T00:00:00"/>
    <m/>
    <n v="120"/>
    <x v="7"/>
    <x v="2"/>
    <m/>
  </r>
  <r>
    <d v="2021-09-21T00:00:00"/>
    <x v="4"/>
    <x v="0"/>
    <x v="4"/>
    <n v="25368"/>
    <m/>
    <s v="probleme de ronleau d'avance _x000a_probleme de devidoire "/>
    <s v="vibratinon _x000a_delerioration des roulements de vidoir "/>
    <s v="reparation "/>
    <s v="reparation  de ronlement d'avance _x000a_le devidoir en cour de revision general"/>
    <d v="2021-09-21T00:00:00"/>
    <m/>
    <n v="90"/>
    <x v="7"/>
    <x v="2"/>
    <m/>
  </r>
  <r>
    <d v="2021-09-21T00:00:00"/>
    <x v="10"/>
    <x v="0"/>
    <x v="10"/>
    <n v="25369"/>
    <m/>
    <s v="probleme de chariot "/>
    <m/>
    <s v="reparation "/>
    <s v="soudage du chariot "/>
    <d v="2021-09-21T00:00:00"/>
    <m/>
    <n v="90"/>
    <x v="7"/>
    <x v="2"/>
    <m/>
  </r>
  <r>
    <d v="2021-09-22T00:00:00"/>
    <x v="5"/>
    <x v="2"/>
    <x v="5"/>
    <n v="25497"/>
    <m/>
    <s v="Alimentation en eau"/>
    <s v="Circuit endommagé"/>
    <s v="Réparation "/>
    <s v="Dépannage du système en attendant de refaire la tuyauterie"/>
    <d v="2021-09-22T00:00:00"/>
    <m/>
    <n v="300"/>
    <x v="7"/>
    <x v="2"/>
    <m/>
  </r>
  <r>
    <d v="2021-09-22T00:00:00"/>
    <x v="27"/>
    <x v="2"/>
    <x v="27"/>
    <n v="25498"/>
    <m/>
    <s v="Alimentation en eau"/>
    <s v="Circuit endommagé"/>
    <s v="Réparation "/>
    <s v="Dépannage du système en attendant de refaire la tuyauterie"/>
    <d v="2021-09-22T00:00:00"/>
    <m/>
    <n v="300"/>
    <x v="7"/>
    <x v="2"/>
    <m/>
  </r>
  <r>
    <d v="2021-09-22T00:00:00"/>
    <x v="3"/>
    <x v="1"/>
    <x v="3"/>
    <n v="25363"/>
    <m/>
    <s v="Malaxeur"/>
    <s v="Pieds de malaxeur usé"/>
    <s v="Réparation"/>
    <s v="Soudage et dressage des pieds"/>
    <d v="2021-09-22T00:00:00"/>
    <m/>
    <n v="90"/>
    <x v="7"/>
    <x v="2"/>
    <m/>
  </r>
  <r>
    <d v="2021-09-22T00:00:00"/>
    <x v="1"/>
    <x v="0"/>
    <x v="1"/>
    <n v="25366"/>
    <m/>
    <s v="Cassette 12 cranté"/>
    <s v="Roulements endommagés"/>
    <s v="Réparation"/>
    <s v="Changement des roumlements"/>
    <d v="2021-09-22T00:00:00"/>
    <m/>
    <m/>
    <x v="7"/>
    <x v="2"/>
    <m/>
  </r>
  <r>
    <d v="2021-09-22T00:00:00"/>
    <x v="3"/>
    <x v="1"/>
    <x v="3"/>
    <n v="25363"/>
    <m/>
    <s v="probleme malaxeur "/>
    <s v="defaillance de pieds "/>
    <s v="reparation "/>
    <s v="soudage et dressage des pieds"/>
    <d v="2021-09-22T00:00:00"/>
    <m/>
    <n v="90"/>
    <x v="7"/>
    <x v="2"/>
    <m/>
  </r>
  <r>
    <d v="2021-09-22T00:00:00"/>
    <x v="1"/>
    <x v="0"/>
    <x v="1"/>
    <n v="25366"/>
    <m/>
    <s v="cassette daimmetr 12L en panne "/>
    <s v="deterioration des renlements"/>
    <s v="reparation "/>
    <s v="chongement des reulemnt , nettoyage _x000a_"/>
    <d v="2021-09-22T00:00:00"/>
    <m/>
    <n v="180"/>
    <x v="7"/>
    <x v="2"/>
    <m/>
  </r>
  <r>
    <d v="2021-09-22T00:00:00"/>
    <x v="1"/>
    <x v="0"/>
    <x v="1"/>
    <n v="25372"/>
    <m/>
    <s v="fuite d'eau au niveau du cassette 3,8L "/>
    <s v="deterioretion  du flexible"/>
    <s v="repartion "/>
    <s v="chongement des flexibles "/>
    <d v="2021-09-22T00:00:00"/>
    <m/>
    <n v="60"/>
    <x v="7"/>
    <x v="2"/>
    <m/>
  </r>
  <r>
    <d v="2021-09-23T00:00:00"/>
    <x v="3"/>
    <x v="1"/>
    <x v="3"/>
    <n v="25351"/>
    <m/>
    <s v="Table vibrante"/>
    <s v="moteur endommagé"/>
    <s v="Réparation"/>
    <s v="Changement du moteur et rebobinage du moteur grillé"/>
    <d v="2021-09-23T00:00:00"/>
    <m/>
    <n v="360"/>
    <x v="7"/>
    <x v="2"/>
    <m/>
  </r>
  <r>
    <d v="2021-09-23T00:00:00"/>
    <x v="21"/>
    <x v="4"/>
    <x v="21"/>
    <n v="25352"/>
    <m/>
    <s v="Treuil principal"/>
    <s v="Cable antigiratoire endommagé"/>
    <s v="Réparation"/>
    <s v="Changement du cable endommagé"/>
    <d v="2021-09-23T00:00:00"/>
    <m/>
    <n v="120"/>
    <x v="7"/>
    <x v="2"/>
    <m/>
  </r>
  <r>
    <d v="2021-09-23T00:00:00"/>
    <x v="3"/>
    <x v="1"/>
    <x v="3"/>
    <n v="25374"/>
    <m/>
    <s v="Pince"/>
    <s v="vis de réglage endommagés"/>
    <s v="Réparation"/>
    <s v="Changement des vis + réglage"/>
    <d v="2021-09-23T00:00:00"/>
    <m/>
    <n v="90"/>
    <x v="7"/>
    <x v="2"/>
    <m/>
  </r>
  <r>
    <d v="2021-09-23T00:00:00"/>
    <x v="3"/>
    <x v="1"/>
    <x v="3"/>
    <n v="25351"/>
    <m/>
    <s v="probleme du table vibirute "/>
    <s v="moteur grille "/>
    <s v="reparation "/>
    <s v="remplement du moteur "/>
    <d v="2021-09-23T00:00:00"/>
    <m/>
    <n v="360"/>
    <x v="7"/>
    <x v="2"/>
    <m/>
  </r>
  <r>
    <d v="2021-09-23T00:00:00"/>
    <x v="21"/>
    <x v="4"/>
    <x v="21"/>
    <n v="25352"/>
    <m/>
    <s v="pont mlant en arret "/>
    <s v="defaillance du cable matalique "/>
    <s v="reparation "/>
    <s v="chengement du cable "/>
    <d v="2021-09-23T00:00:00"/>
    <m/>
    <n v="120"/>
    <x v="7"/>
    <x v="2"/>
    <m/>
  </r>
  <r>
    <d v="2021-09-23T00:00:00"/>
    <x v="3"/>
    <x v="1"/>
    <x v="3"/>
    <n v="25373"/>
    <m/>
    <s v="probleme malaxeur "/>
    <s v="vibration "/>
    <s v="reparation "/>
    <s v="soudage "/>
    <d v="2021-09-23T00:00:00"/>
    <m/>
    <n v="90"/>
    <x v="7"/>
    <x v="2"/>
    <m/>
  </r>
  <r>
    <d v="2021-09-23T00:00:00"/>
    <x v="3"/>
    <x v="1"/>
    <x v="3"/>
    <n v="25374"/>
    <m/>
    <s v="probleme frein moteur pince "/>
    <s v="vibration + l'usure du garniture "/>
    <s v="reparation "/>
    <s v="depannage eu attemstaut changer "/>
    <d v="2021-09-23T00:00:00"/>
    <m/>
    <n v="60"/>
    <x v="7"/>
    <x v="2"/>
    <m/>
  </r>
  <r>
    <d v="2021-09-23T00:00:00"/>
    <x v="10"/>
    <x v="0"/>
    <x v="10"/>
    <n v="25375"/>
    <m/>
    <s v="probleme cassette daimmetre 5L "/>
    <s v="chonghement d'emplacement "/>
    <s v="reparation "/>
    <s v="confection d'une table pour cassette "/>
    <d v="2021-09-23T00:00:00"/>
    <m/>
    <n v="90"/>
    <x v="7"/>
    <x v="2"/>
    <m/>
  </r>
  <r>
    <d v="2021-09-23T00:00:00"/>
    <x v="10"/>
    <x v="0"/>
    <x v="10"/>
    <n v="25380"/>
    <m/>
    <s v="probleme support cassette daimetre 5L"/>
    <s v="l'emplacement "/>
    <s v="reparation "/>
    <s v="confection d'une table "/>
    <d v="2021-09-23T00:00:00"/>
    <m/>
    <n v="120"/>
    <x v="7"/>
    <x v="2"/>
    <m/>
  </r>
  <r>
    <d v="2021-09-24T00:00:00"/>
    <x v="0"/>
    <x v="0"/>
    <x v="0"/>
    <n v="25364"/>
    <m/>
    <s v="Cisaille_x000a_Ejection de trames"/>
    <s v=" - Garniture de frein de cisaille usé_x000a_- Arbre hexagonal endommagé_x000a_- Bielle de lancement des fils de trames endommagés"/>
    <s v="Réparation"/>
    <s v=" - Regarnissage du disque de frein _x000a_ - Changement de l'arbre hexagonal_x000a_ - Changement des bielles endommagées / ajustement / mise en marche"/>
    <d v="2021-09-24T00:00:00"/>
    <m/>
    <n v="420"/>
    <x v="7"/>
    <x v="2"/>
    <m/>
  </r>
  <r>
    <d v="2021-09-24T00:00:00"/>
    <x v="5"/>
    <x v="2"/>
    <x v="5"/>
    <n v="25367"/>
    <m/>
    <s v="Skip"/>
    <s v="Défaut cable antigiratoire"/>
    <s v="Réparation"/>
    <s v="Realignement du cable au niveau du treuil"/>
    <d v="2021-09-24T00:00:00"/>
    <m/>
    <n v="60"/>
    <x v="7"/>
    <x v="2"/>
    <m/>
  </r>
  <r>
    <d v="2021-09-24T00:00:00"/>
    <x v="24"/>
    <x v="4"/>
    <x v="24"/>
    <n v="25360"/>
    <m/>
    <s v="Alimentation electrique"/>
    <s v="Cable electrique de commande endommagé"/>
    <s v="Réparation"/>
    <s v="Changement du cable endommagé"/>
    <d v="2021-09-24T00:00:00"/>
    <m/>
    <n v="90"/>
    <x v="7"/>
    <x v="2"/>
    <m/>
  </r>
  <r>
    <d v="2021-09-24T00:00:00"/>
    <x v="3"/>
    <x v="1"/>
    <x v="3"/>
    <n v="25370"/>
    <m/>
    <s v="Pilon"/>
    <s v="Support de réglage du pilon endommagé"/>
    <s v="Réparation"/>
    <s v="Soudage de la partie endommagée"/>
    <d v="2021-09-24T00:00:00"/>
    <m/>
    <n v="90"/>
    <x v="7"/>
    <x v="2"/>
    <m/>
  </r>
  <r>
    <d v="2021-09-24T00:00:00"/>
    <x v="3"/>
    <x v="1"/>
    <x v="3"/>
    <n v="25371"/>
    <m/>
    <s v="Pilon"/>
    <s v="Fuite au niveau des ventouses"/>
    <s v="Réaration"/>
    <s v="Changement des ventouses endommagés"/>
    <d v="2021-09-24T00:00:00"/>
    <m/>
    <n v="60"/>
    <x v="7"/>
    <x v="2"/>
    <m/>
  </r>
  <r>
    <d v="2021-09-24T00:00:00"/>
    <x v="1"/>
    <x v="0"/>
    <x v="1"/>
    <n v="25359"/>
    <m/>
    <s v="probleme du cassette 4,6 L"/>
    <s v="deterioration de roulement "/>
    <s v="reparation "/>
    <s v="nettoyage , chengement des roulement "/>
    <d v="2021-09-24T00:00:00"/>
    <m/>
    <n v="120"/>
    <x v="7"/>
    <x v="2"/>
    <m/>
  </r>
  <r>
    <d v="2021-09-24T00:00:00"/>
    <x v="24"/>
    <x v="4"/>
    <x v="24"/>
    <n v="25360"/>
    <m/>
    <s v="pont roulement en arret "/>
    <s v="mauvais  manipulation la part de operateur "/>
    <s v="reparation "/>
    <s v="chengment cable multifilairde tele commande  "/>
    <d v="2021-09-24T00:00:00"/>
    <m/>
    <n v="105"/>
    <x v="7"/>
    <x v="2"/>
    <m/>
  </r>
  <r>
    <d v="2021-09-24T00:00:00"/>
    <x v="0"/>
    <x v="0"/>
    <x v="0"/>
    <n v="25364"/>
    <m/>
    <s v="panne de pousse fils _x000a_probleme des freus de cisaille _x000a_probleme d'hyxagon  _x000a_"/>
    <s v="l'usure "/>
    <s v="reparation "/>
    <s v="chongement du garniture de frein _x000a_chongement d'hyaxagon _x000a_chongement système d'excentrique ( paliers ) d'hyaxage _x000a_soudage support moteur cisaille _x000a_"/>
    <d v="2021-09-24T00:00:00"/>
    <m/>
    <n v="420"/>
    <x v="7"/>
    <x v="2"/>
    <m/>
  </r>
  <r>
    <d v="2021-09-24T00:00:00"/>
    <x v="5"/>
    <x v="2"/>
    <x v="5"/>
    <n v="25367"/>
    <m/>
    <s v="probleme skipe "/>
    <s v="probleme du cable metalique "/>
    <s v="reparation "/>
    <s v="reparation "/>
    <d v="2021-09-24T00:00:00"/>
    <m/>
    <n v="60"/>
    <x v="7"/>
    <x v="2"/>
    <m/>
  </r>
  <r>
    <d v="2021-09-24T00:00:00"/>
    <x v="3"/>
    <x v="1"/>
    <x v="3"/>
    <n v="25370"/>
    <m/>
    <s v="probleme pilon "/>
    <s v="choc + vibration "/>
    <s v="reparation "/>
    <s v="reglage et soudage "/>
    <d v="2021-09-24T00:00:00"/>
    <m/>
    <n v="90"/>
    <x v="7"/>
    <x v="2"/>
    <m/>
  </r>
  <r>
    <d v="2021-09-24T00:00:00"/>
    <x v="3"/>
    <x v="1"/>
    <x v="3"/>
    <n v="25371"/>
    <m/>
    <s v="problleme venteuse "/>
    <s v="deterioration ( fuite d'air ) "/>
    <s v="reparation "/>
    <s v="chongement de venteuse "/>
    <d v="2021-09-24T00:00:00"/>
    <m/>
    <n v="60"/>
    <x v="7"/>
    <x v="2"/>
    <m/>
  </r>
  <r>
    <d v="2021-09-24T00:00:00"/>
    <x v="1"/>
    <x v="0"/>
    <x v="1"/>
    <n v="25377"/>
    <m/>
    <s v="cassette daimmetre 3,8 L en panne "/>
    <s v="deterioration de roulement "/>
    <s v="reparation "/>
    <s v="chongement de roulement +reglage , nettoyage "/>
    <d v="2021-09-24T00:00:00"/>
    <m/>
    <n v="180"/>
    <x v="7"/>
    <x v="2"/>
    <m/>
  </r>
  <r>
    <d v="2021-09-24T00:00:00"/>
    <x v="11"/>
    <x v="0"/>
    <x v="11"/>
    <n v="25378"/>
    <m/>
    <s v="savonier en panne "/>
    <s v="coincement  "/>
    <s v="reparation "/>
    <s v="reglage + nettoyage "/>
    <d v="2021-09-24T00:00:00"/>
    <m/>
    <n v="60"/>
    <x v="7"/>
    <x v="2"/>
    <m/>
  </r>
  <r>
    <d v="2021-09-24T00:00:00"/>
    <x v="10"/>
    <x v="0"/>
    <x v="10"/>
    <n v="25379"/>
    <m/>
    <s v="cassette daimmetre 12 L en panne "/>
    <s v="coincement "/>
    <s v="reparation "/>
    <s v="nettoyage + chongement de roulement et reglage "/>
    <d v="2021-09-24T00:00:00"/>
    <m/>
    <n v="150"/>
    <x v="7"/>
    <x v="2"/>
    <m/>
  </r>
  <r>
    <d v="2021-09-24T00:00:00"/>
    <x v="3"/>
    <x v="1"/>
    <x v="3"/>
    <n v="25389"/>
    <m/>
    <s v="problemed'emlacement de moule "/>
    <m/>
    <s v="reparation "/>
    <s v="soudage "/>
    <d v="2021-09-24T00:00:00"/>
    <m/>
    <n v="60"/>
    <x v="7"/>
    <x v="2"/>
    <m/>
  </r>
  <r>
    <d v="2021-09-24T00:00:00"/>
    <x v="2"/>
    <x v="1"/>
    <x v="2"/>
    <n v="25389"/>
    <m/>
    <s v="problemed'emlacement de moule"/>
    <m/>
    <s v="reparation "/>
    <s v="soudage "/>
    <d v="2021-09-24T00:00:00"/>
    <m/>
    <n v="60"/>
    <x v="7"/>
    <x v="2"/>
    <m/>
  </r>
  <r>
    <d v="2021-09-24T00:00:00"/>
    <x v="3"/>
    <x v="1"/>
    <x v="3"/>
    <n v="25393"/>
    <m/>
    <s v="probleme frin pince "/>
    <s v="desserrage des vis de frin "/>
    <s v="reparation "/>
    <s v="chongement des vis + reglage "/>
    <d v="2021-09-24T00:00:00"/>
    <m/>
    <n v="60"/>
    <x v="7"/>
    <x v="2"/>
    <m/>
  </r>
  <r>
    <d v="2021-09-24T00:00:00"/>
    <x v="2"/>
    <x v="1"/>
    <x v="2"/>
    <n v="25365"/>
    <m/>
    <s v="defaillance goulote malaxeur , magasin pattette "/>
    <s v="chongement vebration "/>
    <s v="reparation "/>
    <s v="nettoyage , soudage "/>
    <d v="2021-09-24T00:00:00"/>
    <m/>
    <n v="75"/>
    <x v="7"/>
    <x v="2"/>
    <m/>
  </r>
  <r>
    <d v="2021-09-25T00:00:00"/>
    <x v="11"/>
    <x v="0"/>
    <x v="11"/>
    <n v="25376"/>
    <m/>
    <s v="probleme de demarrage"/>
    <m/>
    <s v="ereparation "/>
    <s v="remise a zero "/>
    <d v="2021-09-25T00:00:00"/>
    <m/>
    <m/>
    <x v="7"/>
    <x v="2"/>
    <m/>
  </r>
  <r>
    <d v="2021-09-25T00:00:00"/>
    <x v="2"/>
    <x v="1"/>
    <x v="2"/>
    <n v="25381"/>
    <m/>
    <s v="propleme venteuse "/>
    <s v="deterioration de venteuse "/>
    <s v="reparation "/>
    <s v="chongement du vonteuse "/>
    <d v="2021-09-25T00:00:00"/>
    <m/>
    <n v="30"/>
    <x v="7"/>
    <x v="2"/>
    <m/>
  </r>
  <r>
    <d v="2021-09-25T00:00:00"/>
    <x v="3"/>
    <x v="1"/>
    <x v="3"/>
    <n v="25396"/>
    <m/>
    <s v="transporteur en arret "/>
    <s v="defaillance du reducteur "/>
    <s v="reparation "/>
    <s v="chongement du reducteur "/>
    <d v="2021-09-25T00:00:00"/>
    <m/>
    <n v="60"/>
    <x v="7"/>
    <x v="2"/>
    <m/>
  </r>
  <r>
    <d v="2021-09-26T00:00:00"/>
    <x v="11"/>
    <x v="0"/>
    <x v="11"/>
    <n v="25383"/>
    <m/>
    <s v="Moteur principal"/>
    <s v="Courroies endommagés"/>
    <s v="Réparation"/>
    <s v="Changement des courroies endommagés"/>
    <d v="2021-09-26T00:00:00"/>
    <m/>
    <n v="120"/>
    <x v="7"/>
    <x v="2"/>
    <m/>
  </r>
  <r>
    <d v="2021-09-26T00:00:00"/>
    <x v="25"/>
    <x v="0"/>
    <x v="25"/>
    <n v="25383"/>
    <m/>
    <s v="probleme mecanique "/>
    <s v="probleme tension de courroi "/>
    <s v="reparation "/>
    <s v="reglage la tension des courrois  + serrage "/>
    <d v="2021-09-26T00:00:00"/>
    <m/>
    <n v="60"/>
    <x v="7"/>
    <x v="2"/>
    <m/>
  </r>
  <r>
    <d v="2021-09-26T00:00:00"/>
    <x v="2"/>
    <x v="1"/>
    <x v="2"/>
    <n v="25391"/>
    <m/>
    <s v="L'agitateur en panne "/>
    <s v="deteriration de reducteur "/>
    <s v="reparation"/>
    <s v="chongement des reulements "/>
    <d v="2021-09-26T00:00:00"/>
    <m/>
    <n v="90"/>
    <x v="7"/>
    <x v="2"/>
    <m/>
  </r>
  <r>
    <d v="2021-09-27T00:00:00"/>
    <x v="1"/>
    <x v="0"/>
    <x v="1"/>
    <n v="25382"/>
    <m/>
    <s v="probleme cassete daimetre 3,2 L"/>
    <s v="coincement "/>
    <s v="reparation "/>
    <s v="nettoyage + reglage "/>
    <d v="2021-09-27T00:00:00"/>
    <m/>
    <n v="90"/>
    <x v="7"/>
    <x v="2"/>
    <m/>
  </r>
  <r>
    <d v="2021-09-27T00:00:00"/>
    <x v="10"/>
    <x v="0"/>
    <x v="10"/>
    <n v="25387"/>
    <m/>
    <s v="cassette daimetre 5 L en panne "/>
    <s v="defaillance des reulements "/>
    <s v="reparation "/>
    <s v="chongement des reulements + nettoyage +reglage "/>
    <d v="2021-09-27T00:00:00"/>
    <m/>
    <n v="120"/>
    <x v="7"/>
    <x v="2"/>
    <m/>
  </r>
  <r>
    <d v="2021-09-27T00:00:00"/>
    <x v="0"/>
    <x v="0"/>
    <x v="0"/>
    <n v="25392"/>
    <m/>
    <s v="probleme de cisaille "/>
    <s v="deterioration disque embrayage "/>
    <s v="reparation "/>
    <s v="reparation d'embrayage chongement deu garniture "/>
    <d v="2021-09-27T00:00:00"/>
    <m/>
    <n v="390"/>
    <x v="7"/>
    <x v="2"/>
    <m/>
  </r>
  <r>
    <d v="2021-09-27T00:00:00"/>
    <x v="1"/>
    <x v="0"/>
    <x v="1"/>
    <n v="25394"/>
    <m/>
    <s v="probleme guide fil 3"/>
    <s v="l'usure des galets "/>
    <s v="reparation "/>
    <s v="chongement des galets + reulement "/>
    <d v="2021-09-27T00:00:00"/>
    <m/>
    <n v="120"/>
    <x v="7"/>
    <x v="2"/>
    <m/>
  </r>
  <r>
    <d v="2021-09-28T00:00:00"/>
    <x v="2"/>
    <x v="1"/>
    <x v="2"/>
    <n v="25385"/>
    <m/>
    <s v="Tiroir d'agitation"/>
    <m/>
    <m/>
    <m/>
    <d v="2021-09-28T00:00:00"/>
    <m/>
    <m/>
    <x v="7"/>
    <x v="2"/>
    <m/>
  </r>
  <r>
    <d v="2021-09-28T00:00:00"/>
    <x v="2"/>
    <x v="1"/>
    <x v="2"/>
    <n v="25384"/>
    <m/>
    <s v="probleme malaxeur  "/>
    <s v="l'usure de pieds "/>
    <s v="reparation "/>
    <s v="soudage "/>
    <d v="2021-09-28T00:00:00"/>
    <m/>
    <n v="90"/>
    <x v="7"/>
    <x v="2"/>
    <m/>
  </r>
  <r>
    <d v="2021-09-28T00:00:00"/>
    <x v="2"/>
    <x v="1"/>
    <x v="2"/>
    <n v="25385"/>
    <m/>
    <s v="probleme d'agitation "/>
    <s v="defaillance reducteur "/>
    <s v="reparation "/>
    <s v="chongement du reducteur par un autre nauveau "/>
    <d v="2021-01-28T00:00:00"/>
    <m/>
    <n v="60"/>
    <x v="0"/>
    <x v="2"/>
    <m/>
  </r>
  <r>
    <d v="2021-09-28T00:00:00"/>
    <x v="1"/>
    <x v="0"/>
    <x v="1"/>
    <n v="25386"/>
    <m/>
    <s v="probleme du pontie guide fil"/>
    <s v="coincement du roulements"/>
    <s v="reparation "/>
    <s v="chongement des reulements "/>
    <d v="2021-09-28T00:00:00"/>
    <m/>
    <n v="150"/>
    <x v="7"/>
    <x v="2"/>
    <m/>
  </r>
  <r>
    <d v="2021-09-28T00:00:00"/>
    <x v="21"/>
    <x v="4"/>
    <x v="21"/>
    <n v="25390"/>
    <m/>
    <s v="probleme de frein "/>
    <s v="probleme de reglage "/>
    <s v="reparation "/>
    <s v="reglage + serrage des vis "/>
    <d v="2021-09-28T00:00:00"/>
    <m/>
    <n v="120"/>
    <x v="7"/>
    <x v="2"/>
    <m/>
  </r>
  <r>
    <d v="2021-09-28T00:00:00"/>
    <x v="10"/>
    <x v="0"/>
    <x v="10"/>
    <n v="25397"/>
    <m/>
    <s v="cassettes daimetr 10 L et "/>
    <m/>
    <m/>
    <m/>
    <d v="2021-09-28T00:00:00"/>
    <m/>
    <m/>
    <x v="7"/>
    <x v="2"/>
    <m/>
  </r>
  <r>
    <d v="2021-09-28T00:00:00"/>
    <x v="4"/>
    <x v="0"/>
    <x v="4"/>
    <m/>
    <m/>
    <s v="Cisaille"/>
    <s v="Echeance vidange"/>
    <s v="Vidange"/>
    <s v=" - Vidange du groupe hydraulique_x000a_- Changement des filtres aspiration / retour /pression"/>
    <d v="2021-09-28T00:00:00"/>
    <m/>
    <n v="240"/>
    <x v="7"/>
    <x v="2"/>
    <m/>
  </r>
  <r>
    <d v="2021-09-29T00:00:00"/>
    <x v="10"/>
    <x v="0"/>
    <x v="10"/>
    <n v="25388"/>
    <m/>
    <s v="cassette daimetre 9 L en panne "/>
    <s v="probleme coincement"/>
    <s v="reparation "/>
    <s v="nettoyage reglage + chongementr des reulements "/>
    <d v="2021-09-29T00:00:00"/>
    <m/>
    <n v="120"/>
    <x v="7"/>
    <x v="2"/>
    <m/>
  </r>
  <r>
    <d v="2021-09-29T00:00:00"/>
    <x v="7"/>
    <x v="0"/>
    <x v="7"/>
    <n v="25395"/>
    <m/>
    <s v="probleme des galets de dressage "/>
    <s v="L'usure "/>
    <s v="reparation "/>
    <s v="chongement ds galets "/>
    <d v="2021-09-29T00:00:00"/>
    <m/>
    <n v="120"/>
    <x v="7"/>
    <x v="2"/>
    <m/>
  </r>
  <r>
    <d v="2021-10-01T00:00:00"/>
    <x v="26"/>
    <x v="0"/>
    <x v="26"/>
    <n v="25803"/>
    <m/>
    <s v="panne pneumatique "/>
    <s v="verin de pince de tronsprteur "/>
    <s v="reparation"/>
    <s v="chongement du verin "/>
    <d v="2021-10-01T00:00:00"/>
    <m/>
    <n v="180"/>
    <x v="9"/>
    <x v="2"/>
    <m/>
  </r>
  <r>
    <d v="2021-10-02T00:00:00"/>
    <x v="34"/>
    <x v="0"/>
    <x v="34"/>
    <n v="15811"/>
    <m/>
    <s v="Cisaille"/>
    <s v="Problème d'alimentation air commprimé"/>
    <s v="Réparation"/>
    <s v="Changement d'une electrovanne endommagée"/>
    <d v="2021-10-02T00:00:00"/>
    <m/>
    <n v="180"/>
    <x v="9"/>
    <x v="2"/>
    <m/>
  </r>
  <r>
    <d v="2021-10-02T00:00:00"/>
    <x v="3"/>
    <x v="1"/>
    <x v="3"/>
    <n v="25416"/>
    <m/>
    <s v="Transbordeur"/>
    <s v="Vis  de fixation frein endommagés"/>
    <s v="Réparation"/>
    <s v="Changement des vis de réglage du frein"/>
    <d v="2021-10-02T00:00:00"/>
    <m/>
    <n v="90"/>
    <x v="9"/>
    <x v="2"/>
    <m/>
  </r>
  <r>
    <d v="2021-10-02T00:00:00"/>
    <x v="3"/>
    <x v="1"/>
    <x v="3"/>
    <n v="25417"/>
    <m/>
    <s v="Pilon"/>
    <s v="detecteur pilon endommagé"/>
    <s v="Réparation"/>
    <s v="Changement du detecteur endommagé"/>
    <d v="2021-10-02T00:00:00"/>
    <m/>
    <n v="60"/>
    <x v="9"/>
    <x v="2"/>
    <m/>
  </r>
  <r>
    <d v="2021-10-02T00:00:00"/>
    <x v="16"/>
    <x v="0"/>
    <x v="16"/>
    <n v="25430"/>
    <m/>
    <s v="Ecarteur"/>
    <s v="Arbre eendommagé"/>
    <s v="Réparaition"/>
    <s v="Changement de l'abre du système ecarteur"/>
    <d v="2021-10-02T00:00:00"/>
    <m/>
    <n v="90"/>
    <x v="9"/>
    <x v="2"/>
    <m/>
  </r>
  <r>
    <d v="2021-10-02T00:00:00"/>
    <x v="34"/>
    <x v="0"/>
    <x v="34"/>
    <n v="15811"/>
    <m/>
    <s v="Cisaille"/>
    <s v="Clavette et circuit air comprimé HS"/>
    <s v="Réparation"/>
    <s v="Réparation du système et mise en marche"/>
    <d v="2021-10-02T00:00:00"/>
    <m/>
    <n v="240"/>
    <x v="9"/>
    <x v="2"/>
    <m/>
  </r>
  <r>
    <d v="2021-10-03T00:00:00"/>
    <x v="7"/>
    <x v="0"/>
    <x v="7"/>
    <m/>
    <m/>
    <s v="Dispositif de tirage"/>
    <s v="Défaut de tirage moteur"/>
    <s v="Réparation"/>
    <s v="Consultation EVG / Réparation des vérins de compensation et mise en marche"/>
    <d v="2021-10-05T00:00:00"/>
    <m/>
    <n v="1"/>
    <x v="9"/>
    <x v="2"/>
    <m/>
  </r>
  <r>
    <d v="2021-10-04T00:00:00"/>
    <x v="3"/>
    <x v="1"/>
    <x v="3"/>
    <n v="25415"/>
    <m/>
    <s v="Magasin palette"/>
    <s v="Detecteur sortie magasin endommagé"/>
    <s v="Réparation"/>
    <s v="Changement du detecteur sortie magasin"/>
    <d v="2021-10-04T00:00:00"/>
    <m/>
    <n v="60"/>
    <x v="9"/>
    <x v="2"/>
    <m/>
  </r>
  <r>
    <d v="2021-10-04T00:00:00"/>
    <x v="0"/>
    <x v="0"/>
    <x v="0"/>
    <n v="25420"/>
    <m/>
    <s v="Bloc de soudage"/>
    <s v="Panne presse de soudage"/>
    <s v="Réparation"/>
    <s v="Reglage de position et mise en marche"/>
    <d v="2021-10-04T00:00:00"/>
    <m/>
    <n v="90"/>
    <x v="9"/>
    <x v="2"/>
    <m/>
  </r>
  <r>
    <d v="2021-10-04T00:00:00"/>
    <x v="16"/>
    <x v="0"/>
    <x v="16"/>
    <n v="25429"/>
    <m/>
    <s v="système d'entrainement"/>
    <s v="Révision générale"/>
    <s v="Réparation"/>
    <s v="Elimination des fuites d'air _x000a_Changement des necessaires de vérin 920 et 930_x000a_Confection de guides fils_x000a_Changement du guide fil longitudinal_x000a_Réparation du vérin amortisseur 4550M"/>
    <d v="2021-10-15T00:00:00"/>
    <m/>
    <n v="5280"/>
    <x v="9"/>
    <x v="2"/>
    <m/>
  </r>
  <r>
    <d v="2021-10-05T00:00:00"/>
    <x v="18"/>
    <x v="4"/>
    <x v="18"/>
    <n v="25427"/>
    <m/>
    <s v="Cable de commande"/>
    <s v="Mauvais contact au niveau de la boite à commande"/>
    <s v="Réparation"/>
    <s v="Elimination du mauvais contact et mise en marche"/>
    <d v="2021-10-05T00:00:00"/>
    <m/>
    <n v="120"/>
    <x v="9"/>
    <x v="2"/>
    <m/>
  </r>
  <r>
    <d v="2021-10-05T00:00:00"/>
    <x v="14"/>
    <x v="4"/>
    <x v="14"/>
    <n v="25428"/>
    <m/>
    <s v="Treuil principal"/>
    <s v="Cable antigiratoire usé"/>
    <s v="Réparation"/>
    <s v="Changement du cable endommagé"/>
    <d v="2021-10-05T00:00:00"/>
    <m/>
    <n v="120"/>
    <x v="9"/>
    <x v="2"/>
    <m/>
  </r>
  <r>
    <d v="2021-10-06T00:00:00"/>
    <x v="26"/>
    <x v="0"/>
    <x v="26"/>
    <n v="25421"/>
    <m/>
    <s v="Refroidisseur"/>
    <s v="Relais endommagés"/>
    <s v="Réparation"/>
    <s v="Changement des relais d'interface"/>
    <d v="2021-10-06T00:00:00"/>
    <m/>
    <n v="60"/>
    <x v="9"/>
    <x v="2"/>
    <m/>
  </r>
  <r>
    <d v="2021-10-06T00:00:00"/>
    <x v="17"/>
    <x v="0"/>
    <x v="17"/>
    <n v="15820"/>
    <m/>
    <s v="Guide fil"/>
    <s v="Galets usés"/>
    <s v="Réparation"/>
    <s v="Changement d'un roulement endommagé + Recharge galet"/>
    <d v="2021-10-06T00:00:00"/>
    <m/>
    <n v="120"/>
    <x v="9"/>
    <x v="2"/>
    <m/>
  </r>
  <r>
    <d v="2021-10-07T00:00:00"/>
    <x v="1"/>
    <x v="0"/>
    <x v="1"/>
    <n v="25422"/>
    <m/>
    <s v="Cabestan n3"/>
    <s v="Panne variateur (echauffement)"/>
    <s v="Réparation"/>
    <s v="Ventilateur endommagé / changement du ventilateur et mise en marche"/>
    <d v="2021-10-07T00:00:00"/>
    <m/>
    <n v="60"/>
    <x v="9"/>
    <x v="2"/>
    <m/>
  </r>
  <r>
    <d v="2021-10-07T00:00:00"/>
    <x v="24"/>
    <x v="4"/>
    <x v="24"/>
    <n v="25423"/>
    <m/>
    <s v="Treuil principal"/>
    <s v="Cable endommagé"/>
    <s v="Réparation"/>
    <s v="Changement du cable endommagé"/>
    <d v="2021-10-07T00:00:00"/>
    <m/>
    <n v="240"/>
    <x v="9"/>
    <x v="2"/>
    <m/>
  </r>
  <r>
    <d v="2021-10-09T00:00:00"/>
    <x v="1"/>
    <x v="0"/>
    <x v="1"/>
    <n v="25425"/>
    <m/>
    <s v="Bobinoir"/>
    <s v="Ecrous en bronze et vis de fixation endommagés"/>
    <s v="Réparation"/>
    <s v="Changement des vis et ecrou"/>
    <d v="2021-10-09T00:00:00"/>
    <m/>
    <n v="180"/>
    <x v="9"/>
    <x v="2"/>
    <m/>
  </r>
  <r>
    <d v="2021-10-09T00:00:00"/>
    <x v="1"/>
    <x v="0"/>
    <x v="1"/>
    <n v="25431"/>
    <m/>
    <s v="Système de tirage"/>
    <s v="Usure de surface du cabestan _x000a_Ususre des galets guide fils"/>
    <s v="Réparation"/>
    <s v="Chargement de surface a la soudure et rectification des galets"/>
    <d v="2021-10-09T00:00:00"/>
    <m/>
    <n v="450"/>
    <x v="9"/>
    <x v="2"/>
    <m/>
  </r>
  <r>
    <d v="2021-10-09T00:00:00"/>
    <x v="3"/>
    <x v="1"/>
    <x v="3"/>
    <n v="15784"/>
    <m/>
    <s v="Transbordeur"/>
    <s v="Fuite d'huile au niveau du véin"/>
    <s v="Réparation"/>
    <s v="Changement des necessaires de vérin"/>
    <d v="2021-10-09T00:00:00"/>
    <m/>
    <n v="360"/>
    <x v="9"/>
    <x v="2"/>
    <m/>
  </r>
  <r>
    <d v="2021-10-11T00:00:00"/>
    <x v="26"/>
    <x v="0"/>
    <x v="26"/>
    <n v="44480"/>
    <m/>
    <s v="Pince"/>
    <s v="Panne distributeur pneumatique"/>
    <s v="Réparation"/>
    <s v="changement du distributeur HS"/>
    <d v="2021-10-11T00:00:00"/>
    <m/>
    <n v="180"/>
    <x v="9"/>
    <x v="2"/>
    <m/>
  </r>
  <r>
    <d v="2021-10-11T00:00:00"/>
    <x v="2"/>
    <x v="1"/>
    <x v="2"/>
    <n v="25433"/>
    <m/>
    <s v="Tiroir d'agitation"/>
    <s v="Moteur endommagé"/>
    <s v="Réparation "/>
    <s v="changement du tiroir endommagé"/>
    <d v="2021-10-11T00:00:00"/>
    <m/>
    <n v="120"/>
    <x v="9"/>
    <x v="2"/>
    <m/>
  </r>
  <r>
    <d v="2021-10-12T00:00:00"/>
    <x v="3"/>
    <x v="1"/>
    <x v="3"/>
    <n v="15788"/>
    <m/>
    <s v="Moule"/>
    <s v="Raccord endommagé"/>
    <s v="Réparation"/>
    <s v="Confection d'un raccord hydraulique montage et mise en marche"/>
    <d v="2021-10-12T00:00:00"/>
    <m/>
    <n v="360"/>
    <x v="9"/>
    <x v="2"/>
    <m/>
  </r>
  <r>
    <d v="2021-10-13T00:00:00"/>
    <x v="41"/>
    <x v="10"/>
    <x v="40"/>
    <m/>
    <m/>
    <s v="Moteur principal"/>
    <s v="Secheur HS"/>
    <s v="Réparation"/>
    <s v="Diagnostic à établir"/>
    <d v="2021-10-13T00:00:00"/>
    <s v="Diagnostic à établir"/>
    <m/>
    <x v="9"/>
    <x v="2"/>
    <m/>
  </r>
  <r>
    <d v="2021-10-14T00:00:00"/>
    <x v="5"/>
    <x v="2"/>
    <x v="5"/>
    <n v="15857"/>
    <m/>
    <s v="Transporteur de poutrelle"/>
    <s v="Fin de course endommagé "/>
    <s v="Réparation"/>
    <s v="changement d'une fin de course"/>
    <d v="2021-10-14T00:00:00"/>
    <m/>
    <n v="60"/>
    <x v="9"/>
    <x v="2"/>
    <m/>
  </r>
  <r>
    <d v="2021-10-14T00:00:00"/>
    <x v="7"/>
    <x v="0"/>
    <x v="7"/>
    <n v="14826"/>
    <m/>
    <s v="Redresseur"/>
    <s v="Galets de dressage usés"/>
    <s v="Réparation"/>
    <s v="Changement des galets sués"/>
    <d v="2021-10-14T00:00:00"/>
    <m/>
    <n v="240"/>
    <x v="9"/>
    <x v="2"/>
    <m/>
  </r>
  <r>
    <d v="2021-10-14T00:00:00"/>
    <x v="2"/>
    <x v="1"/>
    <x v="2"/>
    <n v="15008"/>
    <m/>
    <s v="Tiroir d'agitation"/>
    <s v="Palier endommagés"/>
    <s v="Réparation"/>
    <s v="Changement des paliers edommagés"/>
    <d v="2021-10-14T00:00:00"/>
    <m/>
    <n v="90"/>
    <x v="9"/>
    <x v="2"/>
    <m/>
  </r>
  <r>
    <d v="2021-10-14T00:00:00"/>
    <x v="4"/>
    <x v="0"/>
    <x v="4"/>
    <n v="15818"/>
    <m/>
    <s v="Rouleau d'avancement"/>
    <s v="Panne distributeur"/>
    <s v="Réparation"/>
    <s v="Révision du distributeur et mise en marche"/>
    <d v="2021-10-14T00:00:00"/>
    <m/>
    <n v="240"/>
    <x v="9"/>
    <x v="2"/>
    <m/>
  </r>
  <r>
    <d v="2021-10-15T00:00:00"/>
    <x v="13"/>
    <x v="0"/>
    <x v="13"/>
    <n v="15820"/>
    <m/>
    <s v="Guide fil"/>
    <s v="Galet usés"/>
    <s v="Réparation"/>
    <s v="Changement du galet usé"/>
    <d v="2021-10-15T00:00:00"/>
    <m/>
    <n v="180"/>
    <x v="9"/>
    <x v="2"/>
    <m/>
  </r>
  <r>
    <d v="2021-10-18T00:00:00"/>
    <x v="10"/>
    <x v="0"/>
    <x v="10"/>
    <n v="12336"/>
    <m/>
    <s v="Bobinoir"/>
    <s v="Conê de fixation endommagé"/>
    <s v="Réparation"/>
    <s v="Changement du cone de fixation"/>
    <d v="2021-10-18T00:00:00"/>
    <m/>
    <n v="120"/>
    <x v="9"/>
    <x v="2"/>
    <m/>
  </r>
  <r>
    <d v="2021-10-21T00:00:00"/>
    <x v="3"/>
    <x v="1"/>
    <x v="3"/>
    <n v="15789"/>
    <m/>
    <s v="Transbordeur"/>
    <s v="Pb sur frein transbordeur Vis endommagés"/>
    <s v="Réparation"/>
    <s v="Changement des vis endommagés"/>
    <d v="2021-10-21T00:00:00"/>
    <m/>
    <n v="120"/>
    <x v="9"/>
    <x v="2"/>
    <m/>
  </r>
  <r>
    <d v="2021-10-22T00:00:00"/>
    <x v="2"/>
    <x v="1"/>
    <x v="2"/>
    <n v="15935"/>
    <m/>
    <s v="Malaxeur"/>
    <s v="Panne electrique"/>
    <s v="Réparation"/>
    <s v="Changement de deux contacteur usés"/>
    <d v="2021-10-22T00:00:00"/>
    <m/>
    <n v="120"/>
    <x v="9"/>
    <x v="2"/>
    <m/>
  </r>
  <r>
    <d v="2021-10-23T00:00:00"/>
    <x v="5"/>
    <x v="2"/>
    <x v="5"/>
    <n v="15858"/>
    <m/>
    <s v="Silo à ciment"/>
    <s v="PB sur vis à ciment"/>
    <s v="Réparation"/>
    <s v="Déblocage de la trappe et mise en marche"/>
    <d v="2021-10-23T00:00:00"/>
    <m/>
    <n v="60"/>
    <x v="9"/>
    <x v="2"/>
    <m/>
  </r>
  <r>
    <d v="2021-10-23T00:00:00"/>
    <x v="11"/>
    <x v="0"/>
    <x v="11"/>
    <n v="14959"/>
    <m/>
    <s v="Bobinoir"/>
    <s v="Relais endommagé "/>
    <s v="Réparation"/>
    <s v="Changement du relais electromécanique usé"/>
    <d v="2021-10-23T00:00:00"/>
    <m/>
    <n v="120"/>
    <x v="9"/>
    <x v="2"/>
    <m/>
  </r>
  <r>
    <d v="2021-10-23T00:00:00"/>
    <x v="1"/>
    <x v="0"/>
    <x v="1"/>
    <n v="14960"/>
    <m/>
    <s v="cabestan"/>
    <s v="Panne variateur"/>
    <s v="Réparation"/>
    <s v="Ventilateur endommagé / changement du ventilateur et mise en marche"/>
    <d v="2021-10-23T00:00:00"/>
    <m/>
    <n v="150"/>
    <x v="9"/>
    <x v="2"/>
    <m/>
  </r>
  <r>
    <d v="2021-10-23T00:00:00"/>
    <x v="4"/>
    <x v="0"/>
    <x v="4"/>
    <n v="15824"/>
    <m/>
    <s v="Bloc de soudage"/>
    <s v="Axe plongeur endommagé"/>
    <s v="Réparation"/>
    <s v="Changement d''un axe plongeur endommagé"/>
    <d v="2021-10-23T00:00:00"/>
    <m/>
    <m/>
    <x v="9"/>
    <x v="2"/>
    <m/>
  </r>
  <r>
    <d v="2021-10-23T00:00:00"/>
    <x v="4"/>
    <x v="0"/>
    <x v="4"/>
    <n v="25808"/>
    <m/>
    <s v="panne d'une axe de plongeur"/>
    <s v="l'axe usure"/>
    <s v="reparation"/>
    <s v="chongement d'une axe de plangeur"/>
    <d v="2021-10-23T00:00:00"/>
    <m/>
    <n v="180"/>
    <x v="9"/>
    <x v="2"/>
    <m/>
  </r>
  <r>
    <d v="2021-10-25T00:00:00"/>
    <x v="2"/>
    <x v="1"/>
    <x v="2"/>
    <n v="15944"/>
    <m/>
    <s v="Pince"/>
    <s v="Cable electrique endommagé"/>
    <s v="Réparation"/>
    <s v="Changement du cable endommagé"/>
    <d v="2021-10-25T00:00:00"/>
    <m/>
    <n v="480"/>
    <x v="9"/>
    <x v="2"/>
    <m/>
  </r>
  <r>
    <d v="2021-10-25T00:00:00"/>
    <x v="2"/>
    <x v="1"/>
    <x v="2"/>
    <n v="25959"/>
    <m/>
    <s v="panne electrique "/>
    <m/>
    <s v="reparation "/>
    <s v="chongement de cable elctrique du pince "/>
    <d v="2021-10-25T00:00:00"/>
    <m/>
    <n v="180"/>
    <x v="9"/>
    <x v="2"/>
    <m/>
  </r>
  <r>
    <d v="2021-10-25T00:00:00"/>
    <x v="7"/>
    <x v="0"/>
    <x v="7"/>
    <n v="25802"/>
    <m/>
    <s v="probleme du verin de roulement l'avance "/>
    <s v="verin endammagé "/>
    <s v="reparation "/>
    <s v="chongement verin"/>
    <d v="2021-10-28T00:00:00"/>
    <m/>
    <n v="120"/>
    <x v="9"/>
    <x v="2"/>
    <m/>
  </r>
  <r>
    <d v="2021-10-26T00:00:00"/>
    <x v="5"/>
    <x v="2"/>
    <x v="5"/>
    <n v="15860"/>
    <m/>
    <s v="Malaxeur"/>
    <s v="Balance de dosage ciment endomagée"/>
    <s v="Réparation"/>
    <s v="réparation de la balance + vidange malaxeur"/>
    <d v="2021-10-26T00:00:00"/>
    <m/>
    <n v="240"/>
    <x v="9"/>
    <x v="2"/>
    <m/>
  </r>
  <r>
    <d v="2021-10-26T00:00:00"/>
    <x v="3"/>
    <x v="1"/>
    <x v="3"/>
    <n v="25851"/>
    <m/>
    <s v="Table vibrante"/>
    <s v="Moteur vibreur endommagé"/>
    <s v="Réparation"/>
    <s v="Montage d'un moteur réparé / rebobinage de l'ancien"/>
    <d v="2021-10-26T00:00:00"/>
    <m/>
    <n v="150"/>
    <x v="9"/>
    <x v="2"/>
    <m/>
  </r>
  <r>
    <d v="2021-10-28T00:00:00"/>
    <x v="2"/>
    <x v="1"/>
    <x v="2"/>
    <n v="15945"/>
    <m/>
    <s v="Tiroir d'agitation"/>
    <s v="Cadre glissant usé"/>
    <s v="Réparation"/>
    <s v="Soudage de la parite endommagée"/>
    <d v="2021-10-28T00:00:00"/>
    <m/>
    <n v="120"/>
    <x v="9"/>
    <x v="2"/>
    <m/>
  </r>
  <r>
    <d v="2021-10-28T00:00:00"/>
    <x v="2"/>
    <x v="1"/>
    <x v="2"/>
    <n v="15946"/>
    <m/>
    <s v="Pince"/>
    <s v="Photocellule endommagée"/>
    <s v="Réparation"/>
    <s v="Elimination d'un mauvais contact"/>
    <d v="2021-10-28T00:00:00"/>
    <m/>
    <n v="60"/>
    <x v="9"/>
    <x v="2"/>
    <m/>
  </r>
  <r>
    <d v="2021-10-28T00:00:00"/>
    <x v="0"/>
    <x v="0"/>
    <x v="0"/>
    <n v="15830"/>
    <m/>
    <s v="Armoire de commande"/>
    <s v="Coupleur de profibus HS"/>
    <s v="Réparation"/>
    <s v="Changement du coupleur de profibus WAGO"/>
    <d v="2021-10-28T00:00:00"/>
    <s v="DA réalisé pour alimenter le stock de sécurité_x000a_Pièce toujours indisponible sur le marché"/>
    <n v="480"/>
    <x v="9"/>
    <x v="2"/>
    <m/>
  </r>
  <r>
    <d v="2021-10-29T00:00:00"/>
    <x v="3"/>
    <x v="1"/>
    <x v="3"/>
    <n v="16154"/>
    <m/>
    <s v="Fosse"/>
    <s v="Réducteur tapis peseur endommagé"/>
    <s v="Réparation "/>
    <s v="hangement des roulements du réducteur et mise en marche"/>
    <d v="2021-10-29T00:00:00"/>
    <m/>
    <n v="240"/>
    <x v="9"/>
    <x v="2"/>
    <m/>
  </r>
  <r>
    <d v="2021-10-30T00:00:00"/>
    <x v="2"/>
    <x v="1"/>
    <x v="2"/>
    <n v="15947"/>
    <m/>
    <s v="Tiroir d'agitation"/>
    <s v="Arbre galet endommagé"/>
    <s v="Réparation"/>
    <s v="Changement de l'arbre et du galet endommagé"/>
    <d v="2021-10-30T00:00:00"/>
    <m/>
    <n v="180"/>
    <x v="9"/>
    <x v="2"/>
    <m/>
  </r>
  <r>
    <d v="2021-10-31T00:00:00"/>
    <x v="3"/>
    <x v="1"/>
    <x v="3"/>
    <n v="25812"/>
    <m/>
    <s v="preventif sur le tirrior d'agitation "/>
    <s v="usure sur bras + bielle"/>
    <s v="reparation "/>
    <s v="chongement des bras d'agitation _x000a_chongement bielle d'agitation _x000a_ dressage de les grille _x000a_mise en mareche du système "/>
    <d v="2021-10-31T00:00:00"/>
    <m/>
    <n v="420"/>
    <x v="9"/>
    <x v="2"/>
    <m/>
  </r>
  <r>
    <d v="2021-11-01T00:00:00"/>
    <x v="24"/>
    <x v="4"/>
    <x v="24"/>
    <n v="25951"/>
    <m/>
    <s v="Chariot"/>
    <s v="Pb de commande"/>
    <s v="Réparation"/>
    <s v="Changement d'un boutton endommagé"/>
    <d v="2021-11-01T00:00:00"/>
    <m/>
    <n v="60"/>
    <x v="10"/>
    <x v="2"/>
    <m/>
  </r>
  <r>
    <d v="2021-11-01T00:00:00"/>
    <x v="10"/>
    <x v="0"/>
    <x v="10"/>
    <n v="25903"/>
    <m/>
    <s v="Cassette 08"/>
    <s v="Entretien cassette"/>
    <s v="Réparation"/>
    <s v="Changement de deux roulements 32008 _x000a_Zoomage des galets crantés"/>
    <d v="2021-11-01T00:00:00"/>
    <m/>
    <n v="90"/>
    <x v="10"/>
    <x v="2"/>
    <m/>
  </r>
  <r>
    <d v="2021-11-01T00:00:00"/>
    <x v="20"/>
    <x v="0"/>
    <x v="20"/>
    <n v="25904"/>
    <m/>
    <s v="Cabestan n2"/>
    <s v="Surface usée"/>
    <s v="Réparation"/>
    <s v="Chargement de surface à la soudure"/>
    <d v="2021-11-01T00:00:00"/>
    <m/>
    <n v="180"/>
    <x v="10"/>
    <x v="2"/>
    <m/>
  </r>
  <r>
    <d v="2021-11-01T00:00:00"/>
    <x v="10"/>
    <x v="0"/>
    <x v="10"/>
    <n v="25905"/>
    <m/>
    <s v="Tir fil"/>
    <s v="Galet de redressement usé"/>
    <s v="Réparation"/>
    <s v="Changement d'un galet  avec axe de rotation"/>
    <d v="2021-11-01T00:00:00"/>
    <m/>
    <n v="60"/>
    <x v="10"/>
    <x v="2"/>
    <m/>
  </r>
  <r>
    <d v="2021-11-01T00:00:00"/>
    <x v="0"/>
    <x v="0"/>
    <x v="0"/>
    <n v="25806"/>
    <m/>
    <s v="Presse de soudage"/>
    <s v="Jeu au niveau du support de porte electrode"/>
    <s v="Réparation"/>
    <s v="Changement d'une vis M10x30"/>
    <d v="2021-11-01T00:00:00"/>
    <m/>
    <n v="120"/>
    <x v="10"/>
    <x v="2"/>
    <m/>
  </r>
  <r>
    <d v="2021-11-01T00:00:00"/>
    <x v="1"/>
    <x v="0"/>
    <x v="1"/>
    <s v="NS"/>
    <m/>
    <s v="Cabestan n*4"/>
    <s v="Réparation variateur"/>
    <s v="Réparation"/>
    <s v="Entretien chez Cielece"/>
    <d v="2021-11-27T00:00:00"/>
    <m/>
    <n v="9600"/>
    <x v="10"/>
    <x v="2"/>
    <m/>
  </r>
  <r>
    <d v="2021-11-01T00:00:00"/>
    <x v="16"/>
    <x v="0"/>
    <x v="16"/>
    <s v="NS"/>
    <m/>
    <s v="Verins amortisseur"/>
    <s v="Indisponible sur le marché"/>
    <s v="Réparation"/>
    <s v="Prêt de chez Karkachi"/>
    <d v="2021-11-17T00:00:00"/>
    <m/>
    <n v="5760"/>
    <x v="10"/>
    <x v="2"/>
    <m/>
  </r>
  <r>
    <d v="2021-11-01T00:00:00"/>
    <x v="24"/>
    <x v="4"/>
    <x v="24"/>
    <n v="25951"/>
    <m/>
    <s v="panne electrique "/>
    <s v="chariot  ne pas mareche "/>
    <s v="reparation "/>
    <s v="chongement de "/>
    <d v="2021-11-01T00:00:00"/>
    <m/>
    <n v="30"/>
    <x v="10"/>
    <x v="2"/>
    <m/>
  </r>
  <r>
    <d v="2021-11-01T00:00:00"/>
    <x v="0"/>
    <x v="0"/>
    <x v="0"/>
    <n v="25751"/>
    <m/>
    <s v="besoir en electrodes de soudage "/>
    <s v="usure de la surface de electrode de soudage "/>
    <s v="reparation "/>
    <s v="rectification à la surface "/>
    <d v="2021-11-01T00:00:00"/>
    <m/>
    <n v="90"/>
    <x v="10"/>
    <x v="2"/>
    <m/>
  </r>
  <r>
    <d v="2021-11-01T00:00:00"/>
    <x v="23"/>
    <x v="4"/>
    <x v="23"/>
    <n v="25752"/>
    <m/>
    <s v="panne boton possoir "/>
    <s v=" boton possoir "/>
    <s v="reparation "/>
    <s v="chongement la boton possoir "/>
    <d v="2021-11-01T00:00:00"/>
    <m/>
    <n v="15"/>
    <x v="10"/>
    <x v="2"/>
    <m/>
  </r>
  <r>
    <d v="2021-11-01T00:00:00"/>
    <x v="10"/>
    <x v="0"/>
    <x v="10"/>
    <n v="25759"/>
    <m/>
    <s v="reparation d'éclairage "/>
    <s v="des monter la projecteur "/>
    <s v="reparation "/>
    <s v="chongement la mourceur et tronsfomateur"/>
    <d v="2021-11-01T00:00:00"/>
    <m/>
    <n v="20"/>
    <x v="10"/>
    <x v="2"/>
    <m/>
  </r>
  <r>
    <d v="2021-11-01T00:00:00"/>
    <x v="0"/>
    <x v="0"/>
    <x v="0"/>
    <n v="25806"/>
    <m/>
    <s v="panne de prece de soudage "/>
    <s v="le vis usure"/>
    <s v="reparatin "/>
    <s v="chongement les vis M10*30"/>
    <d v="2021-11-01T00:00:00"/>
    <m/>
    <n v="120"/>
    <x v="10"/>
    <x v="2"/>
    <m/>
  </r>
  <r>
    <d v="2021-11-02T00:00:00"/>
    <x v="2"/>
    <x v="1"/>
    <x v="2"/>
    <n v="25852"/>
    <m/>
    <s v="Cercleuse"/>
    <s v="Lame de soudage endommagée"/>
    <s v="Réparation"/>
    <s v="démontage du mecanisme / Changement des résistances et remise en marche"/>
    <d v="2021-11-02T00:00:00"/>
    <m/>
    <n v="120"/>
    <x v="10"/>
    <x v="2"/>
    <m/>
  </r>
  <r>
    <d v="2021-11-02T00:00:00"/>
    <x v="20"/>
    <x v="0"/>
    <x v="20"/>
    <n v="25952"/>
    <m/>
    <s v="Savonniere"/>
    <s v="Surcharge moteur"/>
    <s v="Réparation"/>
    <s v="Mise en place d'un moteur plus robuste en attendant arrivée d'un réducteur neuf"/>
    <d v="2021-11-02T00:00:00"/>
    <m/>
    <n v="1920"/>
    <x v="10"/>
    <x v="2"/>
    <m/>
  </r>
  <r>
    <d v="2021-11-02T00:00:00"/>
    <x v="10"/>
    <x v="0"/>
    <x v="10"/>
    <n v="25804"/>
    <m/>
    <s v="Bobinoir"/>
    <s v="boulons de fixation endommagés"/>
    <s v="Réparation"/>
    <s v="Changement des boulons endommégs"/>
    <d v="2021-11-02T00:00:00"/>
    <m/>
    <n v="240"/>
    <x v="10"/>
    <x v="2"/>
    <m/>
  </r>
  <r>
    <d v="2021-11-02T00:00:00"/>
    <x v="20"/>
    <x v="0"/>
    <x v="20"/>
    <n v="25952"/>
    <m/>
    <s v="panne electrique "/>
    <s v="sur charege  moteur savanor "/>
    <s v="reparation "/>
    <s v="chongement de moteur "/>
    <d v="2021-11-02T00:00:00"/>
    <m/>
    <n v="180"/>
    <x v="10"/>
    <x v="2"/>
    <m/>
  </r>
  <r>
    <d v="2021-11-02T00:00:00"/>
    <x v="25"/>
    <x v="0"/>
    <x v="25"/>
    <n v="25954"/>
    <m/>
    <s v="panne comteur "/>
    <s v="comteur n'est pas en mareche "/>
    <s v="reparation "/>
    <s v="reparation de comteur _x000a_branchement et remis en marche "/>
    <d v="2021-11-02T00:00:00"/>
    <m/>
    <n v="90"/>
    <x v="10"/>
    <x v="2"/>
    <m/>
  </r>
  <r>
    <d v="2021-11-02T00:00:00"/>
    <x v="13"/>
    <x v="0"/>
    <x v="13"/>
    <n v="25753"/>
    <m/>
    <s v="panne du guide fille "/>
    <s v="panne  couse "/>
    <s v="reparatin"/>
    <s v="percé , taroude et remis  demarrage "/>
    <d v="2021-11-02T00:00:00"/>
    <m/>
    <n v="30"/>
    <x v="10"/>
    <x v="2"/>
    <m/>
  </r>
  <r>
    <d v="2021-11-02T00:00:00"/>
    <x v="20"/>
    <x v="0"/>
    <x v="20"/>
    <n v="25760"/>
    <m/>
    <s v="panne savonnir ( moteur + redecteur )"/>
    <s v="les roulements de redecteur "/>
    <s v="reparation "/>
    <s v="chongement de redecteur + rementage le moteur "/>
    <d v="2021-11-02T00:00:00"/>
    <m/>
    <n v="30"/>
    <x v="10"/>
    <x v="2"/>
    <m/>
  </r>
  <r>
    <d v="2021-11-02T00:00:00"/>
    <x v="10"/>
    <x v="0"/>
    <x v="10"/>
    <n v="25804"/>
    <m/>
    <s v="panne bobinair"/>
    <s v="desserrage des vis "/>
    <s v="reparation"/>
    <s v="chongement des vis "/>
    <d v="2021-11-02T00:00:00"/>
    <m/>
    <n v="240"/>
    <x v="10"/>
    <x v="2"/>
    <m/>
  </r>
  <r>
    <d v="2021-11-03T00:00:00"/>
    <x v="11"/>
    <x v="0"/>
    <x v="11"/>
    <n v="25907"/>
    <m/>
    <s v="Chariot guide fil"/>
    <s v="Chariot guide fil usé"/>
    <s v="Réparation"/>
    <s v="Changement d'un chariot guide fil"/>
    <d v="2021-11-03T00:00:00"/>
    <m/>
    <n v="45"/>
    <x v="10"/>
    <x v="2"/>
    <m/>
  </r>
  <r>
    <d v="2021-11-03T00:00:00"/>
    <x v="26"/>
    <x v="0"/>
    <x v="26"/>
    <n v="25815"/>
    <m/>
    <s v="Circuit pneumatique"/>
    <s v="défaut circuit de retour de pression"/>
    <s v="Réparation"/>
    <s v="Elimination des fuites et entretien des distributeurs"/>
    <d v="2021-11-03T00:00:00"/>
    <m/>
    <n v="180"/>
    <x v="10"/>
    <x v="2"/>
    <m/>
  </r>
  <r>
    <d v="2021-11-03T00:00:00"/>
    <x v="26"/>
    <x v="0"/>
    <x v="26"/>
    <n v="25815"/>
    <m/>
    <s v="panne circuit pneumatique"/>
    <s v="fuite l'air distributeur "/>
    <s v="reparation "/>
    <s v="arrets fuite de l'air _x000a_ chongement des joins torique "/>
    <d v="2021-11-03T00:00:00"/>
    <m/>
    <n v="180"/>
    <x v="10"/>
    <x v="2"/>
    <m/>
  </r>
  <r>
    <d v="2021-11-04T00:00:00"/>
    <x v="20"/>
    <x v="0"/>
    <x v="20"/>
    <n v="25908"/>
    <m/>
    <s v="Cassette 3,2"/>
    <s v="Roulements usés"/>
    <s v="Réparation"/>
    <s v="Changement de deux roulements 32008"/>
    <d v="2021-01-04T00:00:00"/>
    <m/>
    <m/>
    <x v="0"/>
    <x v="2"/>
    <m/>
  </r>
  <r>
    <d v="2021-11-04T00:00:00"/>
    <x v="10"/>
    <x v="0"/>
    <x v="10"/>
    <n v="25910"/>
    <m/>
    <s v="Bobinoir"/>
    <s v="Boulons de fixation du pignon d'attaque endommagé"/>
    <s v="Réparation"/>
    <s v="Extraction des vis endommagés Changement des boulons et fixation du pignon d'attaque"/>
    <d v="2021-11-04T00:00:00"/>
    <m/>
    <n v="180"/>
    <x v="10"/>
    <x v="2"/>
    <m/>
  </r>
  <r>
    <d v="2021-11-04T00:00:00"/>
    <x v="34"/>
    <x v="0"/>
    <x v="34"/>
    <n v="25805"/>
    <m/>
    <s v="Cisaille"/>
    <s v="Garniture d'embrayage usé"/>
    <s v="Réparation"/>
    <s v="Changement du disque d'embrayage"/>
    <d v="2021-11-04T00:00:00"/>
    <m/>
    <n v="240"/>
    <x v="10"/>
    <x v="2"/>
    <m/>
  </r>
  <r>
    <d v="2021-11-04T00:00:00"/>
    <x v="34"/>
    <x v="0"/>
    <x v="34"/>
    <n v="25805"/>
    <m/>
    <s v="panne du d'embriage "/>
    <s v="usure garnitur"/>
    <s v="reparation "/>
    <s v="chongement disque d'embriage"/>
    <d v="2021-11-04T00:00:00"/>
    <m/>
    <n v="240"/>
    <x v="10"/>
    <x v="2"/>
    <m/>
  </r>
  <r>
    <d v="2021-11-05T00:00:00"/>
    <x v="4"/>
    <x v="0"/>
    <x v="4"/>
    <n v="25814"/>
    <m/>
    <s v="entretien de machain "/>
    <s v="de transformateur "/>
    <s v="reparation "/>
    <s v="chongement de transformateur "/>
    <d v="2021-11-05T00:00:00"/>
    <m/>
    <n v="240"/>
    <x v="10"/>
    <x v="2"/>
    <m/>
  </r>
  <r>
    <d v="2021-11-06T00:00:00"/>
    <x v="3"/>
    <x v="1"/>
    <x v="3"/>
    <n v="25853"/>
    <m/>
    <s v="Cercleuse"/>
    <s v="PB sur guide feuillard"/>
    <s v="Réparation"/>
    <s v="dressage du profilé du guide et ajustage d'alignement"/>
    <d v="2021-11-06T00:00:00"/>
    <m/>
    <n v="40"/>
    <x v="10"/>
    <x v="2"/>
    <m/>
  </r>
  <r>
    <d v="2021-11-06T00:00:00"/>
    <x v="20"/>
    <x v="0"/>
    <x v="20"/>
    <n v="25911"/>
    <m/>
    <s v="Guide fil"/>
    <s v="Poulies duides fils endommagés"/>
    <s v="Réparation "/>
    <s v="chargement à la soudure + répatation de la cassette 3,8L"/>
    <d v="2021-11-06T00:00:00"/>
    <m/>
    <n v="180"/>
    <x v="10"/>
    <x v="2"/>
    <m/>
  </r>
  <r>
    <d v="2021-11-07T00:00:00"/>
    <x v="4"/>
    <x v="0"/>
    <x v="4"/>
    <n v="25819"/>
    <m/>
    <s v="panne de pousse fils dispositif d'éjection "/>
    <s v="la came dérgler "/>
    <s v="reparation "/>
    <s v="reglage dispositif d'éjection de fil "/>
    <d v="2021-11-07T00:00:00"/>
    <m/>
    <n v="120"/>
    <x v="10"/>
    <x v="2"/>
    <m/>
  </r>
  <r>
    <d v="2021-11-08T00:00:00"/>
    <x v="2"/>
    <x v="1"/>
    <x v="2"/>
    <n v="25854"/>
    <m/>
    <s v="Convoyeur Agrégats"/>
    <s v="Courroies A58 endommagées"/>
    <s v="Réparation"/>
    <s v="Changement des courroies A58 Qté 5"/>
    <d v="2021-11-08T00:00:00"/>
    <m/>
    <n v="40"/>
    <x v="10"/>
    <x v="2"/>
    <m/>
  </r>
  <r>
    <d v="2021-11-08T00:00:00"/>
    <x v="2"/>
    <x v="1"/>
    <x v="2"/>
    <n v="25855"/>
    <m/>
    <s v="Transbordeur"/>
    <s v="Réducteurs endommagés"/>
    <s v="Réparation"/>
    <s v="Changement des pignons du réducteur"/>
    <d v="2021-11-08T00:00:00"/>
    <s v="DA Réalisé pour achat réducteur neuf_x000a_Réducteur indisponible pour le moment sur le marché_x000a_Consultations en cours"/>
    <n v="360"/>
    <x v="10"/>
    <x v="2"/>
    <m/>
  </r>
  <r>
    <d v="2021-11-08T00:00:00"/>
    <x v="20"/>
    <x v="0"/>
    <x v="20"/>
    <n v="25912"/>
    <m/>
    <s v="Cassette 4,8L"/>
    <s v="Galets et roulements usés"/>
    <s v="Réparation"/>
    <s v="Changement de trois galets + 12 roulement 32008"/>
    <d v="2021-11-08T00:00:00"/>
    <m/>
    <m/>
    <x v="10"/>
    <x v="2"/>
    <m/>
  </r>
  <r>
    <d v="2021-11-08T00:00:00"/>
    <x v="10"/>
    <x v="0"/>
    <x v="10"/>
    <n v="25913"/>
    <m/>
    <s v="Cassette pr8"/>
    <s v="Roulements endommagés"/>
    <s v="Réparation"/>
    <s v="Changement de 6 roulements 32008"/>
    <d v="2021-11-08T00:00:00"/>
    <m/>
    <m/>
    <x v="10"/>
    <x v="2"/>
    <m/>
  </r>
  <r>
    <d v="2021-11-09T00:00:00"/>
    <x v="8"/>
    <x v="4"/>
    <x v="8"/>
    <n v="25955"/>
    <m/>
    <s v="Commande"/>
    <s v="Cable de commande endommagé"/>
    <s v="Réparation"/>
    <s v="Changement du fil endommagé"/>
    <d v="2021-11-09T00:00:00"/>
    <m/>
    <n v="45"/>
    <x v="10"/>
    <x v="2"/>
    <m/>
  </r>
  <r>
    <d v="2021-11-09T00:00:00"/>
    <x v="8"/>
    <x v="4"/>
    <x v="8"/>
    <n v="25955"/>
    <m/>
    <s v="panne sur cable electrique "/>
    <s v="cable electrique de commande rupture "/>
    <s v="reparation "/>
    <s v="chongement des fils rupture par un autre "/>
    <d v="2021-11-09T00:00:00"/>
    <m/>
    <n v="45"/>
    <x v="10"/>
    <x v="2"/>
    <m/>
  </r>
  <r>
    <d v="2021-11-09T00:00:00"/>
    <x v="3"/>
    <x v="1"/>
    <x v="3"/>
    <n v="25956"/>
    <m/>
    <s v="panne sur moteur transporteur "/>
    <s v="vis de frin cassé "/>
    <s v="reparation "/>
    <s v="chongement du vis cassé et reglage de l'eutre vis "/>
    <d v="2021-11-09T00:00:00"/>
    <m/>
    <n v="120"/>
    <x v="10"/>
    <x v="2"/>
    <m/>
  </r>
  <r>
    <d v="2021-11-10T00:00:00"/>
    <x v="3"/>
    <x v="1"/>
    <x v="3"/>
    <n v="25856"/>
    <m/>
    <s v="Descenseur"/>
    <s v="Rupture de la chaine de transmission"/>
    <s v="Réparation"/>
    <s v="Réparation de la chaine et remise en marche"/>
    <d v="2021-11-10T00:00:00"/>
    <m/>
    <n v="60"/>
    <x v="10"/>
    <x v="2"/>
    <m/>
  </r>
  <r>
    <d v="2021-11-10T00:00:00"/>
    <x v="2"/>
    <x v="1"/>
    <x v="2"/>
    <n v="25857"/>
    <m/>
    <s v="Silo 7"/>
    <s v="Filtres supérieur colematés"/>
    <s v="Réparation"/>
    <s v="Elimination d'une cartouche et nettoyage de la soupape de sécurité"/>
    <d v="2021-11-10T00:00:00"/>
    <s v="DA pour cartouches neuves réalisée_x000a_Consultation en cours ( 1 devis ) "/>
    <n v="180"/>
    <x v="10"/>
    <x v="2"/>
    <m/>
  </r>
  <r>
    <d v="2021-11-10T00:00:00"/>
    <x v="3"/>
    <x v="1"/>
    <x v="3"/>
    <n v="25858"/>
    <m/>
    <s v="Sortie presse"/>
    <s v="Courroie thermosoudable usée "/>
    <s v="Réparation"/>
    <s v="soudage de deux courroies thermosoudable"/>
    <d v="2021-11-10T00:00:00"/>
    <m/>
    <n v="40"/>
    <x v="10"/>
    <x v="2"/>
    <m/>
  </r>
  <r>
    <d v="2021-11-10T00:00:00"/>
    <x v="2"/>
    <x v="1"/>
    <x v="2"/>
    <n v="25859"/>
    <m/>
    <s v="Skip"/>
    <s v="Cable endommagé"/>
    <s v="Réparation"/>
    <s v="Changement du cable antigiratoire du skip"/>
    <d v="2021-11-10T00:00:00"/>
    <s v="Suivie continu du magasin pour la réalimentation du  stock de câbles antigiratoires"/>
    <n v="90"/>
    <x v="10"/>
    <x v="2"/>
    <s v="R"/>
  </r>
  <r>
    <d v="2021-11-10T00:00:00"/>
    <x v="4"/>
    <x v="0"/>
    <x v="4"/>
    <n v="25807"/>
    <m/>
    <s v="Cisaille"/>
    <s v="Dispositif de coupe usé"/>
    <s v="Réparation"/>
    <s v="Changement des vis et soudage de la partie endommagé"/>
    <d v="2021-11-10T00:00:00"/>
    <m/>
    <n v="240"/>
    <x v="10"/>
    <x v="2"/>
    <m/>
  </r>
  <r>
    <d v="2021-11-10T00:00:00"/>
    <x v="3"/>
    <x v="1"/>
    <x v="3"/>
    <n v="25957"/>
    <m/>
    <s v="panne sur pince "/>
    <s v="machain ne bougent pas _x000a_rupteur sur cable electrique "/>
    <s v="reparation "/>
    <s v="chongement  du cable electrique "/>
    <d v="2021-11-10T00:00:00"/>
    <m/>
    <n v="125"/>
    <x v="10"/>
    <x v="2"/>
    <m/>
  </r>
  <r>
    <d v="2021-11-10T00:00:00"/>
    <x v="26"/>
    <x v="0"/>
    <x v="26"/>
    <n v="25754"/>
    <m/>
    <s v="panne hydraulique "/>
    <s v="probleme du flexible d'lui le pince "/>
    <s v="reparation "/>
    <s v="chongement du flexible "/>
    <d v="2021-11-10T00:00:00"/>
    <m/>
    <n v="30"/>
    <x v="10"/>
    <x v="2"/>
    <m/>
  </r>
  <r>
    <d v="2021-11-10T00:00:00"/>
    <x v="13"/>
    <x v="0"/>
    <x v="13"/>
    <n v="25755"/>
    <m/>
    <s v="panne du guid rile "/>
    <s v="guide rile casse "/>
    <s v="reparation"/>
    <s v="imentage guide rile et soudage rementage "/>
    <d v="2021-11-10T00:00:00"/>
    <m/>
    <n v="60"/>
    <x v="10"/>
    <x v="2"/>
    <m/>
  </r>
  <r>
    <d v="2021-11-10T00:00:00"/>
    <x v="4"/>
    <x v="0"/>
    <x v="4"/>
    <n v="25807"/>
    <m/>
    <s v="panne de disboutiv de coupe "/>
    <s v="soudage disboutiv"/>
    <s v="reparation"/>
    <s v="chongement les vis et soudage "/>
    <d v="2021-11-10T00:00:00"/>
    <m/>
    <n v="60"/>
    <x v="10"/>
    <x v="2"/>
    <m/>
  </r>
  <r>
    <d v="2021-11-10T00:00:00"/>
    <x v="28"/>
    <x v="0"/>
    <x v="28"/>
    <n v="25813"/>
    <m/>
    <s v="panne electrique "/>
    <s v="moteur "/>
    <s v="reparation"/>
    <s v="reglage vitesse moteur hydraulique _x000a_foubage fiche electrique "/>
    <d v="2021-11-10T00:00:00"/>
    <m/>
    <n v="120"/>
    <x v="10"/>
    <x v="2"/>
    <m/>
  </r>
  <r>
    <d v="2021-11-11T00:00:00"/>
    <x v="3"/>
    <x v="1"/>
    <x v="3"/>
    <n v="25958"/>
    <m/>
    <s v="porobleme sur pince "/>
    <s v="cable rupturé "/>
    <s v="reparation "/>
    <s v="chongement du cable electrique _x000a_remise en mareche du pince "/>
    <d v="2021-11-11T00:00:00"/>
    <m/>
    <n v="120"/>
    <x v="10"/>
    <x v="2"/>
    <m/>
  </r>
  <r>
    <d v="2021-11-11T00:00:00"/>
    <x v="4"/>
    <x v="0"/>
    <x v="4"/>
    <n v="25756"/>
    <m/>
    <s v="panne du roulement d'avance RR*R"/>
    <s v="coupé de la chaine "/>
    <s v="reparation "/>
    <s v="chongement la chaine B10"/>
    <d v="2021-11-11T00:00:00"/>
    <m/>
    <n v="20"/>
    <x v="10"/>
    <x v="2"/>
    <m/>
  </r>
  <r>
    <d v="2021-11-11T00:00:00"/>
    <x v="4"/>
    <x v="0"/>
    <x v="4"/>
    <n v="25757"/>
    <m/>
    <s v="panne pneumatique "/>
    <s v="fuite de l'air "/>
    <s v="reparation "/>
    <s v="chongement du tuyau "/>
    <d v="2021-11-11T00:00:00"/>
    <m/>
    <n v="30"/>
    <x v="10"/>
    <x v="2"/>
    <m/>
  </r>
  <r>
    <d v="2021-11-11T00:00:00"/>
    <x v="4"/>
    <x v="0"/>
    <x v="4"/>
    <n v="25758"/>
    <m/>
    <s v="panne de transprteur "/>
    <s v="cache de bansse de verin"/>
    <s v="reparation "/>
    <s v="remontage la case se verin"/>
    <d v="2021-11-11T00:00:00"/>
    <m/>
    <n v="20"/>
    <x v="10"/>
    <x v="2"/>
    <m/>
  </r>
  <r>
    <d v="2021-11-12T00:00:00"/>
    <x v="7"/>
    <x v="0"/>
    <x v="7"/>
    <n v="25822"/>
    <m/>
    <s v="probleme de moteur de rouleau d'avencement "/>
    <s v="moteur de rouleau dérègler "/>
    <s v="reparation "/>
    <s v="reglage le moteur et reparation "/>
    <d v="2021-11-12T00:00:00"/>
    <m/>
    <n v="120"/>
    <x v="10"/>
    <x v="2"/>
    <m/>
  </r>
  <r>
    <d v="2021-11-13T00:00:00"/>
    <x v="10"/>
    <x v="0"/>
    <x v="10"/>
    <n v="25917"/>
    <m/>
    <s v="Cassette d5"/>
    <s v="Panne cassette"/>
    <s v="Réparation"/>
    <s v="Changement d'un galet PR5 + 4 roulements 32008"/>
    <d v="2021-11-13T00:00:00"/>
    <m/>
    <m/>
    <x v="10"/>
    <x v="2"/>
    <m/>
  </r>
  <r>
    <d v="2021-11-13T00:00:00"/>
    <x v="20"/>
    <x v="0"/>
    <x v="20"/>
    <n v="25918"/>
    <m/>
    <s v="Groupe hydraulique"/>
    <s v="désaccouplement du moteur et de la pompe"/>
    <s v="Réparation"/>
    <s v="Fixation de la pompe et mise en marchea"/>
    <d v="2021-11-13T00:00:00"/>
    <m/>
    <n v="40"/>
    <x v="10"/>
    <x v="2"/>
    <m/>
  </r>
  <r>
    <d v="2021-11-15T00:00:00"/>
    <x v="4"/>
    <x v="0"/>
    <x v="4"/>
    <n v="25810"/>
    <m/>
    <s v="Bloc de soudage"/>
    <s v="Entretien du bloc de soudage"/>
    <s v="Réparation"/>
    <s v="Rectification de surface du boc de soudure / révision de tous les trous taraudés / Changement des axes plongeurs endommagés / Revision des isolation / révision du circuit de refroidissement / montage de deux transformateurs réparés"/>
    <d v="2021-11-19T00:00:00"/>
    <m/>
    <n v="1920"/>
    <x v="10"/>
    <x v="2"/>
    <m/>
  </r>
  <r>
    <d v="2021-11-15T00:00:00"/>
    <x v="10"/>
    <x v="0"/>
    <x v="10"/>
    <n v="25919"/>
    <m/>
    <s v="Cassette PR8"/>
    <s v="Roulements endommagés"/>
    <s v="Réparation"/>
    <s v="Changement de 6 roulements endommagés"/>
    <d v="2021-11-15T00:00:00"/>
    <m/>
    <m/>
    <x v="10"/>
    <x v="2"/>
    <m/>
  </r>
  <r>
    <d v="2021-11-15T00:00:00"/>
    <x v="18"/>
    <x v="4"/>
    <x v="18"/>
    <n v="25768"/>
    <m/>
    <s v="panne electrique "/>
    <s v="panne electrique en disjancteur "/>
    <s v="reparation "/>
    <s v="rairemé de disjancteur"/>
    <d v="2021-11-25T00:00:00"/>
    <m/>
    <n v="10"/>
    <x v="10"/>
    <x v="2"/>
    <m/>
  </r>
  <r>
    <d v="2021-11-15T00:00:00"/>
    <x v="4"/>
    <x v="0"/>
    <x v="4"/>
    <n v="25810"/>
    <m/>
    <s v="panne de transformateur et l'axe de blangeur"/>
    <s v="axe de blangeur et transformateur "/>
    <s v="reparation "/>
    <s v="chongement l'axe et tronsformateur "/>
    <d v="2021-11-15T00:00:00"/>
    <m/>
    <s v="4 jours "/>
    <x v="10"/>
    <x v="2"/>
    <m/>
  </r>
  <r>
    <d v="2021-11-16T00:00:00"/>
    <x v="2"/>
    <x v="1"/>
    <x v="2"/>
    <n v="25860"/>
    <m/>
    <s v="Machine"/>
    <s v="Entretien technicien Poyatos"/>
    <s v="Entretien"/>
    <s v=" - Montage de la table vibrante n°3 _x000a_- Changement des positions des tendeurs de courroies 2800 ( Ne plus confondre entre tendeur droit et tendeur gauche)_x000a_- Réparation de l'electrovanne proportionnelle de l'injecteur de planche_x000a_- Réglage de la vitesse seuil du variateur du transbordeur_x000a_- Réglage de la vitesse lente moyenne et rapide de l'injecteur de planche _x000a_- Entretien de la table vibrante n°1"/>
    <d v="2021-11-23T00:00:00"/>
    <s v="Prévoir entretien général du mécanisme de vibration de la novable pour Janvier 2021 (Date précise à convenir fin décembre"/>
    <n v="4800"/>
    <x v="10"/>
    <x v="2"/>
    <m/>
  </r>
  <r>
    <d v="2021-11-16T00:00:00"/>
    <x v="11"/>
    <x v="0"/>
    <x v="11"/>
    <n v="25920"/>
    <m/>
    <s v="Chariot"/>
    <s v="Chariot guide fil usé"/>
    <s v="Réparation"/>
    <s v="Changement du chariot confectionné"/>
    <d v="2021-11-16T00:00:00"/>
    <m/>
    <n v="60"/>
    <x v="10"/>
    <x v="2"/>
    <m/>
  </r>
  <r>
    <d v="2021-11-17T00:00:00"/>
    <x v="20"/>
    <x v="0"/>
    <x v="20"/>
    <n v="25921"/>
    <m/>
    <s v="Cabestan"/>
    <s v="Surface du cabestan usée"/>
    <s v="Réparation"/>
    <s v="Chargement de surface à la soudure"/>
    <d v="2021-11-17T00:00:00"/>
    <m/>
    <n v="90"/>
    <x v="10"/>
    <x v="2"/>
    <m/>
  </r>
  <r>
    <d v="2021-11-17T00:00:00"/>
    <x v="26"/>
    <x v="0"/>
    <x v="26"/>
    <n v="25823"/>
    <m/>
    <s v="panne mecanique (probleme isolaut porte electrode ) "/>
    <s v="isolaut porte electrod endommager "/>
    <s v="reparation "/>
    <s v="confection les calles baguellete suivenb modèle "/>
    <d v="2021-11-17T00:00:00"/>
    <m/>
    <n v="120"/>
    <x v="10"/>
    <x v="2"/>
    <m/>
  </r>
  <r>
    <d v="2021-11-18T00:00:00"/>
    <x v="2"/>
    <x v="1"/>
    <x v="2"/>
    <m/>
    <m/>
    <s v="Skip"/>
    <s v="Echeance vidange"/>
    <s v="Vidange"/>
    <s v="Vidange du reducteur du tambour du skip"/>
    <d v="2021-11-18T00:00:00"/>
    <m/>
    <n v="60"/>
    <x v="10"/>
    <x v="2"/>
    <m/>
  </r>
  <r>
    <d v="2021-11-19T00:00:00"/>
    <x v="10"/>
    <x v="0"/>
    <x v="10"/>
    <n v="25923"/>
    <m/>
    <s v="Cassette d6"/>
    <s v="Roulements endomagés"/>
    <s v="Réparation"/>
    <s v="Changement de deux roulement coniques 32008"/>
    <d v="2021-11-19T00:00:00"/>
    <m/>
    <m/>
    <x v="10"/>
    <x v="2"/>
    <m/>
  </r>
  <r>
    <d v="2021-11-19T00:00:00"/>
    <x v="7"/>
    <x v="0"/>
    <x v="7"/>
    <n v="25761"/>
    <m/>
    <s v="probleme de frin de dévidoire "/>
    <s v="cable dediectur"/>
    <s v="reparation "/>
    <s v="chongement des cables didiectur "/>
    <d v="2021-11-19T00:00:00"/>
    <m/>
    <n v="95"/>
    <x v="10"/>
    <x v="2"/>
    <m/>
  </r>
  <r>
    <d v="2021-11-20T00:00:00"/>
    <x v="3"/>
    <x v="1"/>
    <x v="3"/>
    <n v="25861"/>
    <m/>
    <s v="Fosse"/>
    <s v="Usure des tôles du convoyeur d'agrégats et tremies"/>
    <s v="Réparation"/>
    <s v="Entretien des tôles des tremies et et tôles du convoyeur à agrégats"/>
    <d v="2021-11-20T00:00:00"/>
    <m/>
    <n v="120"/>
    <x v="10"/>
    <x v="2"/>
    <m/>
  </r>
  <r>
    <d v="2021-11-20T00:00:00"/>
    <x v="11"/>
    <x v="0"/>
    <x v="11"/>
    <n v="25928"/>
    <m/>
    <s v="Cabestan"/>
    <s v="Surface cabestan usée / Circuit de refroidissement bouché"/>
    <s v="Réparation"/>
    <s v="Débouchage du circuit de refroidissement et chargement de surface"/>
    <d v="2021-11-21T00:00:00"/>
    <m/>
    <n v="480"/>
    <x v="10"/>
    <x v="2"/>
    <m/>
  </r>
  <r>
    <d v="2021-11-22T00:00:00"/>
    <x v="14"/>
    <x v="4"/>
    <x v="14"/>
    <n v="25964"/>
    <m/>
    <s v="panne electrique "/>
    <s v="manter ne pas marech"/>
    <s v="reparation "/>
    <s v="reparation des cables electrique "/>
    <d v="2021-11-22T00:00:00"/>
    <m/>
    <n v="45"/>
    <x v="10"/>
    <x v="2"/>
    <m/>
  </r>
  <r>
    <d v="2021-11-22T00:00:00"/>
    <x v="24"/>
    <x v="4"/>
    <x v="24"/>
    <n v="25965"/>
    <m/>
    <s v="panne ponts roulants electrique "/>
    <s v="moteur translation ne pas mareche_x000a_  cable electrique coupé "/>
    <s v="reparation "/>
    <s v="reparation cable electrique "/>
    <d v="2021-11-22T00:00:00"/>
    <m/>
    <n v="60"/>
    <x v="10"/>
    <x v="2"/>
    <m/>
  </r>
  <r>
    <d v="2021-11-23T00:00:00"/>
    <x v="3"/>
    <x v="1"/>
    <x v="3"/>
    <n v="25862"/>
    <m/>
    <s v="Cercleuse 08"/>
    <s v="Système de translation bloqué"/>
    <s v="Réparation"/>
    <s v="Démontage de la chaine / Demontage des galets de guidage / nettoyage / remontage et mise en marche"/>
    <d v="2021-11-23T00:00:00"/>
    <m/>
    <n v="120"/>
    <x v="10"/>
    <x v="2"/>
    <m/>
  </r>
  <r>
    <d v="2021-11-23T00:00:00"/>
    <x v="4"/>
    <x v="0"/>
    <x v="4"/>
    <n v="25762"/>
    <m/>
    <s v="panne du système d'avancer "/>
    <s v="usure des galeis "/>
    <s v="reparation "/>
    <s v="chongement des galeis "/>
    <d v="2021-11-23T00:00:00"/>
    <m/>
    <n v="20"/>
    <x v="10"/>
    <x v="2"/>
    <m/>
  </r>
  <r>
    <d v="2021-11-24T00:00:00"/>
    <x v="20"/>
    <x v="0"/>
    <x v="20"/>
    <n v="26001"/>
    <m/>
    <s v="Cabestan"/>
    <s v="Surface cabestan usée"/>
    <s v="Réparation"/>
    <s v="Démontage du cabestan et chargement de surface"/>
    <d v="2021-11-24T00:00:00"/>
    <m/>
    <n v="240"/>
    <x v="10"/>
    <x v="2"/>
    <m/>
  </r>
  <r>
    <d v="2021-11-24T00:00:00"/>
    <x v="20"/>
    <x v="0"/>
    <x v="20"/>
    <n v="26002"/>
    <m/>
    <s v="Cassette d3,2"/>
    <s v="Roulements endommagés"/>
    <s v="Réparation"/>
    <s v="Changement de 4 roulements endommagés + Zoomage cassette"/>
    <d v="2021-11-24T00:00:00"/>
    <m/>
    <m/>
    <x v="10"/>
    <x v="2"/>
    <m/>
  </r>
  <r>
    <d v="2021-11-24T00:00:00"/>
    <x v="10"/>
    <x v="0"/>
    <x v="10"/>
    <n v="25960"/>
    <m/>
    <s v="panne electrique "/>
    <s v="surcharege moteur thermique "/>
    <s v="reparation "/>
    <s v="reset   thermique disjancteur sanfflage moteur "/>
    <d v="2021-11-24T00:00:00"/>
    <m/>
    <n v="90"/>
    <x v="10"/>
    <x v="2"/>
    <m/>
  </r>
  <r>
    <d v="2021-11-25T00:00:00"/>
    <x v="3"/>
    <x v="1"/>
    <x v="3"/>
    <n v="25863"/>
    <m/>
    <s v="Tiroir d'agitation"/>
    <s v="Fissure sur la grille d'agitation"/>
    <s v="Réparation"/>
    <s v="Dressage et soudage de la partie fissurée"/>
    <d v="2021-11-25T00:00:00"/>
    <m/>
    <n v="60"/>
    <x v="10"/>
    <x v="2"/>
    <m/>
  </r>
  <r>
    <d v="2021-11-25T00:00:00"/>
    <x v="3"/>
    <x v="1"/>
    <x v="3"/>
    <n v="25864"/>
    <m/>
    <s v="Malaxeur"/>
    <s v="Usure de pale de pates "/>
    <s v="Réparation"/>
    <s v="Changement de deux pales de pates"/>
    <d v="2021-11-25T00:00:00"/>
    <m/>
    <n v="60"/>
    <x v="10"/>
    <x v="2"/>
    <m/>
  </r>
  <r>
    <d v="2021-11-25T00:00:00"/>
    <x v="20"/>
    <x v="0"/>
    <x v="20"/>
    <n v="26005"/>
    <m/>
    <s v="Cassette d4,6"/>
    <s v="Roulements endomagés"/>
    <s v="Réparation"/>
    <s v="Changement de 2 roulements 32008"/>
    <d v="2021-11-25T00:00:00"/>
    <m/>
    <n v="150"/>
    <x v="10"/>
    <x v="2"/>
    <m/>
  </r>
  <r>
    <d v="2021-11-25T00:00:00"/>
    <x v="20"/>
    <x v="0"/>
    <x v="20"/>
    <n v="26006"/>
    <m/>
    <s v="Porte de sécurité"/>
    <s v="Paumelles endommagés"/>
    <s v="Réparation"/>
    <m/>
    <d v="2021-11-25T00:00:00"/>
    <m/>
    <m/>
    <x v="10"/>
    <x v="2"/>
    <m/>
  </r>
  <r>
    <d v="2021-11-25T00:00:00"/>
    <x v="11"/>
    <x v="0"/>
    <x v="11"/>
    <n v="25961"/>
    <m/>
    <s v="echarege "/>
    <s v="projecteur ne pas alleme "/>
    <s v="reparation "/>
    <s v="chongement la lamp  chongement amorceur"/>
    <d v="2021-11-25T00:00:00"/>
    <m/>
    <n v="50"/>
    <x v="10"/>
    <x v="2"/>
    <m/>
  </r>
  <r>
    <d v="2021-11-25T00:00:00"/>
    <x v="11"/>
    <x v="0"/>
    <x v="11"/>
    <n v="25962"/>
    <m/>
    <s v="panne  electrique "/>
    <s v="cable electrique coupé "/>
    <s v="reparation "/>
    <s v="reparation des cables electrique "/>
    <d v="2021-11-25T00:00:00"/>
    <m/>
    <n v="30"/>
    <x v="10"/>
    <x v="2"/>
    <m/>
  </r>
  <r>
    <d v="2021-11-26T00:00:00"/>
    <x v="3"/>
    <x v="1"/>
    <x v="3"/>
    <n v="25865"/>
    <m/>
    <s v="Pince"/>
    <s v="Defaut de soudage"/>
    <s v="Réparation"/>
    <s v="dereglage de la pince de maintien"/>
    <d v="2021-11-26T00:00:00"/>
    <m/>
    <n v="40"/>
    <x v="10"/>
    <x v="2"/>
    <m/>
  </r>
  <r>
    <d v="2021-11-26T00:00:00"/>
    <x v="11"/>
    <x v="0"/>
    <x v="11"/>
    <n v="26004"/>
    <m/>
    <s v="Chariot guide fil"/>
    <s v="Chariot endommagé + Surface poulie usé"/>
    <s v="Réparation"/>
    <s v="Montage d'un nouveau chariot + Chargement de surface de la poulie"/>
    <d v="2021-11-26T00:00:00"/>
    <m/>
    <n v="120"/>
    <x v="10"/>
    <x v="2"/>
    <m/>
  </r>
  <r>
    <d v="2021-11-26T00:00:00"/>
    <x v="20"/>
    <x v="0"/>
    <x v="20"/>
    <n v="26007"/>
    <m/>
    <s v="Cercleuse"/>
    <s v="Couteau usé "/>
    <s v="Réparation"/>
    <s v="Affutage du couteau"/>
    <d v="2021-11-26T00:00:00"/>
    <m/>
    <m/>
    <x v="10"/>
    <x v="2"/>
    <m/>
  </r>
  <r>
    <d v="2021-11-27T00:00:00"/>
    <x v="3"/>
    <x v="1"/>
    <x v="3"/>
    <n v="25866"/>
    <m/>
    <s v="Compresseur GA 22"/>
    <s v="Compresseur HS"/>
    <s v="Réparation"/>
    <s v="Changement du relais thermique endommagé"/>
    <d v="2021-11-27T00:00:00"/>
    <m/>
    <n v="120"/>
    <x v="10"/>
    <x v="2"/>
    <m/>
  </r>
  <r>
    <d v="2021-11-27T00:00:00"/>
    <x v="2"/>
    <x v="1"/>
    <x v="2"/>
    <n v="25868"/>
    <m/>
    <s v="presse"/>
    <s v="Rupture de la courroie 1760"/>
    <s v="Réparation"/>
    <s v="Changement de la courroie endommagée"/>
    <d v="2021-11-27T00:00:00"/>
    <m/>
    <n v="60"/>
    <x v="10"/>
    <x v="2"/>
    <m/>
  </r>
  <r>
    <d v="2021-11-27T00:00:00"/>
    <x v="0"/>
    <x v="0"/>
    <x v="0"/>
    <n v="25809"/>
    <m/>
    <s v="Système de tirage"/>
    <s v="Bruit anormal au niveau du servomoteur de tirage"/>
    <s v="Réparation"/>
    <s v="Entretien chez VOSELEC"/>
    <d v="2021-11-29T00:00:00"/>
    <m/>
    <n v="1440"/>
    <x v="10"/>
    <x v="2"/>
    <m/>
  </r>
  <r>
    <d v="2021-11-27T00:00:00"/>
    <x v="13"/>
    <x v="0"/>
    <x v="13"/>
    <n v="25765"/>
    <m/>
    <s v="panne du cisaille "/>
    <s v="cisaille ne fonction pas "/>
    <s v="reparation "/>
    <s v="reglage de système "/>
    <d v="2021-11-27T00:00:00"/>
    <m/>
    <n v="30"/>
    <x v="10"/>
    <x v="2"/>
    <m/>
  </r>
  <r>
    <d v="2021-11-27T00:00:00"/>
    <x v="7"/>
    <x v="0"/>
    <x v="7"/>
    <n v="25824"/>
    <m/>
    <s v="entretien et chongement d'huile "/>
    <s v="vidange d'hiule "/>
    <s v="reparation"/>
    <s v="chongement d'huile et filtre de cartouche "/>
    <d v="2021-11-27T00:00:00"/>
    <m/>
    <n v="240"/>
    <x v="10"/>
    <x v="2"/>
    <m/>
  </r>
  <r>
    <d v="2021-11-27T00:00:00"/>
    <x v="0"/>
    <x v="0"/>
    <x v="0"/>
    <n v="25825"/>
    <m/>
    <s v="panne de moteur lenze "/>
    <s v="roulement due moteur endomage "/>
    <s v="reparation"/>
    <s v="chongement les roulements "/>
    <d v="2021-11-27T00:00:00"/>
    <m/>
    <n v="240"/>
    <x v="10"/>
    <x v="2"/>
    <m/>
  </r>
  <r>
    <d v="2021-11-28T00:00:00"/>
    <x v="8"/>
    <x v="4"/>
    <x v="8"/>
    <n v="25984"/>
    <m/>
    <s v="panne electrique "/>
    <s v="boton possoir casser "/>
    <s v="reparation"/>
    <s v="chongement boton possoir TLC "/>
    <d v="2021-11-28T00:00:00"/>
    <m/>
    <n v="45"/>
    <x v="10"/>
    <x v="2"/>
    <m/>
  </r>
  <r>
    <d v="2021-11-28T00:00:00"/>
    <x v="25"/>
    <x v="0"/>
    <x v="25"/>
    <n v="25766"/>
    <m/>
    <s v="probleme du courroies du machaine "/>
    <s v="courrioes"/>
    <s v="reparation "/>
    <s v="chongement des courroies "/>
    <d v="2011-11-28T00:00:00"/>
    <m/>
    <n v="30"/>
    <x v="10"/>
    <x v="5"/>
    <m/>
  </r>
  <r>
    <d v="2021-11-29T00:00:00"/>
    <x v="3"/>
    <x v="1"/>
    <x v="3"/>
    <n v="25869"/>
    <m/>
    <s v="Descenseur"/>
    <s v="Frein moteur endommagé"/>
    <s v="Réparation"/>
    <s v="Changhement du moto-frein / Changement des couroires A 35 remise en marce"/>
    <d v="2021-11-29T00:00:00"/>
    <m/>
    <n v="460"/>
    <x v="10"/>
    <x v="2"/>
    <m/>
  </r>
  <r>
    <d v="2021-11-29T00:00:00"/>
    <x v="2"/>
    <x v="1"/>
    <x v="2"/>
    <n v="25870"/>
    <m/>
    <s v="Table vibrante"/>
    <s v="Decalage du système de vibration"/>
    <s v="Réparation"/>
    <s v="Calage des courroie et mise en marche"/>
    <d v="2021-11-29T00:00:00"/>
    <m/>
    <n v="40"/>
    <x v="10"/>
    <x v="2"/>
    <m/>
  </r>
  <r>
    <d v="2021-11-29T00:00:00"/>
    <x v="27"/>
    <x v="2"/>
    <x v="27"/>
    <n v="25871"/>
    <m/>
    <s v="Système d'adjuvant"/>
    <s v="Pb de refoulement de la pompe à adjuvant"/>
    <s v="Réparation"/>
    <s v="demontage nettoyage et remontage du clapet antiretour"/>
    <d v="2021-11-29T00:00:00"/>
    <m/>
    <n v="120"/>
    <x v="10"/>
    <x v="2"/>
    <m/>
  </r>
  <r>
    <d v="2021-11-29T00:00:00"/>
    <x v="17"/>
    <x v="0"/>
    <x v="17"/>
    <n v="25816"/>
    <m/>
    <s v="Cisaille"/>
    <s v="défaut variateur"/>
    <s v="Réparation"/>
    <s v="Réglage du ppoint zero et mise en marchz"/>
    <d v="2021-11-29T00:00:00"/>
    <m/>
    <n v="120"/>
    <x v="10"/>
    <x v="2"/>
    <m/>
  </r>
  <r>
    <d v="2021-11-29T00:00:00"/>
    <x v="3"/>
    <x v="1"/>
    <x v="3"/>
    <n v="25963"/>
    <m/>
    <s v="manque vibron tremie "/>
    <s v="fixation vibron casse "/>
    <s v="reparation"/>
    <s v="souder fixation  vibron _x000a_branchemant vibron "/>
    <d v="2021-11-29T00:00:00"/>
    <m/>
    <n v="120"/>
    <x v="10"/>
    <x v="2"/>
    <m/>
  </r>
  <r>
    <d v="2021-11-29T00:00:00"/>
    <x v="17"/>
    <x v="0"/>
    <x v="17"/>
    <n v="25816"/>
    <m/>
    <s v="panne cisaille "/>
    <s v="cisaille dérage "/>
    <s v="reparation"/>
    <s v="dressage du système de didecteur "/>
    <d v="2021-11-29T00:00:00"/>
    <m/>
    <n v="60"/>
    <x v="10"/>
    <x v="2"/>
    <m/>
  </r>
  <r>
    <d v="2021-11-29T00:00:00"/>
    <x v="17"/>
    <x v="0"/>
    <x v="17"/>
    <n v="25826"/>
    <m/>
    <s v="panne de cisaille dérègler "/>
    <s v="la came de cisaille deplacer"/>
    <s v="reparation "/>
    <s v="reglage la position de dedicteur "/>
    <d v="2021-11-29T00:00:00"/>
    <m/>
    <n v="120"/>
    <x v="10"/>
    <x v="2"/>
    <m/>
  </r>
  <r>
    <d v="2021-11-30T00:00:00"/>
    <x v="10"/>
    <x v="0"/>
    <x v="10"/>
    <n v="26008"/>
    <m/>
    <s v="Bobinoir"/>
    <s v="Ecrous d'assemblage endommagé"/>
    <s v="Réparation"/>
    <s v="Changement des ecrous avec tiges d'assemblage"/>
    <d v="2021-11-30T00:00:00"/>
    <m/>
    <n v="55"/>
    <x v="10"/>
    <x v="2"/>
    <m/>
  </r>
  <r>
    <d v="2021-11-30T00:00:00"/>
    <x v="10"/>
    <x v="0"/>
    <x v="10"/>
    <n v="26009"/>
    <m/>
    <s v="Cercleuse"/>
    <s v="Fuite d'air"/>
    <s v="Réparation"/>
    <s v="Révision de l'etancheité de la cercleuse"/>
    <d v="2021-11-30T00:00:00"/>
    <m/>
    <n v="15"/>
    <x v="10"/>
    <x v="2"/>
    <m/>
  </r>
  <r>
    <d v="2021-11-30T00:00:00"/>
    <x v="14"/>
    <x v="4"/>
    <x v="14"/>
    <n v="25966"/>
    <m/>
    <s v="panne electrique "/>
    <s v="manque phase par pont roulant "/>
    <s v="reparation "/>
    <s v="chongement charbon de calecteur"/>
    <d v="2021-11-30T00:00:00"/>
    <m/>
    <n v="45"/>
    <x v="10"/>
    <x v="2"/>
    <m/>
  </r>
  <r>
    <d v="2021-11-30T00:00:00"/>
    <x v="23"/>
    <x v="4"/>
    <x v="23"/>
    <n v="25767"/>
    <m/>
    <s v="panne electrique "/>
    <s v="coupaire de la cable "/>
    <s v="reparation "/>
    <s v="racourdi de cable "/>
    <d v="2021-11-30T00:00:00"/>
    <m/>
    <n v="10"/>
    <x v="10"/>
    <x v="2"/>
    <m/>
  </r>
  <r>
    <d v="2021-12-01T00:00:00"/>
    <x v="3"/>
    <x v="1"/>
    <x v="3"/>
    <n v="25874"/>
    <m/>
    <s v="Transbordeur"/>
    <s v="Cable tranbordeur usé"/>
    <s v="Réparation"/>
    <s v="Changement du cable d6 endommagé"/>
    <d v="2021-12-01T00:00:00"/>
    <m/>
    <n v="180"/>
    <x v="11"/>
    <x v="2"/>
    <m/>
  </r>
  <r>
    <d v="2021-12-01T00:00:00"/>
    <x v="10"/>
    <x v="0"/>
    <x v="10"/>
    <n v="25967"/>
    <m/>
    <s v="panne electreque "/>
    <s v="electrovan pnematique "/>
    <s v="reparation"/>
    <s v="branchement la bobine electrovane _x000a_nettoyage electrovane "/>
    <d v="2021-12-01T00:00:00"/>
    <m/>
    <n v="90"/>
    <x v="11"/>
    <x v="2"/>
    <m/>
  </r>
  <r>
    <d v="2021-12-01T00:00:00"/>
    <x v="10"/>
    <x v="0"/>
    <x v="10"/>
    <n v="25769"/>
    <m/>
    <s v="panne cassette daimetre 6 C "/>
    <s v="usur des roulement "/>
    <s v="reparation "/>
    <s v="chongement du roulement "/>
    <d v="2021-12-01T00:00:00"/>
    <m/>
    <n v="90"/>
    <x v="11"/>
    <x v="2"/>
    <m/>
  </r>
  <r>
    <d v="2021-12-02T00:00:00"/>
    <x v="3"/>
    <x v="1"/>
    <x v="3"/>
    <n v="25875"/>
    <m/>
    <s v="Reducteur endommagé"/>
    <s v="Reducteur endommagé"/>
    <s v="Réparation"/>
    <s v="Changement du réducteur et mise en marche"/>
    <d v="2021-12-02T00:00:00"/>
    <m/>
    <n v="180"/>
    <x v="11"/>
    <x v="2"/>
    <m/>
  </r>
  <r>
    <d v="2021-12-02T00:00:00"/>
    <x v="1"/>
    <x v="0"/>
    <x v="1"/>
    <n v="25968"/>
    <m/>
    <s v="panne danceur "/>
    <s v="electrovane "/>
    <s v="reparation "/>
    <s v="nettoyage electrovane "/>
    <d v="2021-12-02T00:00:00"/>
    <m/>
    <n v="60"/>
    <x v="11"/>
    <x v="2"/>
    <m/>
  </r>
  <r>
    <d v="2021-12-03T00:00:00"/>
    <x v="2"/>
    <x v="1"/>
    <x v="2"/>
    <n v="25876"/>
    <m/>
    <s v="Multifourche"/>
    <s v="Absence du reducteur avant"/>
    <s v="Réparation"/>
    <s v="Montage du reducteur réparé"/>
    <d v="2021-12-03T00:00:00"/>
    <m/>
    <n v="60"/>
    <x v="11"/>
    <x v="2"/>
    <m/>
  </r>
  <r>
    <d v="2021-12-03T00:00:00"/>
    <x v="10"/>
    <x v="0"/>
    <x v="10"/>
    <n v="26011"/>
    <m/>
    <s v="Cassette PR7"/>
    <s v="Défaut de zoomage cassette"/>
    <s v="Réparation"/>
    <s v="Zoomage de la cassette"/>
    <d v="2021-12-03T00:00:00"/>
    <m/>
    <m/>
    <x v="11"/>
    <x v="2"/>
    <m/>
  </r>
  <r>
    <d v="2021-12-03T00:00:00"/>
    <x v="10"/>
    <x v="0"/>
    <x v="10"/>
    <n v="25969"/>
    <m/>
    <s v="panne electrique "/>
    <s v="comitateur est casse "/>
    <s v="reparation  "/>
    <s v="chongement comitateur  "/>
    <d v="2021-12-03T00:00:00"/>
    <m/>
    <n v="30"/>
    <x v="11"/>
    <x v="2"/>
    <m/>
  </r>
  <r>
    <d v="2021-12-04T00:00:00"/>
    <x v="20"/>
    <x v="0"/>
    <x v="20"/>
    <n v="26014"/>
    <m/>
    <m/>
    <m/>
    <m/>
    <m/>
    <d v="2021-12-04T00:00:00"/>
    <m/>
    <m/>
    <x v="11"/>
    <x v="2"/>
    <m/>
  </r>
  <r>
    <d v="2021-12-04T00:00:00"/>
    <x v="3"/>
    <x v="1"/>
    <x v="3"/>
    <m/>
    <m/>
    <s v="Skip"/>
    <s v="Echeance vidange"/>
    <s v="Vidange"/>
    <s v="Vidante du réducteur du tambour du skip"/>
    <d v="2021-12-04T00:00:00"/>
    <m/>
    <n v="45"/>
    <x v="11"/>
    <x v="2"/>
    <m/>
  </r>
  <r>
    <d v="2021-12-06T00:00:00"/>
    <x v="2"/>
    <x v="1"/>
    <x v="2"/>
    <n v="25877"/>
    <m/>
    <s v="Table vibrante"/>
    <s v="Roulement moteur endommagé"/>
    <s v="Réparation"/>
    <s v="Démontage du moteur _x000a_Remontage d'un autre moteur présent au magasin_x000a_Mise en marche"/>
    <d v="2021-12-06T00:00:00"/>
    <s v="Moteur réparé (roulement 6311) et stocké au magasin "/>
    <n v="360"/>
    <x v="11"/>
    <x v="2"/>
    <m/>
  </r>
  <r>
    <d v="2021-12-06T00:00:00"/>
    <x v="14"/>
    <x v="4"/>
    <x v="14"/>
    <n v="25771"/>
    <m/>
    <s v="panne electrique "/>
    <s v="freinage de moteur "/>
    <s v="reparation "/>
    <s v="reglage de frin de moteur "/>
    <d v="2021-12-06T00:00:00"/>
    <m/>
    <n v="60"/>
    <x v="11"/>
    <x v="2"/>
    <m/>
  </r>
  <r>
    <d v="2021-12-06T00:00:00"/>
    <x v="7"/>
    <x v="0"/>
    <x v="7"/>
    <n v="25828"/>
    <m/>
    <s v="panne mecanique "/>
    <s v="bage brenze usie "/>
    <s v="reparation "/>
    <s v="chongement bage en brenze filte "/>
    <d v="2021-12-06T00:00:00"/>
    <m/>
    <n v="240"/>
    <x v="11"/>
    <x v="2"/>
    <m/>
  </r>
  <r>
    <d v="2021-12-06T00:00:00"/>
    <x v="26"/>
    <x v="0"/>
    <x v="26"/>
    <n v="25829"/>
    <m/>
    <s v="panne machine ( probleme de chape rotule  )"/>
    <s v="chape usie "/>
    <s v="reparation "/>
    <s v="chongement de chape rotule "/>
    <d v="2021-12-06T00:00:00"/>
    <m/>
    <n v="180"/>
    <x v="11"/>
    <x v="2"/>
    <m/>
  </r>
  <r>
    <d v="2021-12-07T00:00:00"/>
    <x v="2"/>
    <x v="1"/>
    <x v="2"/>
    <n v="25878"/>
    <m/>
    <s v="Tiroir d'agitation"/>
    <s v="Galet de guidage endommagé "/>
    <s v="Répararation"/>
    <s v="Changement du galet endommagé"/>
    <d v="2021-12-09T00:00:00"/>
    <m/>
    <n v="60"/>
    <x v="11"/>
    <x v="2"/>
    <m/>
  </r>
  <r>
    <d v="2021-12-07T00:00:00"/>
    <x v="3"/>
    <x v="1"/>
    <x v="3"/>
    <n v="25970"/>
    <m/>
    <s v="panne electrique "/>
    <s v="injecteur ne pas marche "/>
    <s v="reparation"/>
    <s v="reparation des cable electrique "/>
    <d v="2021-12-07T00:00:00"/>
    <m/>
    <n v="50"/>
    <x v="11"/>
    <x v="2"/>
    <m/>
  </r>
  <r>
    <d v="2021-12-07T00:00:00"/>
    <x v="8"/>
    <x v="4"/>
    <x v="8"/>
    <n v="25770"/>
    <m/>
    <s v="panne de telecmmande "/>
    <s v="probleme de boton possoir "/>
    <s v="reparation "/>
    <s v="chongement du boton possoir "/>
    <d v="2021-12-07T00:00:00"/>
    <m/>
    <n v="30"/>
    <x v="11"/>
    <x v="2"/>
    <m/>
  </r>
  <r>
    <d v="2021-12-07T00:00:00"/>
    <x v="8"/>
    <x v="4"/>
    <x v="8"/>
    <n v="25772"/>
    <m/>
    <s v="panne de cable de telecommande "/>
    <s v="copie de la cable "/>
    <s v="reparation "/>
    <s v="reparation des cabels "/>
    <d v="2021-12-07T00:00:00"/>
    <m/>
    <n v="30"/>
    <x v="11"/>
    <x v="2"/>
    <m/>
  </r>
  <r>
    <d v="2021-12-08T00:00:00"/>
    <x v="0"/>
    <x v="0"/>
    <x v="0"/>
    <n v="25774"/>
    <m/>
    <s v="panne de berisa de soudage "/>
    <s v="berisa de soudage "/>
    <s v="reparation "/>
    <s v="chongement le berisa de soudage "/>
    <d v="2021-12-08T00:00:00"/>
    <m/>
    <n v="30"/>
    <x v="11"/>
    <x v="2"/>
    <m/>
  </r>
  <r>
    <d v="2021-12-09T00:00:00"/>
    <x v="2"/>
    <x v="1"/>
    <x v="2"/>
    <n v="25971"/>
    <m/>
    <s v="panne electrique "/>
    <s v="moteur tiroir ne pas marche "/>
    <s v="reparation "/>
    <s v="chongement cable electrique  motour _x000a_chongement chaine ponte  cable "/>
    <d v="2021-12-09T00:00:00"/>
    <m/>
    <n v="90"/>
    <x v="11"/>
    <x v="2"/>
    <m/>
  </r>
  <r>
    <d v="2021-12-09T00:00:00"/>
    <x v="2"/>
    <x v="1"/>
    <x v="2"/>
    <n v="25972"/>
    <m/>
    <s v="panne electrique "/>
    <s v="comitateur ne foction pas "/>
    <s v="reparation "/>
    <s v="chongement comitateur 3 position "/>
    <d v="2021-12-09T00:00:00"/>
    <m/>
    <n v="60"/>
    <x v="11"/>
    <x v="2"/>
    <m/>
  </r>
  <r>
    <d v="2021-12-09T00:00:00"/>
    <x v="2"/>
    <x v="1"/>
    <x v="2"/>
    <n v="25973"/>
    <m/>
    <s v="panne electrique "/>
    <s v="moteur vibration en defant "/>
    <s v="reparation "/>
    <s v="chongement detecteur de procsimité "/>
    <d v="2021-12-09T00:00:00"/>
    <m/>
    <n v="120"/>
    <x v="11"/>
    <x v="2"/>
    <m/>
  </r>
  <r>
    <d v="2021-12-09T00:00:00"/>
    <x v="17"/>
    <x v="0"/>
    <x v="17"/>
    <n v="25775"/>
    <m/>
    <s v="panne pneumatique "/>
    <s v="buide de omlion d'air"/>
    <s v="reparation"/>
    <s v="chongement buide de omlion "/>
    <d v="2021-12-09T00:00:00"/>
    <m/>
    <n v="30"/>
    <x v="11"/>
    <x v="2"/>
    <m/>
  </r>
  <r>
    <d v="2021-12-10T00:00:00"/>
    <x v="3"/>
    <x v="1"/>
    <x v="3"/>
    <n v="25880"/>
    <m/>
    <s v="Retourneur"/>
    <s v="Rupture d'une courroie thermosoudable"/>
    <s v="Réparation"/>
    <s v="Changement d'une courroie thermosoudable"/>
    <d v="2021-12-10T00:00:00"/>
    <m/>
    <n v="60"/>
    <x v="11"/>
    <x v="2"/>
    <m/>
  </r>
  <r>
    <d v="2021-12-10T00:00:00"/>
    <x v="2"/>
    <x v="1"/>
    <x v="2"/>
    <n v="25881"/>
    <m/>
    <s v="Cercleuse 08"/>
    <s v="Feuillard bloqué "/>
    <s v="Réparation"/>
    <s v="Démontage du mécanisme et liberation des galets de tirage"/>
    <d v="2021-12-10T00:00:00"/>
    <m/>
    <n v="60"/>
    <x v="11"/>
    <x v="2"/>
    <m/>
  </r>
  <r>
    <d v="2021-12-11T00:00:00"/>
    <x v="17"/>
    <x v="0"/>
    <x v="17"/>
    <n v="25773"/>
    <m/>
    <s v="panne de courrioe de moteur "/>
    <s v="copie de courrioe "/>
    <s v="reparation "/>
    <s v="chongement  des courroies"/>
    <d v="2021-12-11T00:00:00"/>
    <m/>
    <n v="30"/>
    <x v="11"/>
    <x v="2"/>
    <m/>
  </r>
  <r>
    <d v="2021-12-11T00:00:00"/>
    <x v="13"/>
    <x v="0"/>
    <x v="13"/>
    <n v="25820"/>
    <m/>
    <s v="panne d'arber de cisaille "/>
    <s v="d'arber usur "/>
    <s v="reparation "/>
    <s v="charege  de soudeur ( rectification ) "/>
    <d v="2021-12-11T00:00:00"/>
    <m/>
    <n v="180"/>
    <x v="11"/>
    <x v="2"/>
    <m/>
  </r>
  <r>
    <d v="2021-12-11T00:00:00"/>
    <x v="4"/>
    <x v="0"/>
    <x v="4"/>
    <n v="25821"/>
    <m/>
    <s v="installation de nouveau transfomateur "/>
    <s v="transfomateur "/>
    <s v="reparation "/>
    <s v="déplacement transfomateur"/>
    <d v="2021-12-11T00:00:00"/>
    <m/>
    <n v="240"/>
    <x v="11"/>
    <x v="2"/>
    <m/>
  </r>
  <r>
    <d v="2021-12-13T00:00:00"/>
    <x v="2"/>
    <x v="1"/>
    <x v="2"/>
    <n v="25882"/>
    <m/>
    <s v="Transbordeur"/>
    <s v="Réducteur endommagé(Tapis beton)"/>
    <s v="Réparation"/>
    <s v="Démontage et changement du réducteur"/>
    <d v="2021-12-13T00:00:00"/>
    <m/>
    <n v="180"/>
    <x v="11"/>
    <x v="2"/>
    <m/>
  </r>
  <r>
    <d v="2021-12-13T00:00:00"/>
    <x v="2"/>
    <x v="1"/>
    <x v="2"/>
    <n v="25883"/>
    <m/>
    <s v="Cercleuse"/>
    <s v="Usure de la lame de coupe"/>
    <s v="Réparation"/>
    <s v="Démontage et changement de la lame de coupe + pince de serrage"/>
    <d v="2021-12-13T00:00:00"/>
    <m/>
    <n v="60"/>
    <x v="11"/>
    <x v="2"/>
    <m/>
  </r>
  <r>
    <d v="2021-12-13T00:00:00"/>
    <x v="12"/>
    <x v="0"/>
    <x v="12"/>
    <n v="25778"/>
    <m/>
    <s v="panne du decalage de guide "/>
    <s v="decalage de guide "/>
    <s v="reparation "/>
    <s v="surfasage la course et birsage"/>
    <d v="2021-12-13T00:00:00"/>
    <m/>
    <n v="25"/>
    <x v="11"/>
    <x v="2"/>
    <m/>
  </r>
  <r>
    <d v="2021-12-13T00:00:00"/>
    <x v="4"/>
    <x v="0"/>
    <x v="4"/>
    <n v="25831"/>
    <m/>
    <s v="installation du transfomateur "/>
    <s v="transformateur changer "/>
    <s v="reparation "/>
    <s v="chongement transformateur "/>
    <d v="2021-12-13T00:00:00"/>
    <m/>
    <n v="240"/>
    <x v="11"/>
    <x v="2"/>
    <m/>
  </r>
  <r>
    <d v="2021-12-14T00:00:00"/>
    <x v="10"/>
    <x v="0"/>
    <x v="10"/>
    <n v="25974"/>
    <m/>
    <s v="panne poste soudeur "/>
    <s v="comitateur en dommage "/>
    <s v="reparation "/>
    <s v="chongzmznt comitateur 2 position "/>
    <d v="2021-12-14T00:00:00"/>
    <m/>
    <n v="45"/>
    <x v="11"/>
    <x v="2"/>
    <m/>
  </r>
  <r>
    <d v="2021-12-14T00:00:00"/>
    <x v="24"/>
    <x v="4"/>
    <x v="24"/>
    <n v="25777"/>
    <m/>
    <s v="panne electrique "/>
    <s v="deblassement bouone de balase "/>
    <s v="reparation "/>
    <s v="demounter la bouton de balase "/>
    <d v="2021-12-14T00:00:00"/>
    <m/>
    <n v="50"/>
    <x v="11"/>
    <x v="2"/>
    <m/>
  </r>
  <r>
    <d v="2021-12-14T00:00:00"/>
    <x v="17"/>
    <x v="0"/>
    <x v="17"/>
    <n v="25779"/>
    <m/>
    <s v="panne du courrioe de moteur "/>
    <s v="copie du courrioe "/>
    <s v="reparation "/>
    <s v="chongement des courrioes et serrage de courrioe "/>
    <d v="2021-12-14T00:00:00"/>
    <m/>
    <n v="30"/>
    <x v="11"/>
    <x v="2"/>
    <m/>
  </r>
  <r>
    <d v="2021-12-14T00:00:00"/>
    <x v="0"/>
    <x v="0"/>
    <x v="0"/>
    <n v="25833"/>
    <m/>
    <s v="panne de roulement d'avance "/>
    <s v="roulement endommager "/>
    <s v="reparation "/>
    <s v="chongement roulement "/>
    <d v="2021-12-14T00:00:00"/>
    <m/>
    <n v="120"/>
    <x v="11"/>
    <x v="2"/>
    <m/>
  </r>
  <r>
    <d v="2021-12-15T00:00:00"/>
    <x v="27"/>
    <x v="2"/>
    <x v="27"/>
    <n v="25884"/>
    <m/>
    <s v="Convoyeur a agregats"/>
    <s v="Supports du rouleaux convoyeur endommagés"/>
    <s v="Réparation"/>
    <s v="Démontage et dressage des supports du rouleau"/>
    <d v="2021-12-15T00:00:00"/>
    <m/>
    <n v="60"/>
    <x v="11"/>
    <x v="2"/>
    <m/>
  </r>
  <r>
    <d v="2021-12-15T00:00:00"/>
    <x v="20"/>
    <x v="0"/>
    <x v="20"/>
    <n v="25975"/>
    <m/>
    <s v="panne dansem "/>
    <s v="dansem casse et detecteur de proscimite"/>
    <s v="reparation "/>
    <s v="soudeur cale dansem _x000a_chonegement detecteur de proscimites_x000a_reglage dansem et detecteur "/>
    <d v="2021-12-15T00:00:00"/>
    <m/>
    <n v="240"/>
    <x v="11"/>
    <x v="2"/>
    <m/>
  </r>
  <r>
    <d v="2021-12-15T00:00:00"/>
    <x v="2"/>
    <x v="1"/>
    <x v="2"/>
    <n v="25976"/>
    <m/>
    <s v="manque eclerage des malaxeurs "/>
    <s v="la l'ampe"/>
    <s v="reparation "/>
    <s v="chongement la l'ampe 400Wsur la l'ampe 100W   E27"/>
    <d v="2021-12-15T00:00:00"/>
    <m/>
    <n v="45"/>
    <x v="11"/>
    <x v="2"/>
    <m/>
  </r>
  <r>
    <d v="2021-12-16T00:00:00"/>
    <x v="3"/>
    <x v="1"/>
    <x v="3"/>
    <n v="25885"/>
    <m/>
    <s v="Pilon"/>
    <s v="Vérin hydraulique cisaillé"/>
    <s v="Réparation"/>
    <s v="Changement du vérin hydraulique"/>
    <d v="2021-12-16T00:00:00"/>
    <m/>
    <n v="120"/>
    <x v="11"/>
    <x v="2"/>
    <m/>
  </r>
  <r>
    <d v="2021-12-16T00:00:00"/>
    <x v="3"/>
    <x v="1"/>
    <x v="3"/>
    <n v="25886"/>
    <m/>
    <s v="Pince"/>
    <s v="Frein moteur endommagé"/>
    <s v="Réparation"/>
    <s v="Changement du moteur frein par un autre réparé"/>
    <d v="2021-12-16T00:00:00"/>
    <m/>
    <n v="120"/>
    <x v="11"/>
    <x v="2"/>
    <m/>
  </r>
  <r>
    <d v="2021-12-16T00:00:00"/>
    <x v="13"/>
    <x v="0"/>
    <x v="13"/>
    <n v="25832"/>
    <m/>
    <s v="panne cisaille "/>
    <s v="l'axe usur "/>
    <s v="reparation "/>
    <s v="cchangement l'axe et roulement "/>
    <d v="2021-12-16T00:00:00"/>
    <m/>
    <n v="1440"/>
    <x v="11"/>
    <x v="2"/>
    <m/>
  </r>
  <r>
    <d v="2021-12-18T00:00:00"/>
    <x v="27"/>
    <x v="2"/>
    <x v="27"/>
    <n v="25977"/>
    <m/>
    <s v="panne electrique "/>
    <s v="cable electrique coupé "/>
    <s v="reparation "/>
    <s v="reparation cable electrique "/>
    <d v="2021-12-18T00:00:00"/>
    <m/>
    <n v="120"/>
    <x v="11"/>
    <x v="2"/>
    <m/>
  </r>
  <r>
    <d v="2021-12-18T00:00:00"/>
    <x v="26"/>
    <x v="0"/>
    <x v="26"/>
    <n v="25827"/>
    <m/>
    <s v="panne mecanique (probleme roue crouse ) "/>
    <s v="rou crouse endommager "/>
    <s v="reparation "/>
    <s v="chongement rou crouse et reglage la machine "/>
    <d v="2021-12-18T00:00:00"/>
    <m/>
    <n v="180"/>
    <x v="11"/>
    <x v="2"/>
    <m/>
  </r>
  <r>
    <d v="2021-12-18T00:00:00"/>
    <x v="7"/>
    <x v="0"/>
    <x v="7"/>
    <n v="25830"/>
    <m/>
    <s v="panne mecanique de pignion de transmission "/>
    <s v=" pignion de transmission "/>
    <s v="reparation "/>
    <s v="soudage la pignion et rectification "/>
    <d v="2021-12-18T00:00:00"/>
    <m/>
    <n v="120"/>
    <x v="11"/>
    <x v="2"/>
    <m/>
  </r>
  <r>
    <d v="2021-12-20T00:00:00"/>
    <x v="3"/>
    <x v="1"/>
    <x v="3"/>
    <n v="25887"/>
    <m/>
    <s v="Descensseur"/>
    <s v="Usure des guides du descensseur"/>
    <s v="Répartion"/>
    <s v="Soudage de calles sur les paerties usés"/>
    <d v="2021-12-20T00:00:00"/>
    <m/>
    <n v="120"/>
    <x v="11"/>
    <x v="2"/>
    <m/>
  </r>
  <r>
    <d v="2021-12-20T00:00:00"/>
    <x v="4"/>
    <x v="0"/>
    <x v="4"/>
    <n v="25780"/>
    <m/>
    <s v="panne bloc soudure "/>
    <s v="usur bloc soudure"/>
    <s v="reparation "/>
    <s v="chongement du bloc soudure "/>
    <d v="2021-12-20T00:00:00"/>
    <m/>
    <n v="40"/>
    <x v="11"/>
    <x v="2"/>
    <m/>
  </r>
  <r>
    <d v="2021-12-21T00:00:00"/>
    <x v="2"/>
    <x v="1"/>
    <x v="2"/>
    <n v="25888"/>
    <m/>
    <s v="Retourneur"/>
    <s v="Usure sur courroies retourneur"/>
    <s v="Réparation"/>
    <s v="Jonction des courroies et mise en marche"/>
    <d v="2021-12-21T00:00:00"/>
    <m/>
    <n v="60"/>
    <x v="11"/>
    <x v="2"/>
    <m/>
  </r>
  <r>
    <d v="2021-12-21T00:00:00"/>
    <x v="2"/>
    <x v="1"/>
    <x v="2"/>
    <n v="25889"/>
    <m/>
    <s v="Transbordeur"/>
    <s v="3 chariots guides cables endommagés"/>
    <s v="Réparation"/>
    <s v="changement des trois chariots guides cables par des anneaux"/>
    <d v="2021-12-21T00:00:00"/>
    <m/>
    <n v="60"/>
    <x v="11"/>
    <x v="2"/>
    <m/>
  </r>
  <r>
    <d v="2021-12-21T00:00:00"/>
    <x v="3"/>
    <x v="1"/>
    <x v="3"/>
    <n v="25890"/>
    <m/>
    <s v="silo 5"/>
    <s v="blocage du cartouche"/>
    <s v="reparation "/>
    <s v="Demontage et cha,gement des cartouches _x000a_nettoyage du soupape securite _x000a_nettoyage de la vis sans  fin "/>
    <d v="2021-12-21T00:00:00"/>
    <m/>
    <n v="150"/>
    <x v="11"/>
    <x v="2"/>
    <m/>
  </r>
  <r>
    <d v="2021-12-21T00:00:00"/>
    <x v="3"/>
    <x v="1"/>
    <x v="3"/>
    <n v="25891"/>
    <m/>
    <s v="bloc distributeur pilon"/>
    <s v="blocage du clapet double silotage"/>
    <s v="reparation"/>
    <s v="demontage  du bloc_x000a_nettoyage d'electrovanne_x000a_nettoyage regulateur de debut _x000a_nettoyage clapet double pilotage "/>
    <d v="2021-12-21T00:00:00"/>
    <m/>
    <n v="150"/>
    <x v="11"/>
    <x v="2"/>
    <m/>
  </r>
  <r>
    <d v="2021-12-21T00:00:00"/>
    <x v="4"/>
    <x v="0"/>
    <x v="4"/>
    <n v="26301"/>
    <m/>
    <s v="Bloc de soudage"/>
    <s v="Vérin Porte electode boqué"/>
    <s v="Réparation"/>
    <s v="Changement d'un axe plongeur Des isolant et motange des electrodes de soudage"/>
    <d v="2021-12-21T00:00:00"/>
    <m/>
    <n v="60"/>
    <x v="11"/>
    <x v="2"/>
    <m/>
  </r>
  <r>
    <d v="2021-12-22T00:00:00"/>
    <x v="2"/>
    <x v="1"/>
    <x v="2"/>
    <m/>
    <m/>
    <s v="courroie crente de chirée"/>
    <m/>
    <s v="reparation"/>
    <s v="demontage du mecanisme et changement du courroie_x000a_mise en marche du  cucleuse 08"/>
    <d v="2021-12-22T00:00:00"/>
    <m/>
    <n v="90"/>
    <x v="11"/>
    <x v="2"/>
    <m/>
  </r>
  <r>
    <d v="2021-12-22T00:00:00"/>
    <x v="18"/>
    <x v="4"/>
    <x v="18"/>
    <n v="25979"/>
    <m/>
    <s v="panne electrique de pont roulant "/>
    <s v="cantacteur manque de phase "/>
    <s v="reparation "/>
    <s v="chongement cantacteur LC1D25"/>
    <d v="2021-12-22T00:00:00"/>
    <m/>
    <n v="50"/>
    <x v="11"/>
    <x v="2"/>
    <m/>
  </r>
  <r>
    <d v="2021-12-22T00:00:00"/>
    <x v="20"/>
    <x v="0"/>
    <x v="20"/>
    <n v="26201"/>
    <m/>
    <s v="panne sur cassette daimmetre 7 cranté "/>
    <s v="état du fil cranté non coformé "/>
    <s v="reparation "/>
    <s v="zommage des galets cranté du cassette daimmetre 7 "/>
    <d v="2021-12-22T00:00:00"/>
    <m/>
    <n v="120"/>
    <x v="11"/>
    <x v="2"/>
    <m/>
  </r>
  <r>
    <d v="2021-12-22T00:00:00"/>
    <x v="12"/>
    <x v="0"/>
    <x v="12"/>
    <n v="26302"/>
    <m/>
    <s v="Cisaille"/>
    <s v="Came de cisaille dereglée"/>
    <s v="Réparation"/>
    <s v="Réglage de la came de cisaille et mise en marche"/>
    <d v="2021-12-22T00:00:00"/>
    <m/>
    <n v="30"/>
    <x v="11"/>
    <x v="2"/>
    <m/>
  </r>
  <r>
    <d v="2021-12-23T00:00:00"/>
    <x v="3"/>
    <x v="1"/>
    <x v="3"/>
    <n v="25980"/>
    <m/>
    <s v="panne electrique "/>
    <s v="comùitateur de position "/>
    <s v="reparation "/>
    <s v="chongement comitateur de position "/>
    <d v="2021-12-23T00:00:00"/>
    <m/>
    <n v="30"/>
    <x v="11"/>
    <x v="2"/>
    <m/>
  </r>
  <r>
    <d v="2021-12-24T00:00:00"/>
    <x v="20"/>
    <x v="0"/>
    <x v="20"/>
    <n v="26202"/>
    <m/>
    <s v="panne cassette daimmetre 5 cranté"/>
    <s v="les roulement conique sur partie cranté"/>
    <s v="reparation "/>
    <s v="changement 6 roulement conique 32008_x000a_zommage "/>
    <d v="2021-12-24T00:00:00"/>
    <m/>
    <n v="240"/>
    <x v="11"/>
    <x v="2"/>
    <m/>
  </r>
  <r>
    <d v="2021-12-24T00:00:00"/>
    <x v="12"/>
    <x v="0"/>
    <x v="12"/>
    <n v="26303"/>
    <m/>
    <s v="Circuit d'aire comprimé"/>
    <s v="MAnque de pression"/>
    <s v="Réparation"/>
    <s v="Distributeur HS / Réparation et montage"/>
    <d v="2021-12-24T00:00:00"/>
    <m/>
    <n v="30"/>
    <x v="11"/>
    <x v="2"/>
    <m/>
  </r>
  <r>
    <d v="2021-12-25T00:00:00"/>
    <x v="10"/>
    <x v="0"/>
    <x v="10"/>
    <n v="26203"/>
    <m/>
    <s v="panne sur cassette daimmetre 10 cranté "/>
    <s v="les roulement conique endommagé "/>
    <s v="reparation "/>
    <s v="changement 2 roulement conique 32008 sur partie cranté "/>
    <d v="2021-12-25T00:00:00"/>
    <m/>
    <n v="150"/>
    <x v="11"/>
    <x v="2"/>
    <m/>
  </r>
  <r>
    <d v="2021-12-25T00:00:00"/>
    <x v="10"/>
    <x v="0"/>
    <x v="10"/>
    <n v="26204"/>
    <m/>
    <s v="panne porte de securite "/>
    <s v="circuité d'air du fermeture porte ( bauché ) "/>
    <s v="reparation "/>
    <s v="débochage circuit d'air au neveau distrubiteur d'air pour fermé la porte securité "/>
    <d v="2021-12-25T00:00:00"/>
    <m/>
    <n v="90"/>
    <x v="11"/>
    <x v="2"/>
    <m/>
  </r>
  <r>
    <d v="2021-12-25T00:00:00"/>
    <x v="20"/>
    <x v="0"/>
    <x v="20"/>
    <n v="26207"/>
    <m/>
    <s v="panne cércleuse "/>
    <s v="les goupielle daimmetre 7 sur cércleuse cesayé "/>
    <s v="reparation "/>
    <s v="changement 2 goupielle daimmetre 7 "/>
    <d v="2021-12-25T00:00:00"/>
    <m/>
    <n v="60"/>
    <x v="11"/>
    <x v="2"/>
    <m/>
  </r>
  <r>
    <d v="2021-12-27T00:00:00"/>
    <x v="3"/>
    <x v="1"/>
    <x v="3"/>
    <n v="26151"/>
    <m/>
    <s v="fuite d'luile hydraulique _x000a_endommagement silent bloc piton"/>
    <s v="usere sur joint torique _x000a_usere des silent bloc "/>
    <s v="reparation"/>
    <s v="demantage du bloc de distributeur de moule et chengement des joint torique  _x000a_chengement des silents bloc usues et mise en marche de la machine "/>
    <d v="2021-12-27T00:00:00"/>
    <m/>
    <n v="150"/>
    <x v="11"/>
    <x v="2"/>
    <m/>
  </r>
  <r>
    <d v="2021-12-28T00:00:00"/>
    <x v="3"/>
    <x v="1"/>
    <x v="3"/>
    <n v="26152"/>
    <m/>
    <s v="cassement du palier asceuseur"/>
    <s v="usure sur guide chaine "/>
    <s v="reparation"/>
    <s v="demantage et chengement du palier p212_x000a_changement de 2 guides chaine asceuseur  "/>
    <d v="2021-12-28T00:00:00"/>
    <m/>
    <n v="180"/>
    <x v="11"/>
    <x v="2"/>
    <m/>
  </r>
  <r>
    <d v="2021-12-28T00:00:00"/>
    <x v="18"/>
    <x v="4"/>
    <x v="18"/>
    <n v="25982"/>
    <m/>
    <s v="panne electrique "/>
    <s v="disjancteur declancher "/>
    <s v="reparation "/>
    <s v="reset disjancteur "/>
    <d v="2021-12-28T00:00:00"/>
    <m/>
    <n v="30"/>
    <x v="11"/>
    <x v="2"/>
    <m/>
  </r>
  <r>
    <d v="2021-12-28T00:00:00"/>
    <x v="20"/>
    <x v="0"/>
    <x v="20"/>
    <n v="25983"/>
    <m/>
    <s v="panne electrique de poste soudeur "/>
    <s v="cable electrique endomager "/>
    <s v="reparation "/>
    <s v="reparation du cable electrique  "/>
    <d v="2021-12-28T00:00:00"/>
    <m/>
    <n v="20"/>
    <x v="11"/>
    <x v="2"/>
    <m/>
  </r>
  <r>
    <d v="2021-12-28T00:00:00"/>
    <x v="17"/>
    <x v="0"/>
    <x v="17"/>
    <n v="25985"/>
    <m/>
    <s v="panne electrique "/>
    <s v="alimantation electrique "/>
    <s v="reparation "/>
    <s v="chongement alimentation electrique INP=380v AC   OUT = 24 v DC"/>
    <d v="2021-12-28T00:00:00"/>
    <m/>
    <n v="50"/>
    <x v="11"/>
    <x v="2"/>
    <m/>
  </r>
  <r>
    <d v="2021-12-28T00:00:00"/>
    <x v="3"/>
    <x v="1"/>
    <x v="3"/>
    <n v="25981"/>
    <m/>
    <s v="panne electrique pince "/>
    <s v="defaut machine "/>
    <s v="reparation "/>
    <s v="reparation cable electrique de puissance moteur machaine "/>
    <d v="2021-12-28T00:00:00"/>
    <m/>
    <n v="40"/>
    <x v="11"/>
    <x v="2"/>
    <m/>
  </r>
  <r>
    <d v="2021-12-29T00:00:00"/>
    <x v="20"/>
    <x v="0"/>
    <x v="20"/>
    <n v="26205"/>
    <m/>
    <s v="panne sur pompe hydraulique "/>
    <s v="acoplement defictieuse "/>
    <s v="reparation "/>
    <s v="démantage la pompe hydraulique pour réparation la coplement du la limontation du rotation pompe hydraulique ( acoblage la coploment ) "/>
    <d v="2021-12-29T00:00:00"/>
    <m/>
    <n v="60"/>
    <x v="11"/>
    <x v="2"/>
    <m/>
  </r>
  <r>
    <d v="2021-12-29T00:00:00"/>
    <x v="4"/>
    <x v="0"/>
    <x v="4"/>
    <n v="26305"/>
    <m/>
    <s v="Système d'avancement"/>
    <s v="Distributeur obstrués"/>
    <s v="Réparation"/>
    <s v="Nettoyage des distributeurs et mise en marche"/>
    <d v="2021-12-29T00:00:00"/>
    <m/>
    <n v="240"/>
    <x v="11"/>
    <x v="2"/>
    <m/>
  </r>
  <r>
    <d v="2021-12-30T00:00:00"/>
    <x v="3"/>
    <x v="1"/>
    <x v="3"/>
    <n v="26153"/>
    <m/>
    <s v="panne sur cercleuse N:08"/>
    <s v="endomanagement du poulie dentée _x000a_ruputure du courroie double crantée _x000a_alignement du feuillard n'est pas correct"/>
    <s v="reparation "/>
    <s v="chengement du courroie double  crantée_x000a_chengement du poulée dentée_x000a_changement  du poulée moltée_x000a_changement d'un guide de feuillard _x000a_refaire l'alignement du profil guide feuillard "/>
    <d v="2021-12-31T00:00:00"/>
    <m/>
    <n v="600"/>
    <x v="11"/>
    <x v="2"/>
    <m/>
  </r>
  <r>
    <d v="2021-12-30T00:00:00"/>
    <x v="4"/>
    <x v="0"/>
    <x v="4"/>
    <n v="26206"/>
    <m/>
    <s v="panne sur EVG TS "/>
    <s v="transformateur du soudage 2 émé pas marche "/>
    <s v="reparation "/>
    <s v="instalation un noveau tronsformateur _x000a_débochage circuit du ronfraidisment_x000a_tarodage des trous su transformateur  du fexation transformateur sur la machain _x000a_"/>
    <d v="2021-12-31T00:00:00"/>
    <m/>
    <n v="360"/>
    <x v="11"/>
    <x v="2"/>
    <m/>
  </r>
  <r>
    <d v="2021-12-30T00:00:00"/>
    <x v="20"/>
    <x v="0"/>
    <x v="20"/>
    <n v="26213"/>
    <m/>
    <s v="panne sur poste de soudeur "/>
    <s v="un pied sur poste deréglé "/>
    <s v="reparation "/>
    <s v="reglage un pied sur poste ( bien mounter et serrage tous les vis et ecrous sur poste )"/>
    <d v="2021-12-30T00:00:00"/>
    <m/>
    <n v="240"/>
    <x v="11"/>
    <x v="2"/>
    <m/>
  </r>
  <r>
    <d v="2021-12-30T00:00:00"/>
    <x v="10"/>
    <x v="0"/>
    <x v="10"/>
    <n v="26214"/>
    <m/>
    <s v="panne sur bobinaire du teurema 1"/>
    <s v="ecrous d'assemblage du bobiniare endommagé "/>
    <s v="reparation "/>
    <s v="changement 3 ecrous en cuivre du acemblage bobiniare "/>
    <d v="2021-12-30T00:00:00"/>
    <m/>
    <n v="180"/>
    <x v="11"/>
    <x v="2"/>
    <m/>
  </r>
  <r>
    <d v="2021-12-30T00:00:00"/>
    <x v="10"/>
    <x v="0"/>
    <x v="10"/>
    <n v="26215"/>
    <m/>
    <s v="panne sur cassete daimmetre 12 ecranté "/>
    <s v="les roulements conique endomage  ( la dure de vus du roulement ) "/>
    <s v="reparation "/>
    <s v="changement 6 roulement conique 32008_x000a_zommage "/>
    <d v="2022-01-02T00:00:00"/>
    <m/>
    <n v="0"/>
    <x v="0"/>
    <x v="3"/>
    <m/>
  </r>
  <r>
    <d v="2021-12-31T00:00:00"/>
    <x v="3"/>
    <x v="1"/>
    <x v="3"/>
    <n v="26154"/>
    <m/>
    <s v="fissure sur tole de la table "/>
    <s v="usure"/>
    <s v="reparation"/>
    <s v="demantage et remantage de la nouvalle tole "/>
    <d v="2021-12-31T00:00:00"/>
    <m/>
    <n v="120"/>
    <x v="11"/>
    <x v="2"/>
    <m/>
  </r>
  <r>
    <d v="2021-12-31T00:00:00"/>
    <x v="3"/>
    <x v="1"/>
    <x v="3"/>
    <n v="26155"/>
    <m/>
    <s v="cisaillement du partie filete du verin de moule "/>
    <m/>
    <s v="reparation"/>
    <s v="soudage du tige verin avec la chapp"/>
    <d v="2021-12-31T00:00:00"/>
    <m/>
    <n v="90"/>
    <x v="11"/>
    <x v="2"/>
    <m/>
  </r>
  <r>
    <d v="2021-12-31T00:00:00"/>
    <x v="25"/>
    <x v="0"/>
    <x v="25"/>
    <n v="26306"/>
    <m/>
    <s v="Système d'entrainement"/>
    <s v="Roulement endommagés"/>
    <s v="Réparation"/>
    <s v="Chnagement des roulements tension des courroies et mise en marche"/>
    <d v="2021-12-31T00:00:00"/>
    <m/>
    <n v="300"/>
    <x v="11"/>
    <x v="2"/>
    <m/>
  </r>
  <r>
    <d v="2021-12-31T00:00:00"/>
    <x v="0"/>
    <x v="0"/>
    <x v="0"/>
    <n v="26307"/>
    <m/>
    <s v="Poste de soudage"/>
    <s v="Pb sur pont de soudage"/>
    <s v="Réparation"/>
    <s v="Taraudage des trous de fixation et Raccordement et mise en marche"/>
    <d v="2021-12-31T00:00:00"/>
    <m/>
    <n v="120"/>
    <x v="11"/>
    <x v="2"/>
    <m/>
  </r>
  <r>
    <d v="2022-01-01T00:00:00"/>
    <x v="10"/>
    <x v="0"/>
    <x v="10"/>
    <n v="26216"/>
    <m/>
    <s v="panne sur cercleuse  "/>
    <s v="sertissage non conforme "/>
    <s v="reparation "/>
    <s v="changement 2 goupielle daimmetre 8 L 40 _x000a_changement 2 goupielle daimmetre 7 L 30 _x000a_changement 2 goupielle  afutage coteau du coupe "/>
    <d v="2022-01-01T00:00:00"/>
    <m/>
    <n v="120"/>
    <x v="0"/>
    <x v="3"/>
    <m/>
  </r>
  <r>
    <d v="2022-01-01T00:00:00"/>
    <x v="20"/>
    <x v="0"/>
    <x v="20"/>
    <n v="26217"/>
    <m/>
    <s v="panne sur cabestan "/>
    <s v="la surface de cabistan usé "/>
    <s v="reparation "/>
    <s v="démantage cabistan pour changement sodeur inosce et molage la surface usé _x000a_ remantage cabistan "/>
    <d v="2022-01-01T00:00:00"/>
    <m/>
    <n v="290"/>
    <x v="0"/>
    <x v="3"/>
    <m/>
  </r>
  <r>
    <d v="2022-01-01T00:00:00"/>
    <x v="20"/>
    <x v="0"/>
    <x v="20"/>
    <n v="26218"/>
    <m/>
    <s v="panne sur guid fil "/>
    <s v="polét guide file du cassette passe 3 ==&gt; usé "/>
    <s v="reparation "/>
    <s v="demantage polét guide file pour changement sodaur ( inosc )  _x000a_rementege polét "/>
    <d v="2022-01-01T00:00:00"/>
    <m/>
    <n v="120"/>
    <x v="0"/>
    <x v="3"/>
    <m/>
  </r>
  <r>
    <d v="2022-01-01T00:00:00"/>
    <x v="20"/>
    <x v="0"/>
    <x v="20"/>
    <n v="26219"/>
    <m/>
    <s v="panne sur cassette daimmetre 3,2 cranté "/>
    <s v="file cranté du daimmetre 3,2 non conforme "/>
    <s v="reparation "/>
    <s v="zommage des galet crante du daimmetre 3,2 "/>
    <d v="2022-01-01T00:00:00"/>
    <m/>
    <n v="0"/>
    <x v="0"/>
    <x v="3"/>
    <m/>
  </r>
  <r>
    <d v="2022-01-01T00:00:00"/>
    <x v="4"/>
    <x v="0"/>
    <x v="4"/>
    <n v="26308"/>
    <m/>
    <s v="Rouleau d'avancement"/>
    <s v="Roulement endommagé"/>
    <s v="Réparation"/>
    <s v="Changement des roulements endommagés"/>
    <d v="2022-01-01T00:00:00"/>
    <m/>
    <n v="60"/>
    <x v="0"/>
    <x v="3"/>
    <m/>
  </r>
  <r>
    <d v="2022-01-01T00:00:00"/>
    <x v="3"/>
    <x v="1"/>
    <x v="3"/>
    <m/>
    <m/>
    <s v="Malaxeur"/>
    <s v="Echeance vidange"/>
    <s v="Vidange"/>
    <s v="Vidange du reducteur"/>
    <d v="2022-01-01T00:00:00"/>
    <m/>
    <n v="30"/>
    <x v="0"/>
    <x v="3"/>
    <m/>
  </r>
  <r>
    <d v="2022-01-02T00:00:00"/>
    <x v="20"/>
    <x v="0"/>
    <x v="20"/>
    <n v="26212"/>
    <m/>
    <s v="panne sur cassete  daimmetre 3,8 L "/>
    <s v="les roulement conique endomage "/>
    <s v="reparation "/>
    <s v="changement 2 roulements conique 23008"/>
    <d v="2022-01-02T00:00:00"/>
    <m/>
    <n v="0"/>
    <x v="0"/>
    <x v="3"/>
    <m/>
  </r>
  <r>
    <d v="2022-01-03T00:00:00"/>
    <x v="20"/>
    <x v="0"/>
    <x v="20"/>
    <n v="26211"/>
    <m/>
    <s v="panne cassete daimmetre 3,8 L "/>
    <s v="flexible de graissage endomege "/>
    <s v="reparation "/>
    <s v="changement flexible  du graissage L 250mm"/>
    <d v="2022-01-03T00:00:00"/>
    <m/>
    <n v="45"/>
    <x v="0"/>
    <x v="3"/>
    <m/>
  </r>
  <r>
    <d v="2022-01-03T00:00:00"/>
    <x v="2"/>
    <x v="1"/>
    <x v="2"/>
    <n v="26163"/>
    <m/>
    <s v="Rouleau de chargement "/>
    <s v="Usure des lames du Rouleau"/>
    <s v="Réparation"/>
    <s v="Changement des lames du rouleaux"/>
    <d v="2022-01-03T00:00:00"/>
    <m/>
    <n v="120"/>
    <x v="0"/>
    <x v="3"/>
    <m/>
  </r>
  <r>
    <d v="2022-01-03T00:00:00"/>
    <x v="3"/>
    <x v="1"/>
    <x v="3"/>
    <m/>
    <m/>
    <s v="Table vibrante"/>
    <s v="Echeance vidange"/>
    <s v="Vidange"/>
    <s v="vidange de la table vibrante"/>
    <d v="2022-01-03T00:00:00"/>
    <m/>
    <n v="30"/>
    <x v="0"/>
    <x v="3"/>
    <m/>
  </r>
  <r>
    <d v="2022-01-04T00:00:00"/>
    <x v="10"/>
    <x v="0"/>
    <x v="10"/>
    <n v="26209"/>
    <m/>
    <s v="panne sur cassete daimmetre 8 cranté "/>
    <s v="les roulements conique endommagé "/>
    <s v="reparation "/>
    <s v="changement 6 roulements  32008 _x000a_ zommage "/>
    <d v="2022-01-04T00:00:00"/>
    <m/>
    <n v="0"/>
    <x v="0"/>
    <x v="3"/>
    <m/>
  </r>
  <r>
    <d v="2022-01-04T00:00:00"/>
    <x v="2"/>
    <x v="1"/>
    <x v="2"/>
    <n v="26251"/>
    <m/>
    <s v="Pince"/>
    <s v="Pb sur frein moteur"/>
    <s v="Réparation "/>
    <s v="Réglage du frein moteur et mise en marche"/>
    <d v="2022-01-04T00:00:00"/>
    <m/>
    <n v="180"/>
    <x v="0"/>
    <x v="3"/>
    <m/>
  </r>
  <r>
    <d v="2022-01-05T00:00:00"/>
    <x v="3"/>
    <x v="1"/>
    <x v="3"/>
    <n v="26157"/>
    <m/>
    <s v="rupture du courroie 2800 "/>
    <s v="durée de vie "/>
    <s v="reparation"/>
    <s v="changement du 16 silents blocs de T,V _x000a_changement du courroie double crante 2800_x000a_dressage des corniése d'asceuseus _x000a_reparation cable pince "/>
    <d v="2022-01-05T00:00:00"/>
    <m/>
    <n v="240"/>
    <x v="0"/>
    <x v="3"/>
    <m/>
  </r>
  <r>
    <d v="2022-01-05T00:00:00"/>
    <x v="17"/>
    <x v="0"/>
    <x v="17"/>
    <n v="26252"/>
    <m/>
    <s v="Alimentation 24VDC"/>
    <s v="Alimentation 24DC endommagée"/>
    <s v="Réparation"/>
    <s v="Changement du bloc d'alimentation"/>
    <d v="2022-01-05T00:00:00"/>
    <m/>
    <n v="30"/>
    <x v="0"/>
    <x v="3"/>
    <m/>
  </r>
  <r>
    <d v="2022-01-06T00:00:00"/>
    <x v="20"/>
    <x v="0"/>
    <x v="20"/>
    <n v="26220"/>
    <m/>
    <s v="panne sur bobinaire  "/>
    <s v="blocage sur frin bobinaire "/>
    <s v="reparation "/>
    <s v="démantage le destributeur d'air pour débochage cércuit d'air du frénage "/>
    <d v="2022-01-06T00:00:00"/>
    <m/>
    <n v="60"/>
    <x v="0"/>
    <x v="3"/>
    <m/>
  </r>
  <r>
    <d v="2022-01-06T00:00:00"/>
    <x v="20"/>
    <x v="0"/>
    <x v="20"/>
    <n v="26221"/>
    <m/>
    <s v="panne sur cassete daimmetre 4,6 L "/>
    <s v="fuite d'eau au neveau partie entrer sur cassette daimmetre 4,6 L "/>
    <s v="reparation "/>
    <s v="élèmination fuite d'eau _x000a_changement flexible d'eau L 300_x000a_changement raccord coudé 1/8 * 10_x000a_tarodage un traus du fexation raccord 1/8"/>
    <d v="2022-01-06T00:00:00"/>
    <m/>
    <n v="0"/>
    <x v="0"/>
    <x v="3"/>
    <m/>
  </r>
  <r>
    <d v="2022-01-06T00:00:00"/>
    <x v="4"/>
    <x v="0"/>
    <x v="4"/>
    <n v="26312"/>
    <m/>
    <s v="Système d'avancement"/>
    <s v="Roulement endommagés"/>
    <s v="Réparation "/>
    <s v="Changement des roulements endommagés et mise en marche"/>
    <d v="2022-01-10T00:00:00"/>
    <m/>
    <n v="180"/>
    <x v="0"/>
    <x v="3"/>
    <m/>
  </r>
  <r>
    <d v="2022-01-07T00:00:00"/>
    <x v="25"/>
    <x v="0"/>
    <x v="25"/>
    <n v="26309"/>
    <m/>
    <s v="Cisaille"/>
    <s v="Vis de fixation du mécanisme endommagé"/>
    <s v="Réparation"/>
    <s v="extraction de la vis changement et fixation du mecanisme"/>
    <d v="2022-01-07T00:00:00"/>
    <m/>
    <n v="55"/>
    <x v="0"/>
    <x v="3"/>
    <m/>
  </r>
  <r>
    <d v="2022-01-08T00:00:00"/>
    <x v="10"/>
    <x v="0"/>
    <x v="10"/>
    <n v="26222"/>
    <m/>
    <s v="panne sur bobinaire "/>
    <s v="les boulon de fexation pignon d'attaque et pignon du rotation ==&gt; cisaillement  "/>
    <s v="reparation "/>
    <s v="démantage bobinaire pour extraction des boulon casses _x000a_tarodage des traus M14_x000a_changement 8 boulon M14*60 TH"/>
    <d v="2022-01-08T00:00:00"/>
    <m/>
    <n v="480"/>
    <x v="0"/>
    <x v="3"/>
    <m/>
  </r>
  <r>
    <d v="2022-01-08T00:00:00"/>
    <x v="20"/>
    <x v="0"/>
    <x v="20"/>
    <n v="26223"/>
    <m/>
    <s v="panne sur pompe du graissage "/>
    <s v="blocage biston du pompe "/>
    <s v="reparation "/>
    <s v="nettoyage circuit d'air ( poussiere ) _x000a_serrage tous les article sur pompe "/>
    <d v="2022-01-08T00:00:00"/>
    <m/>
    <n v="120"/>
    <x v="0"/>
    <x v="3"/>
    <m/>
  </r>
  <r>
    <d v="2022-01-08T00:00:00"/>
    <x v="10"/>
    <x v="0"/>
    <x v="10"/>
    <n v="26224"/>
    <m/>
    <s v="panne sur cassete daimmetre 12 cranté "/>
    <s v="un galét cranté endommagé "/>
    <s v="reparatrion "/>
    <s v="changement galéte (PR12)"/>
    <d v="2022-01-08T00:00:00"/>
    <m/>
    <n v="0"/>
    <x v="0"/>
    <x v="3"/>
    <m/>
  </r>
  <r>
    <d v="2022-01-08T00:00:00"/>
    <x v="10"/>
    <x v="0"/>
    <x v="10"/>
    <n v="26523"/>
    <m/>
    <s v="Chariot "/>
    <s v="Capteur de proximité endommagé"/>
    <s v="Réparation"/>
    <s v="Changement du capteur de proximité"/>
    <d v="2022-01-08T00:00:00"/>
    <m/>
    <n v="60"/>
    <x v="0"/>
    <x v="3"/>
    <m/>
  </r>
  <r>
    <d v="2022-01-08T00:00:00"/>
    <x v="23"/>
    <x v="4"/>
    <x v="23"/>
    <n v="26310"/>
    <m/>
    <s v="Treuil principal"/>
    <s v="Frein endommagé"/>
    <s v="Réparation"/>
    <s v="Garniture d'un disque de frein et mise en marche"/>
    <d v="2022-01-08T00:00:00"/>
    <m/>
    <n v="120"/>
    <x v="0"/>
    <x v="3"/>
    <m/>
  </r>
  <r>
    <d v="2022-01-09T00:00:00"/>
    <x v="20"/>
    <x v="0"/>
    <x v="20"/>
    <n v="26225"/>
    <m/>
    <s v="panne sur cassete daimmetre 3,8 L "/>
    <s v="les roulements conique sur cassette endommagé "/>
    <s v="reparation "/>
    <s v="changement 8 roulements conique 32008_x000a_  * 4 sur partie entré cassete _x000a_  * 4 sur partie sortie cassete _x000a_1 oumage des galéts "/>
    <d v="2022-01-09T00:00:00"/>
    <m/>
    <n v="0"/>
    <x v="0"/>
    <x v="3"/>
    <m/>
  </r>
  <r>
    <d v="2022-01-10T00:00:00"/>
    <x v="10"/>
    <x v="0"/>
    <x v="10"/>
    <n v="26226"/>
    <m/>
    <s v="panne sur cassete daimmetre 10 crante "/>
    <s v="les roulements endommagé "/>
    <s v="reparation "/>
    <s v="changement 6 roulements conique 32008  zoumage "/>
    <d v="2022-01-10T00:00:00"/>
    <m/>
    <n v="0"/>
    <x v="0"/>
    <x v="3"/>
    <m/>
  </r>
  <r>
    <d v="2022-01-10T00:00:00"/>
    <x v="20"/>
    <x v="0"/>
    <x v="20"/>
    <n v="26227"/>
    <m/>
    <s v="panne sur cassete daimmetre 3,8 L "/>
    <s v="fuite au neveau circuit  du graissage "/>
    <s v="reparatioan "/>
    <s v="changement flexible du graissage L 250 mm"/>
    <d v="2022-01-10T00:00:00"/>
    <m/>
    <n v="60"/>
    <x v="0"/>
    <x v="3"/>
    <m/>
  </r>
  <r>
    <d v="2022-01-10T00:00:00"/>
    <x v="20"/>
    <x v="0"/>
    <x v="20"/>
    <n v="26254"/>
    <m/>
    <s v="Bobinoir"/>
    <s v="Pb sur vérin bobinoir"/>
    <s v="Réparation"/>
    <s v="Nettoyage de l'electrovanne et mise en marche"/>
    <d v="2022-01-10T00:00:00"/>
    <m/>
    <n v="60"/>
    <x v="0"/>
    <x v="3"/>
    <m/>
  </r>
  <r>
    <d v="2022-01-10T00:00:00"/>
    <x v="18"/>
    <x v="4"/>
    <x v="18"/>
    <n v="26255"/>
    <m/>
    <s v="Boite à commande"/>
    <s v="Ruptures de cables de commande"/>
    <s v="Réparation"/>
    <s v="Raccordement et mise en marche"/>
    <d v="2022-01-10T00:00:00"/>
    <m/>
    <n v="45"/>
    <x v="0"/>
    <x v="3"/>
    <m/>
  </r>
  <r>
    <d v="2022-01-10T00:00:00"/>
    <x v="0"/>
    <x v="0"/>
    <x v="0"/>
    <n v="26315"/>
    <m/>
    <s v="Système d'avancement"/>
    <s v="Blocage des galets du système d'avancement"/>
    <s v="Réparation "/>
    <s v="Changement d'un roulement endommagé et changement d'un vérin / mise en marche"/>
    <d v="2022-01-10T00:00:00"/>
    <m/>
    <n v="180"/>
    <x v="0"/>
    <x v="3"/>
    <m/>
  </r>
  <r>
    <d v="2022-01-10T00:00:00"/>
    <x v="4"/>
    <x v="0"/>
    <x v="4"/>
    <n v="26316"/>
    <m/>
    <s v="Treuil principal"/>
    <s v="Cable de levage endommagé"/>
    <s v="Réparation"/>
    <s v="Changement du cable endommagé"/>
    <d v="2022-01-10T00:00:00"/>
    <m/>
    <n v="60"/>
    <x v="0"/>
    <x v="3"/>
    <m/>
  </r>
  <r>
    <d v="2022-01-10T00:00:00"/>
    <x v="14"/>
    <x v="4"/>
    <x v="14"/>
    <n v="26316"/>
    <m/>
    <s v="Treuil principal"/>
    <s v="Cable antigiratoire endommagé"/>
    <s v="Réparation"/>
    <s v="Changement du cable endommagé"/>
    <d v="2022-01-10T00:00:00"/>
    <m/>
    <n v="60"/>
    <x v="0"/>
    <x v="3"/>
    <m/>
  </r>
  <r>
    <d v="2022-01-12T00:00:00"/>
    <x v="2"/>
    <x v="1"/>
    <x v="2"/>
    <n v="26158"/>
    <m/>
    <s v="fuite sur flexible hydraulique du compresseur"/>
    <m/>
    <s v="reparation "/>
    <s v="dementage et altenti l'arrivé d'un nouvveau flexible ( flexible n'est pas en stock )"/>
    <d v="2022-01-12T00:00:00"/>
    <m/>
    <n v="180"/>
    <x v="0"/>
    <x v="3"/>
    <m/>
  </r>
  <r>
    <d v="2022-01-12T00:00:00"/>
    <x v="2"/>
    <x v="1"/>
    <x v="2"/>
    <n v="26159"/>
    <m/>
    <s v="probleme sur support verin tirroir"/>
    <s v="fissure "/>
    <s v="reparation "/>
    <s v="demontage du verin tirroir _x000a_chengement de la plaque  fissurée _x000a_soudage du partie du socle fissurée _x000a_remontage verin et se mise en mareche "/>
    <d v="2022-01-12T00:00:00"/>
    <m/>
    <n v="120"/>
    <x v="0"/>
    <x v="3"/>
    <m/>
  </r>
  <r>
    <d v="2022-01-12T00:00:00"/>
    <x v="20"/>
    <x v="0"/>
    <x v="20"/>
    <n v="26228"/>
    <m/>
    <s v="panne sur cercleuse "/>
    <s v="fuit d'air + coteau endomage "/>
    <s v="reparation "/>
    <s v="élémination fuit d'air au neveau biston du cercleuse _x000a_afutage coteau   "/>
    <d v="2022-01-12T00:00:00"/>
    <m/>
    <n v="90"/>
    <x v="0"/>
    <x v="3"/>
    <m/>
  </r>
  <r>
    <d v="2022-01-12T00:00:00"/>
    <x v="20"/>
    <x v="0"/>
    <x v="20"/>
    <n v="26229"/>
    <m/>
    <s v="panne sur support cercleuse "/>
    <s v="cable du support cesayer "/>
    <s v="reparation "/>
    <s v="changement cable daimmetre 6 L 2m _x000a_tirrage un rosour du rappel sur support cercleuse "/>
    <d v="2022-01-12T00:00:00"/>
    <m/>
    <n v="90"/>
    <x v="0"/>
    <x v="3"/>
    <m/>
  </r>
  <r>
    <d v="2022-01-12T00:00:00"/>
    <x v="24"/>
    <x v="4"/>
    <x v="24"/>
    <n v="26257"/>
    <m/>
    <s v="Pb sur moteur translation"/>
    <s v="Rupture du vable 'alimentation"/>
    <s v="Réparation"/>
    <s v="Raccordement du cable electrique et mise en marche"/>
    <d v="2022-01-12T00:00:00"/>
    <m/>
    <n v="30"/>
    <x v="0"/>
    <x v="3"/>
    <m/>
  </r>
  <r>
    <d v="2022-01-13T00:00:00"/>
    <x v="3"/>
    <x v="1"/>
    <x v="3"/>
    <n v="26160"/>
    <m/>
    <s v="mauvaise soudage du feuillard ( cercleuse 08 )"/>
    <s v="prableme sur disque enbrayage "/>
    <s v="reparation "/>
    <s v="demantage et changement d'embrayage "/>
    <d v="2022-01-13T00:00:00"/>
    <m/>
    <n v="180"/>
    <x v="0"/>
    <x v="3"/>
    <m/>
  </r>
  <r>
    <d v="2022-01-13T00:00:00"/>
    <x v="4"/>
    <x v="0"/>
    <x v="4"/>
    <n v="26317"/>
    <m/>
    <s v="Devidoir"/>
    <s v="Défaut de freinage ( fuite d'air"/>
    <s v="Réparation"/>
    <s v="Chnagement d'un raccord / elimination de la fuite et mise en marche"/>
    <d v="2022-01-13T00:00:00"/>
    <m/>
    <n v="15"/>
    <x v="0"/>
    <x v="3"/>
    <m/>
  </r>
  <r>
    <d v="2022-01-14T00:00:00"/>
    <x v="20"/>
    <x v="0"/>
    <x v="20"/>
    <n v="26230"/>
    <m/>
    <s v="panne sur poste soudeur "/>
    <s v="chute pédole "/>
    <s v="reparatrion "/>
    <s v="reglage 2 pédale du poste soudage "/>
    <d v="2022-01-14T00:00:00"/>
    <m/>
    <n v="0"/>
    <x v="0"/>
    <x v="3"/>
    <m/>
  </r>
  <r>
    <d v="2022-01-14T00:00:00"/>
    <x v="3"/>
    <x v="1"/>
    <x v="3"/>
    <n v="26259"/>
    <m/>
    <s v="Pilon"/>
    <s v="Detecteur endommagé"/>
    <s v="Réparation"/>
    <s v="Changement du capteur endommagé"/>
    <d v="2022-01-14T00:00:00"/>
    <m/>
    <n v="75"/>
    <x v="0"/>
    <x v="3"/>
    <m/>
  </r>
  <r>
    <d v="2022-01-15T00:00:00"/>
    <x v="10"/>
    <x v="0"/>
    <x v="10"/>
    <n v="26231"/>
    <m/>
    <s v="panne sur cassette daimmetre 12 crenté "/>
    <s v="galét cranté endomage "/>
    <s v="reparation "/>
    <s v="changement du galét cranté (PR12° _x000a_ ZOUMAGE "/>
    <d v="2022-01-16T00:00:00"/>
    <m/>
    <n v="150"/>
    <x v="0"/>
    <x v="3"/>
    <m/>
  </r>
  <r>
    <d v="2022-01-15T00:00:00"/>
    <x v="4"/>
    <x v="0"/>
    <x v="4"/>
    <n v="26319"/>
    <m/>
    <s v="Rouleau d'avancement"/>
    <s v="Distributeur bloqué"/>
    <s v="Réparation"/>
    <s v="Entretien du distributeur montage et mise en marche"/>
    <d v="2022-01-15T00:00:00"/>
    <m/>
    <n v="120"/>
    <x v="0"/>
    <x v="3"/>
    <m/>
  </r>
  <r>
    <d v="2022-01-18T00:00:00"/>
    <x v="3"/>
    <x v="1"/>
    <x v="3"/>
    <n v="26161"/>
    <m/>
    <s v="deferillance de la pompe hydraulique"/>
    <m/>
    <s v="reparation"/>
    <s v="dementage de la pompe _x000a_nettoyage du circuit hydraulique _x000a_chenegement des filters_x000a_remontage de la nouvalle pompe  et reglage du pression "/>
    <d v="2022-01-18T00:00:00"/>
    <m/>
    <n v="720"/>
    <x v="0"/>
    <x v="3"/>
    <m/>
  </r>
  <r>
    <d v="2022-01-18T00:00:00"/>
    <x v="20"/>
    <x v="0"/>
    <x v="20"/>
    <n v="26232"/>
    <m/>
    <s v="panne sur cassete daimmetre 3,2 cranté "/>
    <s v="blocage au neveau ecrou serrage des galét "/>
    <s v="reparation "/>
    <s v="nettoyage cassete  _x000a_vérification tout les galét sur cassete "/>
    <d v="2022-01-18T00:00:00"/>
    <m/>
    <n v="0"/>
    <x v="0"/>
    <x v="3"/>
    <m/>
  </r>
  <r>
    <d v="2022-01-18T00:00:00"/>
    <x v="17"/>
    <x v="0"/>
    <x v="17"/>
    <n v="26320"/>
    <m/>
    <s v="Guide fil"/>
    <s v="Galet guide fil bloqué en position haut"/>
    <s v="Réparation"/>
    <s v="Nettoyage du distributeur d'air et mise en marche"/>
    <d v="2022-01-18T00:00:00"/>
    <m/>
    <n v="240"/>
    <x v="0"/>
    <x v="3"/>
    <m/>
  </r>
  <r>
    <d v="2022-01-18T00:00:00"/>
    <x v="17"/>
    <x v="0"/>
    <x v="17"/>
    <n v="26320"/>
    <m/>
    <s v="Guide fil"/>
    <s v="Distributeur de galet de tirage obstrué"/>
    <s v="Réparation"/>
    <s v="Nettoyage et entretien du distributeur et mise en marche"/>
    <d v="2022-01-18T00:00:00"/>
    <m/>
    <n v="60"/>
    <x v="0"/>
    <x v="3"/>
    <m/>
  </r>
  <r>
    <d v="2022-01-18T00:00:00"/>
    <x v="0"/>
    <x v="0"/>
    <x v="0"/>
    <n v="26323"/>
    <m/>
    <s v="Bloc de soudage"/>
    <s v="Vis de fixation d'electrode endommagé"/>
    <s v="Réparation"/>
    <s v="Extraction d'une vis et changement d'une vis"/>
    <d v="2022-01-18T00:00:00"/>
    <m/>
    <n v="20"/>
    <x v="0"/>
    <x v="3"/>
    <m/>
  </r>
  <r>
    <d v="2022-01-19T00:00:00"/>
    <x v="4"/>
    <x v="0"/>
    <x v="4"/>
    <n v="26162"/>
    <m/>
    <s v="probleme sur table elevateur "/>
    <s v="blocage du chainene de transmission "/>
    <s v="reparation "/>
    <s v="dementage du pignon tendeur _x000a_deblocage du chaine _x000a_ mise en marche de la table "/>
    <d v="2022-01-19T00:00:00"/>
    <m/>
    <n v="120"/>
    <x v="0"/>
    <x v="3"/>
    <m/>
  </r>
  <r>
    <d v="2022-01-19T00:00:00"/>
    <x v="4"/>
    <x v="0"/>
    <x v="4"/>
    <n v="26324"/>
    <m/>
    <s v="Cisaille"/>
    <s v="Moteur cisaille bloqué"/>
    <s v="Réparation"/>
    <s v="Démontage du frein moteur et liberation du moteur "/>
    <d v="2022-01-19T00:00:00"/>
    <m/>
    <n v="300"/>
    <x v="0"/>
    <x v="3"/>
    <m/>
  </r>
  <r>
    <d v="2022-01-19T00:00:00"/>
    <x v="0"/>
    <x v="0"/>
    <x v="0"/>
    <n v="26324"/>
    <m/>
    <s v="Cisaille"/>
    <s v="Garniture moteur usée"/>
    <s v="Réparation"/>
    <s v="Changement garniture et mise en marche"/>
    <d v="2022-01-19T00:00:00"/>
    <m/>
    <n v="150"/>
    <x v="0"/>
    <x v="3"/>
    <m/>
  </r>
  <r>
    <d v="2022-01-20T00:00:00"/>
    <x v="20"/>
    <x v="0"/>
    <x v="20"/>
    <n v="26233"/>
    <m/>
    <s v="panne sur savennaire "/>
    <s v="blocage au neveau moteur du savonaire "/>
    <s v="reparation "/>
    <s v="changement moteur electrique "/>
    <d v="2022-01-20T00:00:00"/>
    <m/>
    <n v="300"/>
    <x v="0"/>
    <x v="3"/>
    <m/>
  </r>
  <r>
    <d v="2022-01-24T00:00:00"/>
    <x v="5"/>
    <x v="2"/>
    <x v="5"/>
    <n v="26164"/>
    <m/>
    <s v="Compresseur"/>
    <s v="Compresseur HS"/>
    <s v="Réparation"/>
    <s v="Remplacement par GA22"/>
    <d v="2022-01-24T00:00:00"/>
    <s v="Achat Compresseur Neuf en cours"/>
    <n v="90"/>
    <x v="0"/>
    <x v="3"/>
    <m/>
  </r>
  <r>
    <d v="2022-01-25T00:00:00"/>
    <x v="10"/>
    <x v="0"/>
    <x v="10"/>
    <n v="26234"/>
    <m/>
    <s v="panne sur cassete daimmetre 10 cranté "/>
    <s v="la durie vie du roulement conique "/>
    <s v="reparation "/>
    <s v="changement 6 roulement conique 32008_x000a_zommage "/>
    <d v="2022-01-25T00:00:00"/>
    <m/>
    <n v="240"/>
    <x v="0"/>
    <x v="3"/>
    <m/>
  </r>
  <r>
    <d v="2022-01-25T00:00:00"/>
    <x v="3"/>
    <x v="1"/>
    <x v="3"/>
    <n v="26263"/>
    <m/>
    <s v="Pince"/>
    <s v="Pb electrique"/>
    <s v="Réparation "/>
    <s v="Réparation du cable endommagé"/>
    <d v="2022-01-25T00:00:00"/>
    <m/>
    <n v="90"/>
    <x v="0"/>
    <x v="3"/>
    <m/>
  </r>
  <r>
    <d v="2022-01-26T00:00:00"/>
    <x v="20"/>
    <x v="0"/>
    <x v="20"/>
    <n v="26235"/>
    <m/>
    <s v="panne sur cassete daimmetre 3,8 lisse "/>
    <s v="un galét lisse sur partie entré du cassette endomage "/>
    <s v="reparation "/>
    <s v="changement  galét lisse (RO0)_x000a_changement 2 roulement conique 32008 "/>
    <d v="2022-01-26T00:00:00"/>
    <m/>
    <n v="0"/>
    <x v="0"/>
    <x v="3"/>
    <m/>
  </r>
  <r>
    <d v="2022-01-26T00:00:00"/>
    <x v="20"/>
    <x v="0"/>
    <x v="20"/>
    <n v="26701"/>
    <m/>
    <s v="Savonniere"/>
    <s v="Clavetage moteur endommagé"/>
    <s v="Réparation"/>
    <s v="Démontage et changement du moteur endommagé"/>
    <d v="2022-01-26T00:00:00"/>
    <m/>
    <n v="180"/>
    <x v="0"/>
    <x v="3"/>
    <m/>
  </r>
  <r>
    <d v="2022-01-27T00:00:00"/>
    <x v="11"/>
    <x v="0"/>
    <x v="11"/>
    <n v="26703"/>
    <m/>
    <s v="Savonniere"/>
    <s v="Galet guide fil endommagé"/>
    <s v="Réparation"/>
    <s v="Changement d'un galet guide fil"/>
    <d v="2022-01-27T00:00:00"/>
    <m/>
    <n v="90"/>
    <x v="0"/>
    <x v="3"/>
    <m/>
  </r>
  <r>
    <d v="2022-01-27T00:00:00"/>
    <x v="2"/>
    <x v="1"/>
    <x v="2"/>
    <n v="26165"/>
    <m/>
    <s v="Silo6"/>
    <s v="Blocage de la vis à ciment"/>
    <s v="Réparatio"/>
    <s v="Déblocage de la vis et mise en marche"/>
    <d v="2022-01-07T00:00:00"/>
    <m/>
    <n v="120"/>
    <x v="0"/>
    <x v="3"/>
    <m/>
  </r>
  <r>
    <d v="2022-01-27T00:00:00"/>
    <x v="2"/>
    <x v="1"/>
    <x v="2"/>
    <n v="26165"/>
    <m/>
    <s v="Circuit d'air comprimé"/>
    <s v="Fuite d'air "/>
    <s v="Réparation"/>
    <s v="Elimination de la fuite et mise en d'une vanne d'arret"/>
    <d v="2022-01-27T00:00:00"/>
    <m/>
    <n v="120"/>
    <x v="0"/>
    <x v="3"/>
    <m/>
  </r>
  <r>
    <d v="2022-01-28T00:00:00"/>
    <x v="20"/>
    <x v="0"/>
    <x v="20"/>
    <n v="26268"/>
    <m/>
    <s v="Bobinoir"/>
    <s v="Détecteur de priximité dereglé"/>
    <s v="Réparation"/>
    <s v="Réglage du capteur de proximité"/>
    <d v="2022-01-28T00:00:00"/>
    <m/>
    <n v="120"/>
    <x v="0"/>
    <x v="3"/>
    <m/>
  </r>
  <r>
    <d v="2022-01-28T00:00:00"/>
    <x v="22"/>
    <x v="0"/>
    <x v="22"/>
    <n v="26329"/>
    <m/>
    <s v="Cisaille"/>
    <s v="Entretien general"/>
    <s v="Réparation"/>
    <s v="Démontage du système de cisaillage et entretien"/>
    <d v="2022-01-28T00:00:00"/>
    <m/>
    <n v="960"/>
    <x v="0"/>
    <x v="3"/>
    <m/>
  </r>
  <r>
    <d v="2022-01-29T00:00:00"/>
    <x v="20"/>
    <x v="0"/>
    <x v="20"/>
    <n v="26704"/>
    <m/>
    <s v="Cabestan"/>
    <s v="Surface cabestan usée"/>
    <s v="Réparation"/>
    <s v="Démontage du cabestan et chargement de surface"/>
    <d v="2022-01-31T00:00:00"/>
    <m/>
    <n v="960"/>
    <x v="0"/>
    <x v="3"/>
    <m/>
  </r>
  <r>
    <d v="2022-01-29T00:00:00"/>
    <x v="10"/>
    <x v="0"/>
    <x v="10"/>
    <n v="26705"/>
    <m/>
    <s v="Circuit d'air comprimé"/>
    <s v="Fuite d'air (tuyau PPR endommagé)"/>
    <s v="Réparation"/>
    <s v="Raccordement et mise en marche"/>
    <d v="2022-01-29T00:00:00"/>
    <m/>
    <n v="50"/>
    <x v="0"/>
    <x v="3"/>
    <m/>
  </r>
  <r>
    <d v="2022-01-31T00:00:00"/>
    <x v="3"/>
    <x v="1"/>
    <x v="3"/>
    <n v="26166"/>
    <m/>
    <s v="Moule"/>
    <s v="Cisaillement de la chape de vérin"/>
    <s v="Réparation"/>
    <s v="Soudage de la partie endommagée et mise en marche"/>
    <d v="2022-01-31T00:00:00"/>
    <m/>
    <n v="120"/>
    <x v="0"/>
    <x v="3"/>
    <m/>
  </r>
  <r>
    <d v="2022-02-02T00:00:00"/>
    <x v="20"/>
    <x v="0"/>
    <x v="20"/>
    <n v="26707"/>
    <m/>
    <s v="Cassette 4,6"/>
    <s v="Roulement endommagé"/>
    <s v="Réparation"/>
    <s v="Changement de 4 roulements 32008"/>
    <d v="2022-02-02T00:00:00"/>
    <m/>
    <m/>
    <x v="1"/>
    <x v="3"/>
    <m/>
  </r>
  <r>
    <d v="2022-02-02T00:00:00"/>
    <x v="10"/>
    <x v="0"/>
    <x v="10"/>
    <n v="26708"/>
    <m/>
    <s v="Cassette d12"/>
    <s v="Jeu sur roulement galet cranté"/>
    <s v="Réparation"/>
    <s v="Changement de 6 roulements 32008"/>
    <d v="2022-02-02T00:00:00"/>
    <m/>
    <m/>
    <x v="1"/>
    <x v="3"/>
    <m/>
  </r>
  <r>
    <d v="2022-02-02T00:00:00"/>
    <x v="13"/>
    <x v="0"/>
    <x v="13"/>
    <n v="26454"/>
    <m/>
    <s v="Guide fil"/>
    <s v="Panne du dispositif guide fil"/>
    <s v="Réparation"/>
    <s v="Soudage de la parite endommagée et mise en marche"/>
    <d v="2022-02-02T00:00:00"/>
    <m/>
    <n v="240"/>
    <x v="1"/>
    <x v="3"/>
    <m/>
  </r>
  <r>
    <d v="2022-02-02T00:00:00"/>
    <x v="3"/>
    <x v="1"/>
    <x v="3"/>
    <n v="26167"/>
    <m/>
    <s v="Skip"/>
    <s v="Cable usé"/>
    <s v="Réparation"/>
    <s v="Changement du cable du skip D16MM et changement de deux pales de malaxeur"/>
    <d v="2022-02-02T00:00:00"/>
    <m/>
    <n v="120"/>
    <x v="1"/>
    <x v="3"/>
    <m/>
  </r>
  <r>
    <d v="2022-02-02T00:00:00"/>
    <x v="4"/>
    <x v="0"/>
    <x v="4"/>
    <n v="26653"/>
    <m/>
    <s v="Table elevatrice"/>
    <s v="PB de commange"/>
    <s v="Réparation"/>
    <s v="Raccordement du cable de l'electrovanne"/>
    <d v="2022-02-02T00:00:00"/>
    <m/>
    <n v="30"/>
    <x v="1"/>
    <x v="3"/>
    <m/>
  </r>
  <r>
    <d v="2022-02-05T00:00:00"/>
    <x v="10"/>
    <x v="0"/>
    <x v="10"/>
    <n v="26709"/>
    <m/>
    <s v="Redresseur"/>
    <s v="Défaut sur galet de dressage"/>
    <s v="Réparation"/>
    <s v="Changement des roulement + surfaçage "/>
    <d v="2022-02-05T00:00:00"/>
    <m/>
    <n v="120"/>
    <x v="1"/>
    <x v="3"/>
    <m/>
  </r>
  <r>
    <d v="2022-02-05T00:00:00"/>
    <x v="4"/>
    <x v="0"/>
    <x v="4"/>
    <n v="26452"/>
    <m/>
    <s v="Groupe hydraulique"/>
    <s v="Accouplement endommagé"/>
    <s v="Réparation "/>
    <s v="Confection d'un acouplement et vidange du GH"/>
    <d v="2022-02-07T00:00:00"/>
    <m/>
    <n v="960"/>
    <x v="1"/>
    <x v="3"/>
    <m/>
  </r>
  <r>
    <d v="2022-02-05T00:00:00"/>
    <x v="14"/>
    <x v="4"/>
    <x v="14"/>
    <n v="26453"/>
    <m/>
    <s v="Palan"/>
    <s v="Changement du cable antigiratoire"/>
    <s v="Réparation"/>
    <s v="Changement du cable endommagé"/>
    <d v="2022-02-05T00:00:00"/>
    <m/>
    <n v="160"/>
    <x v="1"/>
    <x v="3"/>
    <m/>
  </r>
  <r>
    <d v="2022-02-05T00:00:00"/>
    <x v="4"/>
    <x v="0"/>
    <x v="4"/>
    <n v="26455"/>
    <m/>
    <s v="Dispositif de soudage"/>
    <s v="Panne de plongeur"/>
    <s v="Réparation "/>
    <s v="Changement de l'axe plongeur déformé"/>
    <d v="2022-02-05T00:00:00"/>
    <m/>
    <n v="180"/>
    <x v="1"/>
    <x v="3"/>
    <m/>
  </r>
  <r>
    <d v="2022-02-05T00:00:00"/>
    <x v="3"/>
    <x v="1"/>
    <x v="3"/>
    <n v="26168"/>
    <m/>
    <s v="Malaxeur"/>
    <s v="Pompe à eau endommagée"/>
    <s v="Réparation"/>
    <s v="Changement de la pompe 3kw à patte Centrifuge 1&quot;1/12 - 1&quot; "/>
    <d v="2022-02-05T00:00:00"/>
    <m/>
    <n v="150"/>
    <x v="1"/>
    <x v="3"/>
    <m/>
  </r>
  <r>
    <d v="2022-02-07T00:00:00"/>
    <x v="10"/>
    <x v="0"/>
    <x v="10"/>
    <n v="26710"/>
    <m/>
    <s v="Cassette d10"/>
    <s v="Roulement endommagé"/>
    <s v="Réparation"/>
    <s v="Changement de 4 roulements 32008"/>
    <d v="2022-02-07T00:00:00"/>
    <m/>
    <n v="180"/>
    <x v="1"/>
    <x v="3"/>
    <m/>
  </r>
  <r>
    <d v="2022-02-07T00:00:00"/>
    <x v="11"/>
    <x v="0"/>
    <x v="11"/>
    <n v="26711"/>
    <m/>
    <s v="Savonniere"/>
    <s v="Circuit de refroidissement bouché"/>
    <s v="Réparation "/>
    <s v="Débouchage du circuit de refroidissement"/>
    <d v="2022-02-07T00:00:00"/>
    <m/>
    <n v="45"/>
    <x v="1"/>
    <x v="3"/>
    <m/>
  </r>
  <r>
    <d v="2022-02-07T00:00:00"/>
    <x v="2"/>
    <x v="1"/>
    <x v="2"/>
    <n v="26169"/>
    <m/>
    <s v="Tiroir d'agitation"/>
    <s v="Palier endommagés"/>
    <s v="Réparation"/>
    <s v="Changement du palier du tiroir"/>
    <d v="2022-02-07T00:00:00"/>
    <m/>
    <n v="90"/>
    <x v="1"/>
    <x v="3"/>
    <m/>
  </r>
  <r>
    <d v="2022-02-07T00:00:00"/>
    <x v="3"/>
    <x v="1"/>
    <x v="3"/>
    <n v="26170"/>
    <m/>
    <s v="Tiroir d'agitation"/>
    <s v="Usure des bras d'agitation et de la grille d'agitation"/>
    <s v="Réparation"/>
    <s v="Démontage et changement des bras et de la grille d'agitation"/>
    <d v="2022-02-07T00:00:00"/>
    <m/>
    <n v="480"/>
    <x v="1"/>
    <x v="3"/>
    <m/>
  </r>
  <r>
    <d v="2022-02-08T00:00:00"/>
    <x v="20"/>
    <x v="0"/>
    <x v="20"/>
    <n v="26712"/>
    <m/>
    <s v="Cassette 3,2"/>
    <s v="Fuite d'eau "/>
    <s v="Réparation"/>
    <s v="Elimination de la fuite ( changement d'un flexible)"/>
    <d v="2022-02-08T00:00:00"/>
    <m/>
    <n v="45"/>
    <x v="1"/>
    <x v="3"/>
    <m/>
  </r>
  <r>
    <d v="2022-02-11T00:00:00"/>
    <x v="10"/>
    <x v="0"/>
    <x v="10"/>
    <n v="26714"/>
    <m/>
    <s v="Cassette d8"/>
    <s v="Jeu sur galet lisse"/>
    <s v="Réparation"/>
    <s v="Changement de 4 roulement conique 32008"/>
    <d v="2022-02-11T00:00:00"/>
    <m/>
    <n v="240"/>
    <x v="1"/>
    <x v="3"/>
    <m/>
  </r>
  <r>
    <d v="2022-02-11T00:00:00"/>
    <x v="20"/>
    <x v="0"/>
    <x v="20"/>
    <n v="26717"/>
    <m/>
    <s v="Cabestan"/>
    <s v="Roulement boite de transmission endommagés"/>
    <s v="Réparation"/>
    <s v="Démontage de la boite de transmission changement des roulements et mise en marche"/>
    <d v="2022-02-16T00:00:00"/>
    <m/>
    <n v="4800"/>
    <x v="1"/>
    <x v="3"/>
    <m/>
  </r>
  <r>
    <d v="2022-02-14T00:00:00"/>
    <x v="17"/>
    <x v="0"/>
    <x v="17"/>
    <n v="26458"/>
    <m/>
    <s v="Disposit de cisaille"/>
    <s v="Came déreglée"/>
    <s v="Réparation "/>
    <s v="Réglage de la came de cisaille"/>
    <d v="2022-02-14T00:00:00"/>
    <m/>
    <n v="120"/>
    <x v="1"/>
    <x v="3"/>
    <m/>
  </r>
  <r>
    <d v="2022-02-14T00:00:00"/>
    <x v="4"/>
    <x v="0"/>
    <x v="4"/>
    <n v="26459"/>
    <m/>
    <s v="Circuit de refroidissement"/>
    <s v="Circuit bouché"/>
    <s v="Réparation "/>
    <s v="Débouchage et mise en marche"/>
    <d v="2022-02-14T00:00:00"/>
    <m/>
    <n v="120"/>
    <x v="1"/>
    <x v="3"/>
    <m/>
  </r>
  <r>
    <d v="2022-02-14T00:00:00"/>
    <x v="3"/>
    <x v="1"/>
    <x v="3"/>
    <n v="26171"/>
    <m/>
    <s v="Moule"/>
    <s v="Vérin moule endommagé"/>
    <s v="Réparation"/>
    <s v="Soudage de la chappe et la tige"/>
    <d v="2022-02-14T00:00:00"/>
    <m/>
    <n v="60"/>
    <x v="1"/>
    <x v="3"/>
    <m/>
  </r>
  <r>
    <d v="2022-02-14T00:00:00"/>
    <x v="2"/>
    <x v="1"/>
    <x v="2"/>
    <n v="26172"/>
    <m/>
    <s v="Cercleuse 08"/>
    <s v="Usure de la fixation des griffes "/>
    <s v="Réparation"/>
    <s v="Démontage des griffes de la lance fixation et mise en marche"/>
    <d v="2022-02-14T00:00:00"/>
    <m/>
    <n v="60"/>
    <x v="1"/>
    <x v="3"/>
    <m/>
  </r>
  <r>
    <d v="2022-02-15T00:00:00"/>
    <x v="3"/>
    <x v="1"/>
    <x v="3"/>
    <n v="26173"/>
    <m/>
    <s v="Convoyeur à palette"/>
    <s v="Rupture de la chaine tendeuse du convoyeur à palette"/>
    <s v="Réparation"/>
    <s v="Changement de la chaine et tension "/>
    <d v="2022-02-15T00:00:00"/>
    <m/>
    <n v="60"/>
    <x v="1"/>
    <x v="3"/>
    <m/>
  </r>
  <r>
    <d v="2022-02-15T00:00:00"/>
    <x v="26"/>
    <x v="0"/>
    <x v="26"/>
    <n v="26335"/>
    <m/>
    <s v="Cisaille"/>
    <s v="Distributeur endommagé"/>
    <s v="Réparation"/>
    <s v="Changement d'un distributeur hydrauklique 5/2"/>
    <d v="2022-02-15T00:00:00"/>
    <m/>
    <n v="180"/>
    <x v="1"/>
    <x v="3"/>
    <m/>
  </r>
  <r>
    <d v="2022-02-15T00:00:00"/>
    <x v="26"/>
    <x v="0"/>
    <x v="26"/>
    <n v="26335"/>
    <m/>
    <s v="cisaille"/>
    <s v="Fuite interne au niveau du distributeur hydraulique"/>
    <s v="Réparation"/>
    <s v="Changement du distributeur endommagé"/>
    <d v="2022-02-15T00:00:00"/>
    <m/>
    <n v="180"/>
    <x v="1"/>
    <x v="3"/>
    <m/>
  </r>
  <r>
    <d v="2022-02-15T00:00:00"/>
    <x v="26"/>
    <x v="0"/>
    <x v="26"/>
    <n v="26339"/>
    <m/>
    <s v="Alimentation en eau"/>
    <s v="Fuite d'eau sur pompe d'alimentation"/>
    <s v="Réparation"/>
    <s v="Changement de la presse etoupe endomagée"/>
    <d v="2022-02-15T00:00:00"/>
    <m/>
    <n v="120"/>
    <x v="1"/>
    <x v="3"/>
    <m/>
  </r>
  <r>
    <d v="2022-02-16T00:00:00"/>
    <x v="1"/>
    <x v="0"/>
    <x v="1"/>
    <n v="26719"/>
    <m/>
    <s v="Danseur n3"/>
    <s v="Galet guide fil coincé"/>
    <s v="Réparation"/>
    <s v="Changement de 4 galets guide fils"/>
    <d v="2022-02-16T00:00:00"/>
    <m/>
    <n v="90"/>
    <x v="1"/>
    <x v="3"/>
    <m/>
  </r>
  <r>
    <d v="2022-02-16T00:00:00"/>
    <x v="25"/>
    <x v="0"/>
    <x v="25"/>
    <n v="26340"/>
    <m/>
    <s v="Embrayage "/>
    <s v="Embrayage endommagé"/>
    <s v="Réparation"/>
    <s v="Réparation du porte clavette et mise en marchez"/>
    <d v="2022-02-19T00:00:00"/>
    <m/>
    <n v="180"/>
    <x v="1"/>
    <x v="3"/>
    <m/>
  </r>
  <r>
    <d v="2022-02-16T00:00:00"/>
    <x v="25"/>
    <x v="0"/>
    <x v="25"/>
    <n v="26340"/>
    <m/>
    <s v="Embrayage "/>
    <s v="Clavetage endommagé"/>
    <s v="Réparation"/>
    <s v="Soudure de la partie endommagée et mise en marche"/>
    <d v="2022-02-16T00:00:00"/>
    <m/>
    <n v="150"/>
    <x v="1"/>
    <x v="3"/>
    <m/>
  </r>
  <r>
    <d v="2022-02-17T00:00:00"/>
    <x v="1"/>
    <x v="0"/>
    <x v="1"/>
    <n v="26720"/>
    <m/>
    <s v="Cassette d4  "/>
    <s v="Raccord d'eau endommagé"/>
    <s v="Réparation"/>
    <s v="Changement d'un distributeur d'eau"/>
    <d v="2022-02-17T00:00:00"/>
    <m/>
    <n v="30"/>
    <x v="1"/>
    <x v="3"/>
    <m/>
  </r>
  <r>
    <d v="2022-02-17T00:00:00"/>
    <x v="2"/>
    <x v="1"/>
    <x v="2"/>
    <n v="26175"/>
    <m/>
    <s v="Trémie Gravettes"/>
    <s v="Blocage du convoyeur à cause de la présence d'UPN 80 Bloqué"/>
    <s v="Réparation"/>
    <s v=" Extraction et mise en marche de la machine"/>
    <d v="2022-02-17T00:00:00"/>
    <m/>
    <n v="180"/>
    <x v="1"/>
    <x v="3"/>
    <m/>
  </r>
  <r>
    <d v="2022-02-18T00:00:00"/>
    <x v="4"/>
    <x v="0"/>
    <x v="4"/>
    <n v="26460"/>
    <m/>
    <s v="Système d'avancement"/>
    <s v="Roulements du système d'avancement endommagés"/>
    <s v="Réparation"/>
    <s v="Chnagement des roulements et mise en marche"/>
    <d v="2022-02-18T00:00:00"/>
    <m/>
    <n v="1440"/>
    <x v="1"/>
    <x v="3"/>
    <m/>
  </r>
  <r>
    <d v="2022-02-19T00:00:00"/>
    <x v="1"/>
    <x v="0"/>
    <x v="1"/>
    <n v="26721"/>
    <m/>
    <s v="Sauterelle"/>
    <s v="Rouelemnt de poulie endommgé"/>
    <s v="Réparation"/>
    <s v="Changement de deux roulements a bille et mise en marche"/>
    <d v="2022-02-19T00:00:00"/>
    <m/>
    <n v="90"/>
    <x v="1"/>
    <x v="3"/>
    <m/>
  </r>
  <r>
    <d v="2022-02-19T00:00:00"/>
    <x v="26"/>
    <x v="0"/>
    <x v="26"/>
    <n v="26451"/>
    <m/>
    <s v="Circuit de refroidissement"/>
    <s v="Fuite au niveau de la pompe de refroidissement"/>
    <s v="Réparation"/>
    <s v="Changement d'une presse etoupe"/>
    <d v="2022-01-15T00:00:00"/>
    <m/>
    <n v="180"/>
    <x v="0"/>
    <x v="3"/>
    <m/>
  </r>
  <r>
    <d v="2022-02-19T00:00:00"/>
    <x v="12"/>
    <x v="0"/>
    <x v="12"/>
    <n v="26336"/>
    <m/>
    <s v="Sytème d'entrainement"/>
    <s v="Rupture des courroies"/>
    <s v="Réparation"/>
    <s v="Changement des courroies endommagées"/>
    <d v="2022-02-19T00:00:00"/>
    <m/>
    <n v="60"/>
    <x v="1"/>
    <x v="3"/>
    <m/>
  </r>
  <r>
    <d v="2022-02-19T00:00:00"/>
    <x v="12"/>
    <x v="0"/>
    <x v="12"/>
    <n v="26336"/>
    <m/>
    <s v="Redresseur"/>
    <s v="Rupture des courroies d'entrainement"/>
    <s v="Réparation"/>
    <s v="Changement de trois courroies endommagées"/>
    <d v="2022-02-19T00:00:00"/>
    <m/>
    <n v="60"/>
    <x v="1"/>
    <x v="3"/>
    <m/>
  </r>
  <r>
    <d v="2022-02-21T00:00:00"/>
    <x v="3"/>
    <x v="1"/>
    <x v="3"/>
    <n v="15200"/>
    <m/>
    <s v="Moule pilon"/>
    <s v="Coussinets de colonnes endommagés"/>
    <s v="Réparation"/>
    <s v="Changement des coussinet endommagés"/>
    <d v="2022-02-21T00:00:00"/>
    <m/>
    <n v="480"/>
    <x v="1"/>
    <x v="3"/>
    <m/>
  </r>
  <r>
    <d v="2022-02-22T00:00:00"/>
    <x v="10"/>
    <x v="0"/>
    <x v="10"/>
    <n v="26723"/>
    <m/>
    <s v="Guide fil"/>
    <s v="Poulie guide fil bloqué"/>
    <s v="Réparation"/>
    <s v="Démontage de la poulie changement des roulement et mise en marche"/>
    <d v="2022-02-22T00:00:00"/>
    <m/>
    <n v="70"/>
    <x v="1"/>
    <x v="3"/>
    <m/>
  </r>
  <r>
    <d v="2022-02-24T00:00:00"/>
    <x v="0"/>
    <x v="0"/>
    <x v="0"/>
    <n v="26343"/>
    <m/>
    <s v="Rouleau d'avancement"/>
    <s v="Roulements endommagés"/>
    <s v="Réparation"/>
    <s v="Changement des roulements enodommagés"/>
    <d v="2022-02-24T00:00:00"/>
    <m/>
    <n v="1920"/>
    <x v="1"/>
    <x v="3"/>
    <m/>
  </r>
  <r>
    <d v="2022-02-25T00:00:00"/>
    <x v="10"/>
    <x v="0"/>
    <x v="10"/>
    <n v="25931"/>
    <m/>
    <s v="Casset d8 "/>
    <s v="Jeu sur roulements coniques 32008"/>
    <s v="Réparation"/>
    <s v="Changement de deux roulement zoomage et mise en marche"/>
    <d v="2022-02-25T00:00:00"/>
    <m/>
    <m/>
    <x v="1"/>
    <x v="3"/>
    <m/>
  </r>
  <r>
    <d v="2022-02-25T00:00:00"/>
    <x v="11"/>
    <x v="0"/>
    <x v="11"/>
    <n v="25933"/>
    <m/>
    <s v="Savonniere"/>
    <s v="Blocage au niveau du réducteur"/>
    <s v="Réparation "/>
    <s v="Nottoyage et graisse du rducteur"/>
    <d v="2022-02-25T00:00:00"/>
    <m/>
    <n v="60"/>
    <x v="1"/>
    <x v="3"/>
    <m/>
  </r>
  <r>
    <d v="2022-02-26T00:00:00"/>
    <x v="1"/>
    <x v="0"/>
    <x v="1"/>
    <n v="25934"/>
    <m/>
    <s v="Cassette 3,8"/>
    <s v="Roulements endommagés "/>
    <s v="Réparation"/>
    <s v="Changement de 4 roulements + zoomage"/>
    <d v="2022-02-26T00:00:00"/>
    <m/>
    <m/>
    <x v="1"/>
    <x v="3"/>
    <m/>
  </r>
  <r>
    <d v="2022-02-26T00:00:00"/>
    <x v="10"/>
    <x v="0"/>
    <x v="10"/>
    <n v="25936"/>
    <m/>
    <s v="Sauterelle"/>
    <s v="Chariot usé"/>
    <s v="Réparation"/>
    <s v="Changement du chariot endommagé"/>
    <d v="2022-02-26T00:00:00"/>
    <m/>
    <n v="60"/>
    <x v="1"/>
    <x v="3"/>
    <m/>
  </r>
  <r>
    <d v="2022-02-26T00:00:00"/>
    <x v="10"/>
    <x v="0"/>
    <x v="10"/>
    <n v="25937"/>
    <m/>
    <s v="Bobinoir"/>
    <s v="Tete du bobinoir bloqué"/>
    <s v="Réparation "/>
    <s v="Changement d'un roulement conique endommagé et mise en marche"/>
    <d v="2022-02-26T00:00:00"/>
    <m/>
    <n v="180"/>
    <x v="1"/>
    <x v="3"/>
    <m/>
  </r>
  <r>
    <d v="2022-02-28T00:00:00"/>
    <x v="0"/>
    <x v="0"/>
    <x v="0"/>
    <m/>
    <m/>
    <s v="Système de compensation"/>
    <s v="Intervention Schlatter"/>
    <s v="Installation"/>
    <s v="Installation d'un nouveau système de compensation et système de tirage Par Mr Bougadda"/>
    <d v="2022-03-14T00:00:00"/>
    <m/>
    <n v="11520"/>
    <x v="2"/>
    <x v="3"/>
    <m/>
  </r>
  <r>
    <d v="2022-02-28T00:00:00"/>
    <x v="20"/>
    <x v="0"/>
    <x v="20"/>
    <n v="25935"/>
    <m/>
    <s v="Cassette d6"/>
    <s v="Jeu sur roulement"/>
    <s v="Réparation"/>
    <s v="Changement de 6 roulements 32008"/>
    <d v="2022-02-28T00:00:00"/>
    <m/>
    <m/>
    <x v="1"/>
    <x v="3"/>
    <m/>
  </r>
  <r>
    <d v="2022-02-28T00:00:00"/>
    <x v="1"/>
    <x v="0"/>
    <x v="1"/>
    <n v="25938"/>
    <m/>
    <s v="Danseur"/>
    <s v="Jeu sur danseur"/>
    <s v="Réparation "/>
    <s v="Serrage et elimination du jeu"/>
    <d v="2022-02-28T00:00:00"/>
    <m/>
    <n v="60"/>
    <x v="1"/>
    <x v="3"/>
    <m/>
  </r>
  <r>
    <d v="2022-03-01T00:00:00"/>
    <x v="11"/>
    <x v="0"/>
    <x v="11"/>
    <n v="25986"/>
    <m/>
    <s v="Bouton de demarrage"/>
    <s v="Comutateur endommagé"/>
    <s v="Réparation"/>
    <s v="Changement d'un commutateur endommagé"/>
    <d v="2022-03-01T00:00:00"/>
    <m/>
    <n v="90"/>
    <x v="2"/>
    <x v="3"/>
    <m/>
  </r>
  <r>
    <d v="2022-03-04T00:00:00"/>
    <x v="10"/>
    <x v="0"/>
    <x v="10"/>
    <n v="25940"/>
    <m/>
    <s v="Bobinoir"/>
    <s v="Vis de fixation de socle du bobinoir endommagés"/>
    <s v="Réparation"/>
    <s v="Changement des vis endommagés"/>
    <d v="2022-03-04T00:00:00"/>
    <m/>
    <n v="90"/>
    <x v="2"/>
    <x v="3"/>
    <m/>
  </r>
  <r>
    <d v="2022-03-05T00:00:00"/>
    <x v="3"/>
    <x v="1"/>
    <x v="3"/>
    <n v="16802"/>
    <m/>
    <s v="Tiroir d'agitation"/>
    <s v="Vérin tiroir endommagé"/>
    <s v="Réparation"/>
    <s v="Changement du vérin du tiroir"/>
    <d v="2022-03-05T00:00:00"/>
    <m/>
    <n v="120"/>
    <x v="2"/>
    <x v="3"/>
    <m/>
  </r>
  <r>
    <d v="2022-03-05T00:00:00"/>
    <x v="3"/>
    <x v="1"/>
    <x v="3"/>
    <n v="16801"/>
    <m/>
    <s v="Table vibrante"/>
    <s v="Tôle de la table vibrante endommagée"/>
    <s v="Réparation"/>
    <s v="Changement de la tôle de la table vibrante et mise en marche"/>
    <d v="2022-03-05T00:00:00"/>
    <m/>
    <n v="60"/>
    <x v="2"/>
    <x v="3"/>
    <m/>
  </r>
  <r>
    <d v="2022-03-05T00:00:00"/>
    <x v="1"/>
    <x v="0"/>
    <x v="1"/>
    <n v="25941"/>
    <m/>
    <s v="Cassette 3,2"/>
    <s v="Fuite d'huile "/>
    <s v="Réparation "/>
    <s v="changement d'un flexible endommagé"/>
    <d v="2022-03-05T00:00:00"/>
    <m/>
    <n v="45"/>
    <x v="2"/>
    <x v="3"/>
    <m/>
  </r>
  <r>
    <d v="2022-03-05T00:00:00"/>
    <x v="1"/>
    <x v="0"/>
    <x v="1"/>
    <n v="25942"/>
    <m/>
    <s v="Cassette 4,6"/>
    <s v="Rouelemnts endommagés"/>
    <s v="Réparation"/>
    <s v="Changement de 6 roulmements 32008 et d'un galet lisse R1"/>
    <d v="2022-03-05T00:00:00"/>
    <m/>
    <m/>
    <x v="2"/>
    <x v="3"/>
    <m/>
  </r>
  <r>
    <d v="2022-03-05T00:00:00"/>
    <x v="1"/>
    <x v="0"/>
    <x v="1"/>
    <n v="25943"/>
    <m/>
    <s v="Cabestan"/>
    <s v="Surface endommagé"/>
    <s v="Réparation"/>
    <s v="Chargement de surface et montage du cabestan"/>
    <d v="2022-03-05T00:00:00"/>
    <m/>
    <n v="240"/>
    <x v="2"/>
    <x v="3"/>
    <m/>
  </r>
  <r>
    <d v="2022-03-07T00:00:00"/>
    <x v="17"/>
    <x v="0"/>
    <x v="17"/>
    <n v="26656"/>
    <m/>
    <s v="Système d'entrainement"/>
    <s v="Courroie endommagée"/>
    <s v="Réparation"/>
    <s v="Chnagment des courroies endommagées"/>
    <d v="2022-03-07T00:00:00"/>
    <m/>
    <n v="360"/>
    <x v="2"/>
    <x v="3"/>
    <m/>
  </r>
  <r>
    <d v="2022-03-09T00:00:00"/>
    <x v="2"/>
    <x v="1"/>
    <x v="2"/>
    <n v="16803"/>
    <m/>
    <s v="Convoyeur descensseur"/>
    <s v="Pb electrique"/>
    <s v="Réparation"/>
    <s v="Changement d'un detecteur endommagé"/>
    <d v="2022-03-09T00:00:00"/>
    <m/>
    <n v="60"/>
    <x v="2"/>
    <x v="3"/>
    <m/>
  </r>
  <r>
    <d v="2022-03-09T00:00:00"/>
    <x v="1"/>
    <x v="0"/>
    <x v="1"/>
    <n v="25945"/>
    <m/>
    <s v="Guide fil"/>
    <s v="Poulie guide fil de la sautrelle coincée"/>
    <s v="Réparation"/>
    <s v="Démontage de la poulie et changement de deux roulements endommagés"/>
    <d v="2022-03-09T00:00:00"/>
    <m/>
    <n v="120"/>
    <x v="2"/>
    <x v="3"/>
    <m/>
  </r>
  <r>
    <d v="2022-03-11T00:00:00"/>
    <x v="0"/>
    <x v="0"/>
    <x v="0"/>
    <n v="26658"/>
    <m/>
    <s v="Empileur"/>
    <s v="Chape de vérin de ridelles endommagé"/>
    <s v="Réparation"/>
    <s v="Changement des chappe endommagée"/>
    <d v="2022-03-11T00:00:00"/>
    <m/>
    <n v="120"/>
    <x v="2"/>
    <x v="3"/>
    <m/>
  </r>
  <r>
    <d v="2022-03-12T00:00:00"/>
    <x v="1"/>
    <x v="0"/>
    <x v="1"/>
    <n v="25946"/>
    <m/>
    <s v="Cassette d4,6"/>
    <s v="Fuite d'eau "/>
    <s v="Réparation "/>
    <s v="changement d'un flexible endommagé"/>
    <d v="2022-03-12T00:00:00"/>
    <m/>
    <n v="30"/>
    <x v="2"/>
    <x v="3"/>
    <m/>
  </r>
  <r>
    <d v="2022-03-12T00:00:00"/>
    <x v="1"/>
    <x v="0"/>
    <x v="1"/>
    <n v="25947"/>
    <m/>
    <s v="Danseurs "/>
    <s v="Dmontage pour rectif chez tourneur"/>
    <s v="Réparation "/>
    <s v="Elimination du jeu par mise en place de bagues en bronze"/>
    <d v="2022-03-12T00:00:00"/>
    <m/>
    <n v="960"/>
    <x v="2"/>
    <x v="3"/>
    <m/>
  </r>
  <r>
    <d v="2022-03-13T00:00:00"/>
    <x v="20"/>
    <x v="0"/>
    <x v="20"/>
    <n v="25992"/>
    <m/>
    <s v="Chariot principal"/>
    <s v="Chariot en limite"/>
    <s v="Réparation "/>
    <s v="Réglage du detecteur haut du chariot"/>
    <d v="2022-03-13T00:00:00"/>
    <m/>
    <n v="150"/>
    <x v="2"/>
    <x v="3"/>
    <m/>
  </r>
  <r>
    <d v="2022-03-14T00:00:00"/>
    <x v="3"/>
    <x v="1"/>
    <x v="3"/>
    <n v="16804"/>
    <m/>
    <s v="Automates"/>
    <s v="Problème sur une entrée de la carte"/>
    <s v="Réparation "/>
    <s v="Réparation de la carte electronique et mise en marche"/>
    <d v="2022-03-14T00:00:00"/>
    <m/>
    <n v="180"/>
    <x v="2"/>
    <x v="3"/>
    <m/>
  </r>
  <r>
    <d v="2022-03-14T00:00:00"/>
    <x v="17"/>
    <x v="0"/>
    <x v="17"/>
    <n v="26660"/>
    <m/>
    <s v="Système d'entrainement"/>
    <s v="Courroies endommagée"/>
    <s v="Réparation "/>
    <s v="changement des courroies endommagés"/>
    <d v="2022-03-14T00:00:00"/>
    <m/>
    <n v="90"/>
    <x v="2"/>
    <x v="3"/>
    <m/>
  </r>
  <r>
    <d v="2022-03-14T00:00:00"/>
    <x v="4"/>
    <x v="0"/>
    <x v="4"/>
    <n v="26661"/>
    <m/>
    <s v="Bloc de soudage"/>
    <s v="Carte siemens endommagé"/>
    <s v="Réparation "/>
    <s v="Elimination de l'erreur et changement de la carte"/>
    <d v="2022-03-14T00:00:00"/>
    <m/>
    <n v="60"/>
    <x v="2"/>
    <x v="3"/>
    <m/>
  </r>
  <r>
    <d v="2022-03-14T00:00:00"/>
    <x v="0"/>
    <x v="0"/>
    <x v="0"/>
    <n v="26662"/>
    <m/>
    <s v="Porte electrode"/>
    <s v="Isolant usé"/>
    <s v="R&amp;éparation"/>
    <s v="Changement des isolant et mise en  marche"/>
    <d v="2022-03-14T00:00:00"/>
    <m/>
    <n v="60"/>
    <x v="2"/>
    <x v="3"/>
    <m/>
  </r>
  <r>
    <d v="2022-03-21T00:00:00"/>
    <x v="3"/>
    <x v="1"/>
    <x v="3"/>
    <n v="26502"/>
    <m/>
    <s v="Transbordeur"/>
    <s v="PB sur variateur (rupture cable moteur"/>
    <s v="Réparation"/>
    <s v="Changement de la partie endommagée du cable "/>
    <d v="2022-03-21T00:00:00"/>
    <m/>
    <n v="105"/>
    <x v="2"/>
    <x v="3"/>
    <m/>
  </r>
  <r>
    <d v="2022-03-21T00:00:00"/>
    <x v="12"/>
    <x v="0"/>
    <x v="12"/>
    <n v="26503"/>
    <m/>
    <s v="Cisaille"/>
    <s v="Surchauffe variateur"/>
    <s v="Réparation"/>
    <s v="Changement d'un ventilateur endommagé"/>
    <d v="2022-03-21T00:00:00"/>
    <m/>
    <n v="40"/>
    <x v="2"/>
    <x v="3"/>
    <m/>
  </r>
  <r>
    <d v="2022-03-23T00:00:00"/>
    <x v="10"/>
    <x v="0"/>
    <x v="10"/>
    <n v="26601"/>
    <m/>
    <s v="Bobinoir"/>
    <s v="Système de fixation du pignon d'attaque defaillant"/>
    <s v="Réparation"/>
    <s v="Démontage de la boite du bobinoir changement des vis endommagé et mise en marche"/>
    <d v="2022-03-22T00:00:00"/>
    <m/>
    <n v="420"/>
    <x v="2"/>
    <x v="3"/>
    <m/>
  </r>
  <r>
    <d v="2022-03-23T00:00:00"/>
    <x v="27"/>
    <x v="2"/>
    <x v="27"/>
    <n v="26504"/>
    <m/>
    <s v="Pont Roulant"/>
    <s v="Défaut cable d'alimentation"/>
    <s v="Réparation"/>
    <s v="Réparation du cable et mise en marche"/>
    <d v="2022-03-23T00:00:00"/>
    <m/>
    <n v="75"/>
    <x v="2"/>
    <x v="3"/>
    <m/>
  </r>
  <r>
    <d v="2022-03-24T00:00:00"/>
    <x v="1"/>
    <x v="0"/>
    <x v="1"/>
    <n v="26602"/>
    <m/>
    <s v="Redresseur"/>
    <s v="Roulement des galets de dressage endommagé"/>
    <s v="Réparation"/>
    <s v="Changement de 2 roulement à bille / remontage du redresseur"/>
    <d v="2022-03-24T00:00:00"/>
    <m/>
    <n v="105"/>
    <x v="2"/>
    <x v="3"/>
    <m/>
  </r>
  <r>
    <d v="2022-03-24T00:00:00"/>
    <x v="20"/>
    <x v="0"/>
    <x v="20"/>
    <n v="26603"/>
    <m/>
    <s v="Savonniere"/>
    <s v="Moteur endommagé"/>
    <s v="Réparation "/>
    <s v="changement du moteur 1500tr/min endommagé"/>
    <d v="2022-03-24T00:00:00"/>
    <m/>
    <n v="150"/>
    <x v="2"/>
    <x v="3"/>
    <m/>
  </r>
  <r>
    <d v="2022-03-24T00:00:00"/>
    <x v="10"/>
    <x v="0"/>
    <x v="10"/>
    <n v="26604"/>
    <m/>
    <s v="Cassette d12"/>
    <s v="Défaut de zoomage cassette"/>
    <s v="Réparation"/>
    <s v="Nettoyage et zoomage des cassette"/>
    <d v="2022-03-24T00:00:00"/>
    <m/>
    <n v="120"/>
    <x v="2"/>
    <x v="3"/>
    <m/>
  </r>
  <r>
    <d v="2022-03-24T00:00:00"/>
    <x v="1"/>
    <x v="0"/>
    <x v="1"/>
    <n v="26605"/>
    <m/>
    <s v="Guide fil bobinoir"/>
    <s v="Vis sans fin coincé"/>
    <s v="Réparation"/>
    <s v="Démontage du guide fil ajustement du filetage et mise en marche"/>
    <d v="2022-03-24T00:00:00"/>
    <m/>
    <n v="105"/>
    <x v="2"/>
    <x v="3"/>
    <m/>
  </r>
  <r>
    <d v="2022-03-24T00:00:00"/>
    <x v="20"/>
    <x v="0"/>
    <x v="20"/>
    <n v="26505"/>
    <m/>
    <s v="Chariot"/>
    <s v="Capteur de proximité endommagé"/>
    <s v="Réparation"/>
    <s v="Changement du capteur et mise en marche"/>
    <d v="2022-03-24T00:00:00"/>
    <m/>
    <n v="45"/>
    <x v="2"/>
    <x v="3"/>
    <m/>
  </r>
  <r>
    <d v="2022-03-26T00:00:00"/>
    <x v="11"/>
    <x v="0"/>
    <x v="11"/>
    <n v="26607"/>
    <m/>
    <s v="Cabestan"/>
    <s v="Usure de surface du cabestan"/>
    <s v="Réparation"/>
    <s v="Démontage du cabestan et chargement de surface"/>
    <d v="2022-03-26T00:00:00"/>
    <m/>
    <n v="420"/>
    <x v="2"/>
    <x v="3"/>
    <m/>
  </r>
  <r>
    <d v="2022-03-28T00:00:00"/>
    <x v="10"/>
    <x v="0"/>
    <x v="10"/>
    <n v="26609"/>
    <m/>
    <s v="Bobinoir"/>
    <s v="Tige d'assemblage bobinoir endommagé"/>
    <s v="Réparation"/>
    <s v="Changement de trois tige d'assemblage endommagée"/>
    <d v="2022-03-28T00:00:00"/>
    <m/>
    <n v="90"/>
    <x v="2"/>
    <x v="3"/>
    <m/>
  </r>
  <r>
    <d v="2022-03-29T00:00:00"/>
    <x v="1"/>
    <x v="0"/>
    <x v="1"/>
    <n v="26610"/>
    <m/>
    <s v="Cercleuse"/>
    <s v="Couteau usé "/>
    <s v="Réparation "/>
    <s v="Changement d'un couteau de cercleuse"/>
    <d v="2022-03-29T00:00:00"/>
    <m/>
    <n v="60"/>
    <x v="2"/>
    <x v="3"/>
    <m/>
  </r>
  <r>
    <d v="2022-03-29T00:00:00"/>
    <x v="0"/>
    <x v="0"/>
    <x v="0"/>
    <n v="26506"/>
    <m/>
    <s v="Empileur"/>
    <s v="Relais statique endommagé"/>
    <s v="Réparation"/>
    <s v="Changement d'un relais statique"/>
    <d v="2022-03-29T00:00:00"/>
    <m/>
    <n v="45"/>
    <x v="2"/>
    <x v="3"/>
    <m/>
  </r>
  <r>
    <d v="2022-03-30T00:00:00"/>
    <x v="1"/>
    <x v="0"/>
    <x v="1"/>
    <n v="26611"/>
    <m/>
    <s v="Cabestan 1 - 2 "/>
    <s v="Surface du cabestan usée"/>
    <s v="Réparation"/>
    <s v="Démontage chargement de surface et mise en marche"/>
    <d v="2022-03-30T00:00:00"/>
    <m/>
    <n v="480"/>
    <x v="2"/>
    <x v="3"/>
    <m/>
  </r>
  <r>
    <d v="2022-03-31T00:00:00"/>
    <x v="1"/>
    <x v="0"/>
    <x v="1"/>
    <n v="26612"/>
    <m/>
    <s v="Danseur"/>
    <s v="Galet guide fil danseur usé"/>
    <s v="Réparation"/>
    <s v="Changement d'un galet guide fil"/>
    <d v="2022-03-31T00:00:00"/>
    <m/>
    <n v="40"/>
    <x v="2"/>
    <x v="3"/>
    <m/>
  </r>
  <r>
    <d v="2022-03-31T00:00:00"/>
    <x v="1"/>
    <x v="0"/>
    <x v="1"/>
    <n v="26613"/>
    <m/>
    <s v="Cassette d3,40"/>
    <s v="Fuite d'eau"/>
    <s v="Réparation"/>
    <s v="changement d'un flexible endommagé"/>
    <d v="2022-03-31T00:00:00"/>
    <m/>
    <n v="30"/>
    <x v="2"/>
    <x v="3"/>
    <m/>
  </r>
  <r>
    <d v="2022-03-31T00:00:00"/>
    <x v="10"/>
    <x v="0"/>
    <x v="10"/>
    <n v="26614"/>
    <m/>
    <s v="Casset d8 "/>
    <s v="Fuite d'eau "/>
    <s v="Réparation"/>
    <s v="Serrage d'un raccord d'eau"/>
    <d v="2022-03-31T00:00:00"/>
    <m/>
    <n v="30"/>
    <x v="2"/>
    <x v="3"/>
    <m/>
  </r>
  <r>
    <d v="2022-03-31T00:00:00"/>
    <x v="10"/>
    <x v="0"/>
    <x v="10"/>
    <n v="26615"/>
    <m/>
    <s v="Casset d12"/>
    <s v="Roulements endommagés"/>
    <s v="Réparation"/>
    <s v="Changement de 6 roulements 32008 + zoomage "/>
    <d v="2022-03-31T00:00:00"/>
    <m/>
    <m/>
    <x v="2"/>
    <x v="3"/>
    <m/>
  </r>
  <r>
    <d v="2022-04-01T00:00:00"/>
    <x v="27"/>
    <x v="2"/>
    <x v="27"/>
    <n v="26523"/>
    <m/>
    <s v="Chute de pression d'eau "/>
    <s v="Défaut ballon d'eau"/>
    <s v="Réparation"/>
    <s v="Changement du ballon d'eau et mise en marche"/>
    <d v="2022-04-01T00:00:00"/>
    <m/>
    <n v="60"/>
    <x v="3"/>
    <x v="3"/>
    <m/>
  </r>
  <r>
    <d v="2022-04-05T00:00:00"/>
    <x v="21"/>
    <x v="4"/>
    <x v="21"/>
    <n v="26617"/>
    <m/>
    <s v="Treuil principal"/>
    <s v="Cable d8 endommagé"/>
    <s v="Réparation"/>
    <s v="changement du cable antigiratoire"/>
    <d v="2022-04-05T00:00:00"/>
    <m/>
    <n v="90"/>
    <x v="3"/>
    <x v="3"/>
    <m/>
  </r>
  <r>
    <d v="2022-04-05T00:00:00"/>
    <x v="10"/>
    <x v="0"/>
    <x v="10"/>
    <n v="26619"/>
    <m/>
    <s v="Chariot"/>
    <s v="Cercle de chariot endommagé"/>
    <s v="Réparation"/>
    <s v="Changemen du chariot guide fil et mise en marche"/>
    <d v="2022-04-05T00:00:00"/>
    <m/>
    <n v="75"/>
    <x v="3"/>
    <x v="3"/>
    <m/>
  </r>
  <r>
    <d v="2022-04-06T00:00:00"/>
    <x v="3"/>
    <x v="1"/>
    <x v="3"/>
    <n v="26507"/>
    <m/>
    <s v="Tiroir d'agitation"/>
    <s v="Détecteur de proximité translation endommagé"/>
    <s v="Réparation"/>
    <s v="Changement du capteur de proximité"/>
    <d v="2022-04-06T00:00:00"/>
    <m/>
    <n v="90"/>
    <x v="3"/>
    <x v="3"/>
    <m/>
  </r>
  <r>
    <d v="2022-04-06T00:00:00"/>
    <x v="2"/>
    <x v="1"/>
    <x v="2"/>
    <n v="26508"/>
    <m/>
    <s v="Silo 6"/>
    <s v="Court circuit au niveau du cable moteur"/>
    <s v="Réparation"/>
    <s v="Elimination du court circuit et mise en marche"/>
    <d v="2022-04-06T00:00:00"/>
    <m/>
    <n v="25"/>
    <x v="3"/>
    <x v="3"/>
    <m/>
  </r>
  <r>
    <d v="2022-04-07T00:00:00"/>
    <x v="4"/>
    <x v="0"/>
    <x v="4"/>
    <n v="26509"/>
    <m/>
    <s v="Relais d'urgence"/>
    <s v="Blocage relais d'urgence"/>
    <s v="Réparation"/>
    <s v="Cchangement du contact et mise en marche"/>
    <d v="2022-04-07T00:00:00"/>
    <m/>
    <n v="65"/>
    <x v="3"/>
    <x v="3"/>
    <m/>
  </r>
  <r>
    <d v="2022-04-09T00:00:00"/>
    <x v="11"/>
    <x v="0"/>
    <x v="11"/>
    <n v="26623"/>
    <m/>
    <s v="Cabestan"/>
    <s v="Circuit de refroidissement bouché "/>
    <s v="Réparation"/>
    <s v="Fuite d"/>
    <d v="2022-04-09T00:00:00"/>
    <m/>
    <m/>
    <x v="3"/>
    <x v="3"/>
    <m/>
  </r>
  <r>
    <d v="2022-04-11T00:00:00"/>
    <x v="21"/>
    <x v="4"/>
    <x v="21"/>
    <n v="26510"/>
    <m/>
    <s v="Boite à commande"/>
    <s v="Défaut sur boutton"/>
    <s v="Réparation"/>
    <s v="Changemnt d'un bouton endommagé"/>
    <d v="2022-04-11T00:00:00"/>
    <m/>
    <n v="90"/>
    <x v="3"/>
    <x v="3"/>
    <m/>
  </r>
  <r>
    <d v="2022-04-11T00:00:00"/>
    <x v="2"/>
    <x v="1"/>
    <x v="2"/>
    <n v="26518"/>
    <m/>
    <s v="Pince"/>
    <s v="Rupture du cable d'alimentation"/>
    <s v="Réparation"/>
    <s v="Changement du cable d'alimentation de la pince"/>
    <d v="2022-04-11T00:00:00"/>
    <m/>
    <n v="150"/>
    <x v="3"/>
    <x v="3"/>
    <m/>
  </r>
  <r>
    <d v="2022-04-12T00:00:00"/>
    <x v="3"/>
    <x v="1"/>
    <x v="3"/>
    <n v="26519"/>
    <m/>
    <s v="Malaxeur"/>
    <s v="Cable porte securité endommagé"/>
    <s v="Réparation"/>
    <s v="Changement de la partie endommagée et mise en marche"/>
    <d v="2022-04-12T00:00:00"/>
    <m/>
    <n v="700"/>
    <x v="3"/>
    <x v="3"/>
    <m/>
  </r>
  <r>
    <d v="2022-04-13T00:00:00"/>
    <x v="2"/>
    <x v="1"/>
    <x v="2"/>
    <n v="26513"/>
    <m/>
    <s v="Retourneur"/>
    <s v="Moteur endommagé"/>
    <s v="Réparation"/>
    <s v="Changement du moteur endommagé"/>
    <d v="2022-04-13T00:00:00"/>
    <m/>
    <n v="60"/>
    <x v="3"/>
    <x v="3"/>
    <m/>
  </r>
  <r>
    <d v="2022-04-14T00:00:00"/>
    <x v="1"/>
    <x v="0"/>
    <x v="1"/>
    <n v="26625"/>
    <m/>
    <s v="Cabestan"/>
    <s v="Surface de cabestan usée"/>
    <s v="Réparation"/>
    <s v="Démontage du cabestan et chargement de surface"/>
    <d v="2022-04-14T00:00:00"/>
    <m/>
    <n v="360"/>
    <x v="3"/>
    <x v="3"/>
    <m/>
  </r>
  <r>
    <d v="2022-04-14T00:00:00"/>
    <x v="1"/>
    <x v="0"/>
    <x v="1"/>
    <n v="26626"/>
    <m/>
    <s v="Danseur 3"/>
    <s v="Galet guide fil endommagé"/>
    <s v="Réparation"/>
    <s v="Changement de deux galets guide fil endommagés (d30x60mm Roulement 6000) ZZ"/>
    <d v="2022-04-14T00:00:00"/>
    <m/>
    <n v="60"/>
    <x v="3"/>
    <x v="3"/>
    <m/>
  </r>
  <r>
    <d v="2022-04-14T00:00:00"/>
    <x v="1"/>
    <x v="0"/>
    <x v="1"/>
    <n v="26627"/>
    <m/>
    <s v="Cassette d4"/>
    <s v="Roulements endommagés"/>
    <s v="Réparation"/>
    <s v="Changement de 6 roulements conique 32008"/>
    <d v="2022-04-14T00:00:00"/>
    <m/>
    <n v="240"/>
    <x v="3"/>
    <x v="3"/>
    <m/>
  </r>
  <r>
    <d v="2022-04-15T00:00:00"/>
    <x v="3"/>
    <x v="1"/>
    <x v="3"/>
    <n v="26511"/>
    <m/>
    <s v="Commande"/>
    <s v="Défaut sur commutateur MAN/AUTO"/>
    <s v="Réparation"/>
    <s v="Changement d'un commutateur 3 position"/>
    <d v="2022-04-15T00:00:00"/>
    <m/>
    <n v="60"/>
    <x v="3"/>
    <x v="3"/>
    <m/>
  </r>
  <r>
    <d v="2022-04-15T00:00:00"/>
    <x v="3"/>
    <x v="1"/>
    <x v="3"/>
    <n v="26512"/>
    <m/>
    <s v="Transbordeur"/>
    <s v="Défaut d'alimention"/>
    <s v="Réparation"/>
    <s v="Changement de la partie endommagée du cable d'alimentation"/>
    <d v="2022-04-15T00:00:00"/>
    <m/>
    <n v="60"/>
    <x v="3"/>
    <x v="3"/>
    <m/>
  </r>
  <r>
    <d v="2022-04-16T00:00:00"/>
    <x v="3"/>
    <x v="1"/>
    <x v="3"/>
    <n v="26520"/>
    <m/>
    <s v="Transbordeur"/>
    <s v="Sortie automate endommagée"/>
    <s v="Réparation"/>
    <s v="Changement d'une adresse sur programme"/>
    <d v="2022-04-17T00:00:00"/>
    <s v="Prévoir la mise en place de relais electromécaniques pour proteger les I/O"/>
    <n v="1920"/>
    <x v="3"/>
    <x v="3"/>
    <s v="R"/>
  </r>
  <r>
    <d v="2022-04-18T00:00:00"/>
    <x v="1"/>
    <x v="0"/>
    <x v="1"/>
    <n v="26628"/>
    <m/>
    <s v="Bobinoir"/>
    <s v="Arbre bobinoir endommagé"/>
    <s v="Réparation"/>
    <s v="Changement d'un arbre d20x70"/>
    <d v="2022-04-18T00:00:00"/>
    <m/>
    <n v="60"/>
    <x v="3"/>
    <x v="3"/>
    <m/>
  </r>
  <r>
    <d v="2022-04-18T00:00:00"/>
    <x v="1"/>
    <x v="0"/>
    <x v="1"/>
    <n v="26629"/>
    <m/>
    <s v="Danseur 4"/>
    <s v="Guide fil endommagé"/>
    <s v="Réparation"/>
    <s v="Changement de 2 galets guide fil"/>
    <d v="2022-04-18T00:00:00"/>
    <m/>
    <n v="180"/>
    <x v="3"/>
    <x v="3"/>
    <m/>
  </r>
  <r>
    <d v="2022-04-19T00:00:00"/>
    <x v="20"/>
    <x v="0"/>
    <x v="20"/>
    <n v="26515"/>
    <m/>
    <s v="Guide fil"/>
    <s v="Detecteur de proximité endommagé "/>
    <s v="Réparation"/>
    <s v="Changement d'un capteur de proximité endommagé"/>
    <d v="2022-04-19T00:00:00"/>
    <m/>
    <n v="90"/>
    <x v="3"/>
    <x v="3"/>
    <m/>
  </r>
  <r>
    <d v="2022-04-20T00:00:00"/>
    <x v="1"/>
    <x v="0"/>
    <x v="1"/>
    <n v="26630"/>
    <m/>
    <s v="Cabestan 3"/>
    <s v="Surface de cabestan usée"/>
    <s v="Réparation"/>
    <s v="Démontage et chargement de surface et mise en marche"/>
    <d v="2022-04-20T00:00:00"/>
    <m/>
    <n v="360"/>
    <x v="3"/>
    <x v="3"/>
    <m/>
  </r>
  <r>
    <d v="2022-04-20T00:00:00"/>
    <x v="10"/>
    <x v="0"/>
    <x v="10"/>
    <n v="26801"/>
    <m/>
    <s v="Chariot "/>
    <s v="Chariot guide fil endommagé"/>
    <s v="Réparation"/>
    <s v="Changement du chariot et mise en marche"/>
    <d v="2022-04-20T00:00:00"/>
    <m/>
    <n v="45"/>
    <x v="3"/>
    <x v="3"/>
    <m/>
  </r>
  <r>
    <d v="2022-04-23T00:00:00"/>
    <x v="10"/>
    <x v="0"/>
    <x v="10"/>
    <n v="26802"/>
    <m/>
    <s v="Cassette d9"/>
    <s v="Roulements endommagés"/>
    <s v="Réparation"/>
    <s v="Changement de 6 roulements endommagés + zoomage"/>
    <d v="2022-04-23T00:00:00"/>
    <m/>
    <n v="240"/>
    <x v="3"/>
    <x v="3"/>
    <m/>
  </r>
  <r>
    <d v="2022-04-25T00:00:00"/>
    <x v="1"/>
    <x v="0"/>
    <x v="1"/>
    <n v="26803"/>
    <m/>
    <s v="Alimentation en eau"/>
    <s v="Cavitation"/>
    <s v="Réparation"/>
    <s v="Purge de la pompe et mise en marche"/>
    <d v="2022-04-25T00:00:00"/>
    <m/>
    <n v="45"/>
    <x v="3"/>
    <x v="3"/>
    <m/>
  </r>
  <r>
    <d v="2022-04-26T00:00:00"/>
    <x v="10"/>
    <x v="0"/>
    <x v="10"/>
    <n v="26805"/>
    <m/>
    <s v="Sauterelle"/>
    <s v="Chariot guide fil"/>
    <s v="Réparation"/>
    <s v="Soudage de la partie endommagé"/>
    <d v="2022-04-26T00:00:00"/>
    <m/>
    <n v="90"/>
    <x v="3"/>
    <x v="3"/>
    <m/>
  </r>
  <r>
    <d v="2022-04-27T00:00:00"/>
    <x v="3"/>
    <x v="1"/>
    <x v="3"/>
    <n v="26516"/>
    <m/>
    <s v="Tiroir d'agitation"/>
    <s v="Capteur de proximité endommagé"/>
    <s v="Réparation"/>
    <s v="Changement d'un capteur endommagé"/>
    <d v="2022-04-27T00:00:00"/>
    <m/>
    <n v="60"/>
    <x v="3"/>
    <x v="3"/>
    <m/>
  </r>
  <r>
    <d v="2022-05-01T00:00:00"/>
    <x v="3"/>
    <x v="1"/>
    <x v="3"/>
    <m/>
    <m/>
    <s v="skip"/>
    <s v="Echeance vidange"/>
    <s v="Vidange"/>
    <s v="Vidange du reducteur"/>
    <d v="2022-05-01T00:00:00"/>
    <m/>
    <n v="45"/>
    <x v="5"/>
    <x v="3"/>
    <m/>
  </r>
  <r>
    <d v="2022-05-04T00:00:00"/>
    <x v="3"/>
    <x v="1"/>
    <x v="3"/>
    <n v="26573"/>
    <m/>
    <s v="Table vibrante"/>
    <s v="Courroie 2800 endommagée"/>
    <s v="Réparation"/>
    <s v="Changement d'une courroie calage et mise en marche"/>
    <d v="2022-05-04T00:00:00"/>
    <m/>
    <n v="120"/>
    <x v="5"/>
    <x v="3"/>
    <m/>
  </r>
  <r>
    <d v="2022-05-05T00:00:00"/>
    <x v="1"/>
    <x v="0"/>
    <x v="1"/>
    <n v="26807"/>
    <m/>
    <s v="Danseur"/>
    <s v="Galet du guide fil usé"/>
    <s v="Réparation"/>
    <s v="Démontage chargement de surface et mise en marche"/>
    <d v="2022-05-05T00:00:00"/>
    <m/>
    <n v="75"/>
    <x v="5"/>
    <x v="3"/>
    <m/>
  </r>
  <r>
    <d v="2022-05-05T00:00:00"/>
    <x v="1"/>
    <x v="0"/>
    <x v="1"/>
    <n v="26808"/>
    <m/>
    <s v="Cassette 3,2"/>
    <s v="Roulements endommagés"/>
    <s v="Réparation"/>
    <s v="Changement de 6 roulements 32008"/>
    <d v="2022-05-05T00:00:00"/>
    <m/>
    <n v="240"/>
    <x v="5"/>
    <x v="3"/>
    <m/>
  </r>
  <r>
    <d v="2022-05-05T00:00:00"/>
    <x v="3"/>
    <x v="1"/>
    <x v="3"/>
    <s v="26577_x000a_26578_x000a_26579"/>
    <m/>
    <s v="Machine"/>
    <s v="Entretien général"/>
    <s v="Réparation"/>
    <s v=" - Changement des galet du paletiseur_x000a_ - Changement des galets du tiroir_x000a_ - Changement de la tôle du malaxeur"/>
    <d v="2022-05-07T00:00:00"/>
    <m/>
    <n v="2880"/>
    <x v="5"/>
    <x v="3"/>
    <m/>
  </r>
  <r>
    <d v="2022-05-06T00:00:00"/>
    <x v="4"/>
    <x v="0"/>
    <x v="4"/>
    <n v="26683"/>
    <m/>
    <s v="Bloc de soudage"/>
    <s v="Transformateur endommagé"/>
    <s v="Réparation"/>
    <s v="Changement D'un transformateur endommagé"/>
    <d v="2022-05-06T00:00:00"/>
    <m/>
    <n v="480"/>
    <x v="5"/>
    <x v="3"/>
    <m/>
  </r>
  <r>
    <d v="2022-05-09T00:00:00"/>
    <x v="3"/>
    <x v="1"/>
    <x v="3"/>
    <n v="26574"/>
    <m/>
    <s v="Sonde"/>
    <s v="Défaut de réglage de fin de course de la sonde"/>
    <s v="Réparation"/>
    <s v="Réglage de la hauteur et mise en marche"/>
    <d v="2022-05-09T00:00:00"/>
    <m/>
    <n v="40"/>
    <x v="5"/>
    <x v="3"/>
    <m/>
  </r>
  <r>
    <d v="2022-05-10T00:00:00"/>
    <x v="1"/>
    <x v="0"/>
    <x v="1"/>
    <n v="26810"/>
    <m/>
    <s v="Chariot"/>
    <s v="Chariot guide fil endommagé"/>
    <s v="Réparation"/>
    <s v="Changement du chariot et mise en marche"/>
    <d v="2022-05-10T00:00:00"/>
    <m/>
    <n v="60"/>
    <x v="5"/>
    <x v="3"/>
    <m/>
  </r>
  <r>
    <d v="2022-05-10T00:00:00"/>
    <x v="2"/>
    <x v="1"/>
    <x v="2"/>
    <n v="26575"/>
    <m/>
    <s v="Malaxeur"/>
    <s v="Fuite d'huile au niveau du reducteur du malaxeur"/>
    <s v="Réparation"/>
    <s v="Changement de l'arrêt d'huile 60x85x10 et d'un roulement 16012"/>
    <d v="2022-05-10T00:00:00"/>
    <m/>
    <n v="240"/>
    <x v="5"/>
    <x v="3"/>
    <m/>
  </r>
  <r>
    <d v="2022-05-11T00:00:00"/>
    <x v="1"/>
    <x v="0"/>
    <x v="1"/>
    <n v="26811"/>
    <m/>
    <s v="Cassette 3,2"/>
    <s v="Fuite d'eau"/>
    <s v="Réparation"/>
    <s v="Changement d'un flexibe endommagé"/>
    <d v="2022-05-11T00:00:00"/>
    <m/>
    <n v="45"/>
    <x v="5"/>
    <x v="3"/>
    <m/>
  </r>
  <r>
    <d v="2022-05-11T00:00:00"/>
    <x v="1"/>
    <x v="0"/>
    <x v="1"/>
    <n v="26812"/>
    <m/>
    <s v="Cabestan 1 - 2 "/>
    <s v="Surface de cabestan usée"/>
    <s v="Réparaition"/>
    <s v="Démontage des cabestan chargement de surface et mise en marche"/>
    <d v="2022-05-11T00:00:00"/>
    <m/>
    <n v="600"/>
    <x v="5"/>
    <x v="3"/>
    <m/>
  </r>
  <r>
    <d v="2022-05-11T00:00:00"/>
    <x v="4"/>
    <x v="0"/>
    <x v="4"/>
    <n v="26684"/>
    <m/>
    <s v="Bloc de soudage"/>
    <s v="Filet rapporté endommagé"/>
    <s v="Réparation"/>
    <s v="Changement d'un filet rapporté"/>
    <d v="2022-05-11T00:00:00"/>
    <m/>
    <n v="30"/>
    <x v="5"/>
    <x v="3"/>
    <m/>
  </r>
  <r>
    <d v="2022-05-11T00:00:00"/>
    <x v="2"/>
    <x v="1"/>
    <x v="2"/>
    <n v="26576"/>
    <m/>
    <s v="Cercleuse 06"/>
    <s v="Vis de fixation de la tête de cerclage endommagé"/>
    <s v="Réparation"/>
    <s v="Changement des vis endommagés"/>
    <d v="2022-05-11T00:00:00"/>
    <m/>
    <n v="40"/>
    <x v="5"/>
    <x v="3"/>
    <m/>
  </r>
  <r>
    <d v="2022-05-12T00:00:00"/>
    <x v="17"/>
    <x v="0"/>
    <x v="17"/>
    <n v="26686"/>
    <m/>
    <s v="Redresseur"/>
    <s v="Rupture des courroies "/>
    <s v="Réparation"/>
    <s v="Changement des courroies endommagées"/>
    <d v="2022-05-12T00:00:00"/>
    <m/>
    <n v="90"/>
    <x v="5"/>
    <x v="3"/>
    <m/>
  </r>
  <r>
    <d v="2022-05-17T00:00:00"/>
    <x v="1"/>
    <x v="0"/>
    <x v="1"/>
    <n v="26813"/>
    <m/>
    <s v="Cassette 3,2"/>
    <s v="défaut de zoomage"/>
    <s v="Réparation"/>
    <s v="Zommage de la cassette"/>
    <d v="2022-05-17T00:00:00"/>
    <m/>
    <n v="120"/>
    <x v="5"/>
    <x v="3"/>
    <m/>
  </r>
  <r>
    <d v="2022-05-17T00:00:00"/>
    <x v="10"/>
    <x v="0"/>
    <x v="10"/>
    <n v="26815"/>
    <m/>
    <s v="Cassette d8"/>
    <s v="Roulement endommagé"/>
    <s v="Réparation"/>
    <s v="Nettoyage changement des roulement zoomage et mise en marche"/>
    <d v="2022-05-17T00:00:00"/>
    <m/>
    <n v="240"/>
    <x v="5"/>
    <x v="3"/>
    <m/>
  </r>
  <r>
    <d v="2022-05-18T00:00:00"/>
    <x v="1"/>
    <x v="0"/>
    <x v="1"/>
    <n v="26816"/>
    <m/>
    <s v="Cercleuse"/>
    <s v="Goupille d'assemblage endommagée"/>
    <s v="Réparation"/>
    <s v="Changement de 4 goupilles et mise en marche"/>
    <d v="2022-05-18T00:00:00"/>
    <m/>
    <n v="60"/>
    <x v="5"/>
    <x v="3"/>
    <m/>
  </r>
  <r>
    <d v="2022-05-18T00:00:00"/>
    <x v="1"/>
    <x v="0"/>
    <x v="1"/>
    <n v="26817"/>
    <m/>
    <s v="Danseur"/>
    <s v="Fuite d'air"/>
    <s v="Réparation"/>
    <s v="Changement du flexible endommagé d10x600mm"/>
    <d v="2022-05-18T00:00:00"/>
    <m/>
    <n v="30"/>
    <x v="5"/>
    <x v="3"/>
    <m/>
  </r>
  <r>
    <d v="2022-05-18T00:00:00"/>
    <x v="13"/>
    <x v="0"/>
    <x v="13"/>
    <n v="26687"/>
    <m/>
    <s v="Guide fil"/>
    <s v="Dispositif guide fil"/>
    <s v="Réparation"/>
    <s v="Ressort de rappel endommagé"/>
    <d v="2022-05-18T00:00:00"/>
    <m/>
    <n v="20"/>
    <x v="5"/>
    <x v="3"/>
    <m/>
  </r>
  <r>
    <d v="2022-05-18T00:00:00"/>
    <x v="24"/>
    <x v="4"/>
    <x v="24"/>
    <n v="26522"/>
    <m/>
    <s v="Pince"/>
    <s v="Rupture du cable de commande "/>
    <s v="Réparation"/>
    <s v="Changement de lapartie endommagée du cable et mise en marche"/>
    <d v="2022-05-18T00:00:00"/>
    <m/>
    <n v="150"/>
    <x v="5"/>
    <x v="3"/>
    <m/>
  </r>
  <r>
    <d v="2022-05-18T00:00:00"/>
    <x v="24"/>
    <x v="4"/>
    <x v="24"/>
    <n v="26522"/>
    <m/>
    <s v="Chariot Porte cable"/>
    <s v="Fixation cable d'alimentation endommagé"/>
    <s v="Réparation"/>
    <s v="Réparation de la rail et et PDR de chariot porte cable"/>
    <d v="2022-05-18T00:00:00"/>
    <m/>
    <n v="150"/>
    <x v="5"/>
    <x v="3"/>
    <m/>
  </r>
  <r>
    <d v="2022-05-19T00:00:00"/>
    <x v="1"/>
    <x v="0"/>
    <x v="1"/>
    <n v="26818"/>
    <m/>
    <s v="Guide fil danseur"/>
    <s v="Roulement 6206 de poulie endommagés"/>
    <s v="Réparation"/>
    <s v="Changement de 2 roulements et remontage de la poulie"/>
    <d v="2022-05-19T00:00:00"/>
    <m/>
    <n v="135"/>
    <x v="5"/>
    <x v="3"/>
    <m/>
  </r>
  <r>
    <d v="2022-05-19T00:00:00"/>
    <x v="3"/>
    <x v="1"/>
    <x v="3"/>
    <n v="26580"/>
    <m/>
    <s v="Ascensseur"/>
    <s v="Réducteur endommagé"/>
    <s v="Réparation "/>
    <s v="Changement d'un roulement endommagé"/>
    <d v="2022-05-19T00:00:00"/>
    <m/>
    <n v="240"/>
    <x v="5"/>
    <x v="3"/>
    <m/>
  </r>
  <r>
    <d v="2022-05-19T00:00:00"/>
    <x v="21"/>
    <x v="4"/>
    <x v="21"/>
    <n v="26517"/>
    <m/>
    <s v="Treuil principal"/>
    <s v="Défaut moteur"/>
    <s v="Réparation"/>
    <s v="Elimination d'un manque de phase montage et mise en marche"/>
    <d v="2022-05-19T00:00:00"/>
    <m/>
    <n v="180"/>
    <x v="5"/>
    <x v="3"/>
    <m/>
  </r>
  <r>
    <d v="2022-05-20T00:00:00"/>
    <x v="20"/>
    <x v="0"/>
    <x v="20"/>
    <n v="26818"/>
    <m/>
    <s v="Cercleuse"/>
    <s v="Fuite d'air "/>
    <s v="Réparation"/>
    <s v="Elimination d'une fuite d'air"/>
    <d v="2022-05-20T00:00:00"/>
    <m/>
    <m/>
    <x v="5"/>
    <x v="3"/>
    <m/>
  </r>
  <r>
    <d v="2022-05-20T00:00:00"/>
    <x v="1"/>
    <x v="0"/>
    <x v="1"/>
    <n v="26820"/>
    <m/>
    <s v="Cassette d3,2"/>
    <s v="Défaut de zoomage"/>
    <s v="Réparation"/>
    <s v="Zoomage de la cassette"/>
    <d v="2022-05-20T00:00:00"/>
    <m/>
    <n v="120"/>
    <x v="5"/>
    <x v="3"/>
    <m/>
  </r>
  <r>
    <d v="2022-05-21T00:00:00"/>
    <x v="3"/>
    <x v="1"/>
    <x v="3"/>
    <n v="26581"/>
    <m/>
    <s v="Cercleuse"/>
    <s v="Lame de coupe endommagée"/>
    <s v="Réparation"/>
    <s v="Changement d'une lame de coupe"/>
    <d v="2022-05-21T00:00:00"/>
    <m/>
    <n v="120"/>
    <x v="5"/>
    <x v="3"/>
    <m/>
  </r>
  <r>
    <d v="2022-05-23T00:00:00"/>
    <x v="1"/>
    <x v="0"/>
    <x v="1"/>
    <n v="26951"/>
    <m/>
    <s v="Cassette d3,6"/>
    <s v="Roulements endommagé"/>
    <s v="Réparation"/>
    <s v="Changement de 4 roulements 32008"/>
    <d v="2022-05-23T00:00:00"/>
    <m/>
    <n v="120"/>
    <x v="5"/>
    <x v="3"/>
    <m/>
  </r>
  <r>
    <d v="2022-05-24T00:00:00"/>
    <x v="13"/>
    <x v="0"/>
    <x v="13"/>
    <n v="26688"/>
    <m/>
    <s v="Redresseur"/>
    <s v="Blocage moteur"/>
    <s v="Réparation"/>
    <s v="Déblocage du moteur et mise en marche"/>
    <d v="2022-05-24T00:00:00"/>
    <m/>
    <n v="240"/>
    <x v="5"/>
    <x v="3"/>
    <m/>
  </r>
  <r>
    <d v="2022-05-24T00:00:00"/>
    <x v="4"/>
    <x v="0"/>
    <x v="4"/>
    <n v="26689"/>
    <m/>
    <s v="Climatiseur"/>
    <s v="Roulement ventilateur endommagé"/>
    <s v="Réparation"/>
    <s v="Chnagement d'un roulement endommagé"/>
    <d v="2022-05-24T00:00:00"/>
    <m/>
    <n v="40"/>
    <x v="5"/>
    <x v="3"/>
    <m/>
  </r>
  <r>
    <d v="2022-05-24T00:00:00"/>
    <x v="1"/>
    <x v="0"/>
    <x v="1"/>
    <n v="26952"/>
    <m/>
    <s v="Cabestan n2"/>
    <s v="Boulon de fixation endommagé"/>
    <s v="Réparation"/>
    <s v="Extraction de la vis Serrage d'une vis M8x100 pour fixation frein"/>
    <d v="2022-05-24T00:00:00"/>
    <m/>
    <n v="45"/>
    <x v="5"/>
    <x v="3"/>
    <m/>
  </r>
  <r>
    <d v="2022-05-25T00:00:00"/>
    <x v="2"/>
    <x v="1"/>
    <x v="2"/>
    <n v="26582"/>
    <m/>
    <s v="Table vibrante"/>
    <s v="Rupture d'une courroie 2800"/>
    <s v="Réparation"/>
    <s v="Changement d'une courroie endommagée"/>
    <d v="2022-05-25T00:00:00"/>
    <m/>
    <n v="215"/>
    <x v="5"/>
    <x v="3"/>
    <m/>
  </r>
  <r>
    <d v="2022-05-27T00:00:00"/>
    <x v="3"/>
    <x v="1"/>
    <x v="3"/>
    <n v="26583"/>
    <m/>
    <s v="Transbordeur"/>
    <s v="Réducteur endommagée"/>
    <s v="Réparation"/>
    <s v="Changement d'un pignon confectionné"/>
    <d v="2022-05-27T00:00:00"/>
    <m/>
    <n v="120"/>
    <x v="5"/>
    <x v="3"/>
    <m/>
  </r>
  <r>
    <d v="2022-05-28T00:00:00"/>
    <x v="2"/>
    <x v="1"/>
    <x v="2"/>
    <n v="26584"/>
    <m/>
    <s v="Tremie"/>
    <s v="Verin de la trabe endommagé"/>
    <s v="Réparation"/>
    <s v="Changement d'un vérin pneumatique et mise en marche"/>
    <d v="2022-05-28T00:00:00"/>
    <m/>
    <n v="90"/>
    <x v="5"/>
    <x v="3"/>
    <m/>
  </r>
  <r>
    <d v="2022-05-28T00:00:00"/>
    <x v="1"/>
    <x v="0"/>
    <x v="1"/>
    <n v="26953"/>
    <m/>
    <s v="Cassette d4"/>
    <s v="Roulement endommagé"/>
    <s v="Réparation"/>
    <s v="Changement de 6 roulements 32008 et zoomage de la cassette"/>
    <d v="2022-05-28T00:00:00"/>
    <m/>
    <m/>
    <x v="5"/>
    <x v="3"/>
    <m/>
  </r>
  <r>
    <d v="2022-05-28T00:00:00"/>
    <x v="11"/>
    <x v="0"/>
    <x v="11"/>
    <n v="26954"/>
    <m/>
    <s v="Guide fil"/>
    <s v="Surface galet usée"/>
    <s v="Réparation "/>
    <s v="Chargement à la soudure et mise en marche"/>
    <d v="2022-05-28T00:00:00"/>
    <m/>
    <n v="90"/>
    <x v="5"/>
    <x v="3"/>
    <m/>
  </r>
  <r>
    <d v="2022-05-28T00:00:00"/>
    <x v="11"/>
    <x v="0"/>
    <x v="11"/>
    <n v="26955"/>
    <m/>
    <s v="Cabestan"/>
    <s v="Fixation encodeur endommagée"/>
    <s v="Réparation"/>
    <s v="Extraction des vis taraudage et changemùent des vis"/>
    <d v="2022-05-28T00:00:00"/>
    <m/>
    <n v="120"/>
    <x v="5"/>
    <x v="3"/>
    <m/>
  </r>
  <r>
    <d v="2022-05-28T00:00:00"/>
    <x v="11"/>
    <x v="0"/>
    <x v="11"/>
    <n v="26956"/>
    <m/>
    <s v="Cabestan"/>
    <s v="Defaut sur pompe de graissage"/>
    <s v="Réparation"/>
    <s v="Debouchage du circuit d'air comprimé et mise en marche"/>
    <d v="2022-05-28T00:00:00"/>
    <m/>
    <n v="90"/>
    <x v="5"/>
    <x v="3"/>
    <m/>
  </r>
  <r>
    <d v="2022-05-28T00:00:00"/>
    <x v="11"/>
    <x v="0"/>
    <x v="11"/>
    <n v="26957"/>
    <m/>
    <s v="Cabestant"/>
    <s v="Usure de surface"/>
    <s v="Réparation"/>
    <s v="Démontage du cabestan chargement de surface et mise en marche"/>
    <d v="2022-05-28T00:00:00"/>
    <m/>
    <n v="8"/>
    <x v="5"/>
    <x v="3"/>
    <m/>
  </r>
  <r>
    <d v="2022-05-30T00:00:00"/>
    <x v="3"/>
    <x v="1"/>
    <x v="3"/>
    <n v="26585"/>
    <m/>
    <s v="Malaxeur"/>
    <s v="Défaut pied de malaxage"/>
    <s v="Réparation"/>
    <s v="Réajustement de pieds de malaxage et mise en marche"/>
    <d v="2022-05-30T00:00:00"/>
    <m/>
    <n v="120"/>
    <x v="5"/>
    <x v="3"/>
    <m/>
  </r>
  <r>
    <d v="2022-06-01T00:00:00"/>
    <x v="10"/>
    <x v="0"/>
    <x v="10"/>
    <n v="24501"/>
    <s v="s"/>
    <s v="Casette PR8"/>
    <s v="Galet cranté endommagé et 6 roulements endommagés "/>
    <s v="Changement"/>
    <s v="Changement du galet et des 6 roulements "/>
    <d v="2022-06-01T00:00:00"/>
    <m/>
    <m/>
    <x v="4"/>
    <x v="3"/>
    <m/>
  </r>
  <r>
    <d v="2022-06-01T00:00:00"/>
    <x v="1"/>
    <x v="0"/>
    <x v="1"/>
    <n v="24502"/>
    <s v="s"/>
    <s v="Pompe de graissage"/>
    <s v="Fuite d'air au niveau de la pompe/mamelon 1/8 endommagé"/>
    <s v="Changement"/>
    <s v="Changement du mamelon endommagé"/>
    <d v="2022-06-01T00:00:00"/>
    <m/>
    <n v="30"/>
    <x v="4"/>
    <x v="3"/>
    <m/>
  </r>
  <r>
    <d v="2022-06-01T00:00:00"/>
    <x v="10"/>
    <x v="0"/>
    <x v="10"/>
    <n v="24503"/>
    <s v="s"/>
    <s v="Casette PR8"/>
    <s v="Galet PR8 endommagé"/>
    <s v="Changement"/>
    <s v="Demontage du cassette/changement du galet/remontage de la cassette "/>
    <d v="2022-06-01T00:00:00"/>
    <m/>
    <n v="180"/>
    <x v="4"/>
    <x v="3"/>
    <m/>
  </r>
  <r>
    <d v="2022-06-01T00:00:00"/>
    <x v="3"/>
    <x v="1"/>
    <x v="3"/>
    <n v="25501"/>
    <s v="s"/>
    <s v="Tendeur bonde a béton "/>
    <s v="Tige de tendeur de la bande à béton endommagé"/>
    <s v="Changement"/>
    <s v="Changement du tige "/>
    <d v="2022-06-01T00:00:00"/>
    <m/>
    <n v="45"/>
    <x v="4"/>
    <x v="3"/>
    <m/>
  </r>
  <r>
    <d v="2022-06-01T00:00:00"/>
    <x v="3"/>
    <x v="1"/>
    <x v="3"/>
    <n v="25502"/>
    <s v="s"/>
    <s v="Cconvoyeur"/>
    <s v="Rouleux endommagé "/>
    <s v="Changement"/>
    <s v="Changement du rouleaux "/>
    <d v="2022-06-01T00:00:00"/>
    <m/>
    <n v="60"/>
    <x v="4"/>
    <x v="3"/>
    <m/>
  </r>
  <r>
    <d v="2022-06-01T00:00:00"/>
    <x v="4"/>
    <x v="0"/>
    <x v="4"/>
    <n v="25551"/>
    <s v="s"/>
    <s v="Systéme  d'avencement "/>
    <s v="Fuite d'air au niveau de vérin / prise rapide endommagé "/>
    <s v="Changement"/>
    <s v="Changement de prise rapide "/>
    <d v="2022-06-01T00:00:00"/>
    <m/>
    <n v="25"/>
    <x v="4"/>
    <x v="3"/>
    <m/>
  </r>
  <r>
    <d v="2022-06-01T00:00:00"/>
    <x v="12"/>
    <x v="0"/>
    <x v="12"/>
    <m/>
    <s v="s"/>
    <s v="Cisaille"/>
    <s v="Servomoteur endommagé"/>
    <m/>
    <s v="Livraison en cours de chez Eurolls"/>
    <d v="2022-06-30T00:00:00"/>
    <m/>
    <n v="24960"/>
    <x v="4"/>
    <x v="3"/>
    <m/>
  </r>
  <r>
    <d v="2022-06-02T00:00:00"/>
    <x v="8"/>
    <x v="4"/>
    <x v="8"/>
    <n v="26524"/>
    <m/>
    <s v="Danseur"/>
    <s v="défaut variateur"/>
    <s v="Réparation"/>
    <s v="Serrage des bornes de cable de commande"/>
    <d v="2022-06-02T00:00:00"/>
    <m/>
    <n v="90"/>
    <x v="4"/>
    <x v="3"/>
    <m/>
  </r>
  <r>
    <d v="2022-06-02T00:00:00"/>
    <x v="2"/>
    <x v="1"/>
    <x v="2"/>
    <n v="25503"/>
    <s v="s"/>
    <s v="Table vibrante"/>
    <s v="Décalage du table vibrante "/>
    <s v="Réglage"/>
    <s v="Réglage du calage / changement des silent blocs "/>
    <d v="2022-06-02T00:00:00"/>
    <m/>
    <n v="120"/>
    <x v="4"/>
    <x v="3"/>
    <m/>
  </r>
  <r>
    <d v="2022-06-02T00:00:00"/>
    <x v="22"/>
    <x v="0"/>
    <x v="22"/>
    <n v="24551"/>
    <s v="s"/>
    <s v="Cisaille"/>
    <s v="Ressort endommagé"/>
    <s v="Changement"/>
    <s v="Changement du ressort endommagé"/>
    <d v="2022-06-02T00:00:00"/>
    <m/>
    <n v="60"/>
    <x v="4"/>
    <x v="3"/>
    <m/>
  </r>
  <r>
    <d v="2022-06-02T00:00:00"/>
    <x v="0"/>
    <x v="0"/>
    <x v="0"/>
    <n v="25552"/>
    <s v="s"/>
    <s v="Empileur "/>
    <s v="Roue d'explusion endommagé "/>
    <s v="Changement"/>
    <s v="Changement du roue "/>
    <d v="2022-06-02T00:00:00"/>
    <m/>
    <n v="15"/>
    <x v="4"/>
    <x v="3"/>
    <m/>
  </r>
  <r>
    <d v="2022-06-03T00:00:00"/>
    <x v="11"/>
    <x v="0"/>
    <x v="11"/>
    <n v="26525"/>
    <m/>
    <s v="Pompe de lubrification"/>
    <s v="Panne electrique"/>
    <s v="Réparation"/>
    <s v="Elimination d'un court circuit et mise en marche"/>
    <d v="2022-06-03T00:00:00"/>
    <m/>
    <n v="120"/>
    <x v="4"/>
    <x v="3"/>
    <m/>
  </r>
  <r>
    <d v="2022-06-03T00:00:00"/>
    <x v="2"/>
    <x v="1"/>
    <x v="2"/>
    <n v="25504"/>
    <s v="s"/>
    <s v="Cercleuse"/>
    <s v="Lame de soudage usé et résistance endommagé "/>
    <s v="Changement"/>
    <s v="Changement  du lame et la  résistance "/>
    <d v="2022-06-03T00:00:00"/>
    <m/>
    <n v="60"/>
    <x v="4"/>
    <x v="3"/>
    <m/>
  </r>
  <r>
    <d v="2022-06-03T00:00:00"/>
    <x v="3"/>
    <x v="1"/>
    <x v="3"/>
    <n v="25505"/>
    <s v="s"/>
    <s v="MAlaxeur"/>
    <s v="Niveau d'huile insuffisant au niveau du réducteur "/>
    <s v="Rectification"/>
    <s v="Correction du niveau d'huile hydrolique "/>
    <d v="2022-06-03T00:00:00"/>
    <m/>
    <n v="15"/>
    <x v="4"/>
    <x v="3"/>
    <m/>
  </r>
  <r>
    <d v="2022-06-03T00:00:00"/>
    <x v="3"/>
    <x v="1"/>
    <x v="3"/>
    <n v="25506"/>
    <s v="s"/>
    <s v="Pousse planche "/>
    <s v="Fin de course endommagé "/>
    <s v="Changement"/>
    <s v="Changement du fin de course"/>
    <d v="2022-06-03T00:00:00"/>
    <m/>
    <n v="35"/>
    <x v="4"/>
    <x v="3"/>
    <m/>
  </r>
  <r>
    <d v="2022-06-04T00:00:00"/>
    <x v="3"/>
    <x v="1"/>
    <x v="3"/>
    <n v="26526"/>
    <m/>
    <s v="Alimentation generale"/>
    <s v="Absence de courant ( disjoncteur HS)"/>
    <s v="Réparation"/>
    <s v="Changement du disjoncteur"/>
    <d v="2022-06-04T00:00:00"/>
    <m/>
    <n v="45"/>
    <x v="4"/>
    <x v="3"/>
    <m/>
  </r>
  <r>
    <d v="2022-06-04T00:00:00"/>
    <x v="10"/>
    <x v="0"/>
    <x v="10"/>
    <n v="24504"/>
    <s v="s"/>
    <s v="Cassete d9"/>
    <s v="Galet lisse endommagé et usure de 8 roulements "/>
    <s v="Changement"/>
    <s v="Demontage cassette/changement du galet et des 8 roulements / remontage/zoomage "/>
    <d v="2022-06-04T00:00:00"/>
    <m/>
    <n v="150"/>
    <x v="4"/>
    <x v="3"/>
    <m/>
  </r>
  <r>
    <d v="2022-06-04T00:00:00"/>
    <x v="7"/>
    <x v="0"/>
    <x v="7"/>
    <n v="24554"/>
    <s v="s"/>
    <s v="Systéme transmision de poutrelles"/>
    <s v="Fuite d'huile au niveau de flexible "/>
    <s v="Changement"/>
    <s v="Changement du flexible "/>
    <d v="2022-06-04T00:00:00"/>
    <m/>
    <n v="45"/>
    <x v="4"/>
    <x v="3"/>
    <m/>
  </r>
  <r>
    <d v="2022-06-04T00:00:00"/>
    <x v="17"/>
    <x v="0"/>
    <x v="17"/>
    <n v="25553"/>
    <s v="s"/>
    <s v="Came de cisaille"/>
    <s v="Jeu au niveau du came "/>
    <s v="Changement"/>
    <s v="Changement de roulement "/>
    <d v="2022-06-04T00:00:00"/>
    <m/>
    <n v="45"/>
    <x v="4"/>
    <x v="3"/>
    <m/>
  </r>
  <r>
    <d v="2022-06-05T00:00:00"/>
    <x v="2"/>
    <x v="1"/>
    <x v="2"/>
    <n v="25507"/>
    <s v="s"/>
    <s v="Pilon"/>
    <s v="Fuite interne au niveau de vérin "/>
    <s v="Changement"/>
    <s v="Changement des kit joints"/>
    <d v="2022-06-05T00:00:00"/>
    <m/>
    <n v="90"/>
    <x v="4"/>
    <x v="3"/>
    <m/>
  </r>
  <r>
    <d v="2022-06-05T00:00:00"/>
    <x v="3"/>
    <x v="1"/>
    <x v="3"/>
    <n v="25508"/>
    <s v="s"/>
    <s v="Vis a ciment"/>
    <s v="Accouplement usé "/>
    <s v="Changement"/>
    <s v="Changement d'accouplement "/>
    <d v="2022-06-05T00:00:00"/>
    <m/>
    <n v="45"/>
    <x v="4"/>
    <x v="3"/>
    <m/>
  </r>
  <r>
    <d v="2022-06-05T00:00:00"/>
    <x v="26"/>
    <x v="0"/>
    <x v="26"/>
    <n v="24553"/>
    <s v="s"/>
    <s v="Refroidisseur "/>
    <s v="Flow switch endommagé "/>
    <s v="Changement"/>
    <s v="Attent changement de Flow Switch "/>
    <d v="2022-06-05T00:00:00"/>
    <m/>
    <n v="30"/>
    <x v="4"/>
    <x v="3"/>
    <m/>
  </r>
  <r>
    <d v="2022-06-06T00:00:00"/>
    <x v="1"/>
    <x v="0"/>
    <x v="1"/>
    <n v="26532"/>
    <m/>
    <s v="Varitateur"/>
    <s v="Defaut variateur"/>
    <s v="Réparation"/>
    <s v="Réglage de position des danseur et mise en marche"/>
    <d v="2022-06-06T00:00:00"/>
    <m/>
    <n v="240"/>
    <x v="4"/>
    <x v="3"/>
    <m/>
  </r>
  <r>
    <d v="2022-06-06T00:00:00"/>
    <x v="1"/>
    <x v="0"/>
    <x v="1"/>
    <n v="24505"/>
    <s v="s"/>
    <m/>
    <s v="Cassette endommagé"/>
    <s v="Rennovation "/>
    <s v="Réparation complete de la cassette "/>
    <d v="2022-06-06T00:00:00"/>
    <m/>
    <m/>
    <x v="4"/>
    <x v="3"/>
    <m/>
  </r>
  <r>
    <d v="2022-06-06T00:00:00"/>
    <x v="4"/>
    <x v="0"/>
    <x v="4"/>
    <n v="25555"/>
    <s v="s"/>
    <s v="Refroidisseur "/>
    <s v="Fusible 6A endommagé "/>
    <s v="Changement"/>
    <s v="Changement du fusible "/>
    <d v="2022-06-06T00:00:00"/>
    <m/>
    <n v="60"/>
    <x v="4"/>
    <x v="3"/>
    <m/>
  </r>
  <r>
    <d v="2022-06-07T00:00:00"/>
    <x v="3"/>
    <x v="1"/>
    <x v="3"/>
    <n v="26527"/>
    <m/>
    <s v="Transbordeur"/>
    <s v="Défaut de freinage "/>
    <s v="Réparation"/>
    <s v="Réglage du frein moteur et mise en marche"/>
    <d v="2022-06-07T00:00:00"/>
    <m/>
    <n v="90"/>
    <x v="4"/>
    <x v="3"/>
    <m/>
  </r>
  <r>
    <d v="2022-06-07T00:00:00"/>
    <x v="27"/>
    <x v="2"/>
    <x v="27"/>
    <n v="26528"/>
    <m/>
    <s v="Boite à commande"/>
    <s v="Défaut sur cable"/>
    <s v="Réparation"/>
    <s v="Changement de la parite endommagée du cable et mise en marche"/>
    <d v="2022-06-07T00:00:00"/>
    <m/>
    <n v="120"/>
    <x v="4"/>
    <x v="3"/>
    <m/>
  </r>
  <r>
    <d v="2022-06-07T00:00:00"/>
    <x v="27"/>
    <x v="2"/>
    <x v="27"/>
    <n v="25509"/>
    <s v="s"/>
    <s v="Vibreur"/>
    <s v="Interrupteur endommagé "/>
    <s v="Changement"/>
    <s v="Changement d'interrupteur "/>
    <d v="2022-06-07T00:00:00"/>
    <m/>
    <n v="30"/>
    <x v="4"/>
    <x v="3"/>
    <m/>
  </r>
  <r>
    <d v="2022-06-07T00:00:00"/>
    <x v="16"/>
    <x v="0"/>
    <x v="16"/>
    <n v="24555"/>
    <s v="s"/>
    <s v="Cisaille"/>
    <s v="Couteau usé "/>
    <s v="Changement"/>
    <s v="Changement du couteau  "/>
    <d v="2022-06-07T00:00:00"/>
    <m/>
    <n v="90"/>
    <x v="4"/>
    <x v="3"/>
    <m/>
  </r>
  <r>
    <d v="2022-06-07T00:00:00"/>
    <x v="16"/>
    <x v="0"/>
    <x v="16"/>
    <n v="24556"/>
    <s v="s"/>
    <s v="Cisaille"/>
    <s v="Detecteur de proximité endommagé "/>
    <s v="Changement"/>
    <s v="Changement de detecteur "/>
    <d v="2022-06-07T00:00:00"/>
    <m/>
    <n v="30"/>
    <x v="4"/>
    <x v="3"/>
    <m/>
  </r>
  <r>
    <d v="2022-06-08T00:00:00"/>
    <x v="10"/>
    <x v="0"/>
    <x v="10"/>
    <n v="24506"/>
    <s v="s"/>
    <s v="Tecalon"/>
    <s v="Fuite d'air "/>
    <s v="Reparation"/>
    <s v="Reparation du tecalon diametre 10 "/>
    <d v="2022-06-08T00:00:00"/>
    <m/>
    <n v="45"/>
    <x v="4"/>
    <x v="3"/>
    <m/>
  </r>
  <r>
    <d v="2022-06-08T00:00:00"/>
    <x v="1"/>
    <x v="0"/>
    <x v="1"/>
    <n v="24507"/>
    <s v="s"/>
    <s v="Cassette 3,2"/>
    <s v="Fuite au niveau du circuit d'eau "/>
    <s v="Changement"/>
    <s v="Changement du raccord "/>
    <d v="2022-06-08T00:00:00"/>
    <m/>
    <n v="30"/>
    <x v="4"/>
    <x v="3"/>
    <m/>
  </r>
  <r>
    <d v="2022-06-08T00:00:00"/>
    <x v="2"/>
    <x v="1"/>
    <x v="2"/>
    <n v="25510"/>
    <s v="s"/>
    <s v="Pince"/>
    <s v="Fin de course endommagé "/>
    <s v="Changement"/>
    <s v="Changement du findee course / changement du fixation "/>
    <d v="2022-06-08T00:00:00"/>
    <m/>
    <n v="45"/>
    <x v="4"/>
    <x v="3"/>
    <m/>
  </r>
  <r>
    <d v="2022-06-08T00:00:00"/>
    <x v="2"/>
    <x v="1"/>
    <x v="2"/>
    <n v="25511"/>
    <s v="s"/>
    <s v="vis colorant "/>
    <s v="Vis endommagé "/>
    <s v="Changement"/>
    <s v="Changement de vis "/>
    <d v="2022-06-08T00:00:00"/>
    <m/>
    <n v="90"/>
    <x v="4"/>
    <x v="3"/>
    <m/>
  </r>
  <r>
    <d v="2022-06-09T00:00:00"/>
    <x v="0"/>
    <x v="0"/>
    <x v="0"/>
    <n v="25556"/>
    <s v="s"/>
    <s v="Pousse fil "/>
    <s v="Hexagon usé "/>
    <s v="Changement"/>
    <s v="Changement de hexagon "/>
    <d v="2022-06-09T00:00:00"/>
    <m/>
    <n v="180"/>
    <x v="4"/>
    <x v="3"/>
    <m/>
  </r>
  <r>
    <d v="2022-06-10T00:00:00"/>
    <x v="11"/>
    <x v="0"/>
    <x v="11"/>
    <n v="24508"/>
    <s v="s"/>
    <s v="Guide savonnier "/>
    <s v="Tige filtée usée"/>
    <s v="Changement"/>
    <s v="Changement de la tige "/>
    <d v="2022-06-10T00:00:00"/>
    <m/>
    <n v="60"/>
    <x v="4"/>
    <x v="3"/>
    <m/>
  </r>
  <r>
    <d v="2022-06-10T00:00:00"/>
    <x v="10"/>
    <x v="0"/>
    <x v="10"/>
    <n v="24509"/>
    <s v="s"/>
    <s v="Cercleuse"/>
    <s v="Probleme au niveau du couteau de la cercleuse"/>
    <s v="Changement"/>
    <s v="Changement du couteau  "/>
    <d v="2022-06-10T00:00:00"/>
    <m/>
    <n v="45"/>
    <x v="4"/>
    <x v="3"/>
    <m/>
  </r>
  <r>
    <d v="2022-06-10T00:00:00"/>
    <x v="3"/>
    <x v="1"/>
    <x v="3"/>
    <n v="25512"/>
    <s v="s"/>
    <s v="Cercleuse"/>
    <s v="Detecteur de position endommagé  "/>
    <s v="Changement"/>
    <s v="Changement de detecteur "/>
    <d v="2022-06-10T00:00:00"/>
    <m/>
    <n v="60"/>
    <x v="4"/>
    <x v="3"/>
    <m/>
  </r>
  <r>
    <d v="2022-06-10T00:00:00"/>
    <x v="3"/>
    <x v="1"/>
    <x v="3"/>
    <n v="25513"/>
    <s v="s"/>
    <s v="Systéme d'agitation"/>
    <s v="Pignon d'accouplement endommagé et chaine B12 usé "/>
    <s v="Changement"/>
    <s v="Changement du pignon et changement de chaine "/>
    <d v="2022-06-10T00:00:00"/>
    <m/>
    <n v="90"/>
    <x v="4"/>
    <x v="3"/>
    <m/>
  </r>
  <r>
    <d v="2022-06-10T00:00:00"/>
    <x v="4"/>
    <x v="0"/>
    <x v="4"/>
    <n v="25557"/>
    <s v="s"/>
    <s v="Systéme d'avancement "/>
    <s v="Circlips de vérin endommagé "/>
    <s v="Changement"/>
    <s v="Changement de circlips "/>
    <d v="2022-06-10T00:00:00"/>
    <m/>
    <n v="30"/>
    <x v="4"/>
    <x v="3"/>
    <m/>
  </r>
  <r>
    <d v="2022-06-10T00:00:00"/>
    <x v="20"/>
    <x v="0"/>
    <x v="20"/>
    <m/>
    <s v="s"/>
    <s v="Pupitre de commande"/>
    <s v="Panel tactile endommagé"/>
    <s v="Réparation"/>
    <s v="Réparation du panel chez AMS electronique"/>
    <d v="2022-06-10T00:00:00"/>
    <m/>
    <n v="4800"/>
    <x v="4"/>
    <x v="3"/>
    <m/>
  </r>
  <r>
    <d v="2022-06-11T00:00:00"/>
    <x v="27"/>
    <x v="2"/>
    <x v="27"/>
    <n v="25514"/>
    <s v="s"/>
    <s v="Alimentation en eau"/>
    <s v="Ballon d'eau endommagé"/>
    <s v="Changement"/>
    <s v="Changement du ballon d'eau 100L"/>
    <d v="2022-06-11T00:00:00"/>
    <m/>
    <m/>
    <x v="4"/>
    <x v="3"/>
    <m/>
  </r>
  <r>
    <d v="2022-06-12T00:00:00"/>
    <x v="2"/>
    <x v="1"/>
    <x v="2"/>
    <n v="25515"/>
    <s v="s"/>
    <s v="Malaxeur"/>
    <s v="Pompe à eau endommagée"/>
    <s v="Réparation "/>
    <s v="Changement de la pompe en attente d'achat d'une nouvelle"/>
    <d v="2022-06-12T00:00:00"/>
    <m/>
    <n v="240"/>
    <x v="4"/>
    <x v="3"/>
    <m/>
  </r>
  <r>
    <d v="2022-06-12T00:00:00"/>
    <x v="1"/>
    <x v="0"/>
    <x v="1"/>
    <n v="15082"/>
    <s v="s"/>
    <s v="Savonniere"/>
    <s v="Palier endommagés"/>
    <s v="Réparation"/>
    <s v="Changement d'un palier usé"/>
    <d v="2022-06-12T00:00:00"/>
    <m/>
    <n v="90"/>
    <x v="4"/>
    <x v="3"/>
    <m/>
  </r>
  <r>
    <d v="2022-06-15T00:00:00"/>
    <x v="1"/>
    <x v="0"/>
    <x v="1"/>
    <m/>
    <s v="s"/>
    <s v="Cabestans"/>
    <s v="Entretien du circuit de refroidissement"/>
    <s v="Réparation"/>
    <s v="Entretien général"/>
    <d v="2022-06-15T00:00:00"/>
    <m/>
    <n v="2400"/>
    <x v="4"/>
    <x v="3"/>
    <m/>
  </r>
  <r>
    <d v="2022-06-15T00:00:00"/>
    <x v="4"/>
    <x v="0"/>
    <x v="4"/>
    <m/>
    <s v="s"/>
    <s v="Bloc de soudage"/>
    <s v="PB transfos"/>
    <s v="Réparation"/>
    <s v="dépannage"/>
    <d v="2022-06-15T00:00:00"/>
    <m/>
    <n v="960"/>
    <x v="4"/>
    <x v="3"/>
    <m/>
  </r>
  <r>
    <d v="2022-06-16T00:00:00"/>
    <x v="3"/>
    <x v="1"/>
    <x v="3"/>
    <n v="25517"/>
    <s v="s"/>
    <s v="Table vibrante"/>
    <s v="Rupture de la courroie 2800"/>
    <s v="Réparation"/>
    <s v="Changement de la courroie et calage de la table"/>
    <d v="2022-06-16T00:00:00"/>
    <m/>
    <n v="120"/>
    <x v="4"/>
    <x v="3"/>
    <m/>
  </r>
  <r>
    <d v="2022-06-16T00:00:00"/>
    <x v="3"/>
    <x v="1"/>
    <x v="3"/>
    <n v="25518"/>
    <s v="s"/>
    <s v="Table vibrante"/>
    <s v="Roulements de tendeurs usé"/>
    <s v="Réparation"/>
    <s v="Changement des roulements endommagés"/>
    <d v="2022-06-16T00:00:00"/>
    <m/>
    <n v="180"/>
    <x v="4"/>
    <x v="3"/>
    <m/>
  </r>
  <r>
    <d v="2022-06-16T00:00:00"/>
    <x v="11"/>
    <x v="0"/>
    <x v="11"/>
    <n v="24514"/>
    <s v="s"/>
    <s v="Bobinoir"/>
    <s v="Roulement endommagé"/>
    <s v="Réparation"/>
    <s v="Changement du roulement et vidange de la boite à vitesse"/>
    <d v="2022-06-19T00:00:00"/>
    <m/>
    <n v="1920"/>
    <x v="4"/>
    <x v="3"/>
    <m/>
  </r>
  <r>
    <d v="2022-06-17T00:00:00"/>
    <x v="3"/>
    <x v="1"/>
    <x v="3"/>
    <n v="25519"/>
    <s v="s"/>
    <s v="Transbordeur"/>
    <s v="Fuite interne au niveau du vérin du transbordeur"/>
    <s v="Réparation"/>
    <s v="Chnagement du nécessaire de vérin"/>
    <d v="2022-06-17T00:00:00"/>
    <m/>
    <n v="360"/>
    <x v="4"/>
    <x v="3"/>
    <m/>
  </r>
  <r>
    <d v="2022-06-18T00:00:00"/>
    <x v="2"/>
    <x v="1"/>
    <x v="2"/>
    <n v="25520"/>
    <s v="s"/>
    <s v="Table vibrante"/>
    <s v="Rupture de courroie 1600"/>
    <s v="Réparation"/>
    <s v="Changement de la courroie et réglage des positions de poulies"/>
    <d v="2022-06-18T00:00:00"/>
    <s v="Entretien général à prévoir / Intervention technicien Poyatos"/>
    <n v="240"/>
    <x v="4"/>
    <x v="3"/>
    <m/>
  </r>
  <r>
    <d v="2022-06-18T00:00:00"/>
    <x v="2"/>
    <x v="1"/>
    <x v="2"/>
    <n v="25521"/>
    <s v="s"/>
    <s v="Paletiseur"/>
    <s v="Rouleau endommagé"/>
    <s v="Réparation"/>
    <s v="Changement du rouleau endommagé"/>
    <d v="2022-06-18T00:00:00"/>
    <m/>
    <n v="45"/>
    <x v="4"/>
    <x v="3"/>
    <m/>
  </r>
  <r>
    <d v="2022-06-21T00:00:00"/>
    <x v="2"/>
    <x v="1"/>
    <x v="2"/>
    <n v="25522"/>
    <s v="s"/>
    <s v="Table vibrante"/>
    <s v="Entretien annuel"/>
    <s v="Réparation"/>
    <s v="Révision générale du mécanisme de vibtation de la presse"/>
    <d v="2022-06-23T00:00:00"/>
    <m/>
    <n v="1620"/>
    <x v="4"/>
    <x v="3"/>
    <m/>
  </r>
  <r>
    <d v="2022-06-23T00:00:00"/>
    <x v="2"/>
    <x v="1"/>
    <x v="2"/>
    <n v="25527"/>
    <s v="s"/>
    <s v="Table vibrante"/>
    <s v="Fuite d'huile au niveau de la table vibrante"/>
    <s v="Réparation"/>
    <s v="Changement de l'arrêt d'huile des poulies"/>
    <d v="2022-06-23T00:00:00"/>
    <m/>
    <n v="180"/>
    <x v="4"/>
    <x v="3"/>
    <m/>
  </r>
  <r>
    <d v="2022-06-23T00:00:00"/>
    <x v="20"/>
    <x v="0"/>
    <x v="20"/>
    <n v="14955"/>
    <s v="s"/>
    <s v="Air comprimé"/>
    <s v="Rupture d'un tuyau d'air comprimé"/>
    <s v="Réparation"/>
    <s v="Elimination de la fuite et mise en marche"/>
    <d v="2022-06-23T00:00:00"/>
    <m/>
    <m/>
    <x v="4"/>
    <x v="3"/>
    <m/>
  </r>
  <r>
    <d v="2022-06-25T00:00:00"/>
    <x v="3"/>
    <x v="1"/>
    <x v="3"/>
    <n v="25530"/>
    <s v="s"/>
    <s v="Brosse"/>
    <s v="Rupture de 2 courroies A50"/>
    <s v="Réparation"/>
    <s v="Changement des courroies A50"/>
    <d v="2022-06-25T00:00:00"/>
    <m/>
    <n v="30"/>
    <x v="4"/>
    <x v="3"/>
    <m/>
  </r>
  <r>
    <d v="2022-06-28T00:00:00"/>
    <x v="3"/>
    <x v="1"/>
    <x v="3"/>
    <n v="25534"/>
    <s v="s"/>
    <s v="Système d'agitation"/>
    <s v="Rupture de la chaine B12"/>
    <s v="Réparation"/>
    <s v="Changement de la chaine B12"/>
    <d v="2022-06-28T00:00:00"/>
    <m/>
    <n v="45"/>
    <x v="4"/>
    <x v="3"/>
    <m/>
  </r>
  <r>
    <d v="2022-07-01T00:00:00"/>
    <x v="3"/>
    <x v="1"/>
    <x v="3"/>
    <m/>
    <s v="s"/>
    <s v="Malaxeur"/>
    <s v="Echeance vidange"/>
    <s v="Vidange"/>
    <s v="Vidange du groupe hydraulique"/>
    <d v="2022-07-01T00:00:00"/>
    <m/>
    <n v="45"/>
    <x v="6"/>
    <x v="3"/>
    <m/>
  </r>
  <r>
    <d v="2022-07-05T00:00:00"/>
    <x v="2"/>
    <x v="1"/>
    <x v="2"/>
    <n v="15905"/>
    <s v="s"/>
    <s v="Transbordeur"/>
    <s v="Réducteurs endommagés"/>
    <s v="Rép"/>
    <s v="Mise en place d'un  Réducteur en attendant confection de pignons neufs"/>
    <d v="2022-07-05T00:00:00"/>
    <s v="Confection à suivre"/>
    <n v="90"/>
    <x v="6"/>
    <x v="3"/>
    <m/>
  </r>
  <r>
    <d v="2022-07-19T00:00:00"/>
    <x v="3"/>
    <x v="1"/>
    <x v="3"/>
    <n v="15765"/>
    <s v="s"/>
    <s v="Machine"/>
    <s v="Entretien général"/>
    <s v="Entretien"/>
    <s v=" - Révision du  système mooule/pilon ( changement des coussinet et confection de tous les élements usés_x000a_- Révision du transbordeur ( changement des roues et arbres de roues)_x000a_- Changement du revetement du malaxeur et portes du malaxeur"/>
    <d v="2022-07-31T00:00:00"/>
    <m/>
    <n v="4320"/>
    <x v="6"/>
    <x v="3"/>
    <m/>
  </r>
  <r>
    <d v="2022-07-20T00:00:00"/>
    <x v="17"/>
    <x v="0"/>
    <x v="17"/>
    <m/>
    <m/>
    <s v="Cisaille"/>
    <s v="Défaut sur variateur ( prog effacé)"/>
    <s v="Réparation"/>
    <s v="Reprogrammation du variateur "/>
    <m/>
    <s v=" - Intervention de socar béton sans succès_x000a_- Attente solution de chez EUROLLS"/>
    <m/>
    <x v="0"/>
    <x v="6"/>
    <m/>
  </r>
  <r>
    <d v="2022-07-22T00:00:00"/>
    <x v="4"/>
    <x v="0"/>
    <x v="4"/>
    <s v="M1017926"/>
    <m/>
    <s v="MAchine"/>
    <s v="Diagnostic general"/>
    <s v="Diagnosit"/>
    <s v="Intervention d'un technicien EVG pour la résolution du probleme d'endommagement des transformateurs"/>
    <d v="2022-07-22T00:00:00"/>
    <s v="PDR à vérifier et  à valider avec la DG ( liste reçu le 2/09/2022 "/>
    <m/>
    <x v="6"/>
    <x v="3"/>
    <s v="R"/>
  </r>
  <r>
    <d v="2022-08-04T00:00:00"/>
    <x v="17"/>
    <x v="0"/>
    <x v="17"/>
    <n v="15509"/>
    <s v="s"/>
    <s v="Redresseur"/>
    <s v="Courroies de transmission endommagées"/>
    <s v="Réparation "/>
    <s v="Changement des courroies"/>
    <d v="2022-08-05T00:00:00"/>
    <m/>
    <n v="480"/>
    <x v="8"/>
    <x v="3"/>
    <m/>
  </r>
  <r>
    <d v="2022-08-04T00:00:00"/>
    <x v="2"/>
    <x v="1"/>
    <x v="2"/>
    <m/>
    <s v="s"/>
    <s v="Table vibrante"/>
    <s v="Echeance vidange"/>
    <s v="Vidange"/>
    <s v="Vidange de la table vibrante"/>
    <d v="2022-08-04T00:00:00"/>
    <m/>
    <n v="45"/>
    <x v="8"/>
    <x v="3"/>
    <m/>
  </r>
  <r>
    <d v="2022-08-05T00:00:00"/>
    <x v="4"/>
    <x v="0"/>
    <x v="4"/>
    <n v="15511"/>
    <s v="s"/>
    <s v="Table elevatrice"/>
    <s v="Ecrous en bronze endommagés"/>
    <s v="Réparation"/>
    <s v="Changement des ecrous en bronze"/>
    <d v="2022-08-05T00:00:00"/>
    <m/>
    <n v="960"/>
    <x v="8"/>
    <x v="3"/>
    <m/>
  </r>
  <r>
    <d v="2022-08-06T00:00:00"/>
    <x v="4"/>
    <x v="0"/>
    <x v="4"/>
    <n v="15513"/>
    <s v="s"/>
    <s v="Bloc de soudage"/>
    <s v="Transformateur n3 grillé"/>
    <s v="Réparation"/>
    <s v="Equilibrage des trois transfo restant"/>
    <d v="2022-08-06T00:00:00"/>
    <m/>
    <n v="960"/>
    <x v="8"/>
    <x v="3"/>
    <m/>
  </r>
  <r>
    <d v="2022-08-07T00:00:00"/>
    <x v="14"/>
    <x v="4"/>
    <x v="14"/>
    <n v="15514"/>
    <s v="s"/>
    <s v="Mecanisme de déplacement"/>
    <s v="Galet endommagé"/>
    <s v="Répaciotn "/>
    <s v="Confection et changement des galets endommagés"/>
    <d v="2022-08-07T00:00:00"/>
    <m/>
    <n v="1920"/>
    <x v="8"/>
    <x v="3"/>
    <m/>
  </r>
  <r>
    <d v="2022-08-11T00:00:00"/>
    <x v="7"/>
    <x v="0"/>
    <x v="7"/>
    <n v="25314"/>
    <s v="s"/>
    <s v="Guide fil"/>
    <s v="Servomoteur HS"/>
    <s v="Réparation"/>
    <s v="Réparation servomoteur"/>
    <d v="2022-08-31T00:00:00"/>
    <m/>
    <n v="8640"/>
    <x v="8"/>
    <x v="3"/>
    <m/>
  </r>
  <r>
    <d v="2022-08-19T00:00:00"/>
    <x v="3"/>
    <x v="1"/>
    <x v="3"/>
    <n v="15913"/>
    <s v="s"/>
    <s v="Compresseur GA22"/>
    <s v="Moteur grillé"/>
    <s v="Réparation "/>
    <s v="Entretien du moteur ( dépannage avec compresseur ATMAINT"/>
    <d v="2022-08-19T00:00:00"/>
    <m/>
    <n v="120"/>
    <x v="8"/>
    <x v="3"/>
    <m/>
  </r>
  <r>
    <d v="2022-08-19T00:00:00"/>
    <x v="27"/>
    <x v="2"/>
    <x v="27"/>
    <n v="14402"/>
    <s v="s"/>
    <s v="Treuil principal"/>
    <s v="Cable d6 endommagé"/>
    <s v="Réparation"/>
    <s v="Changement du cable"/>
    <d v="2022-08-19T00:00:00"/>
    <m/>
    <n v="240"/>
    <x v="8"/>
    <x v="3"/>
    <m/>
  </r>
  <r>
    <d v="2022-08-23T00:00:00"/>
    <x v="3"/>
    <x v="1"/>
    <x v="3"/>
    <n v="25701"/>
    <s v="s"/>
    <s v="Pince"/>
    <s v="Déterioration des vis de frein"/>
    <s v="Réparation"/>
    <s v="Changement des vis + réglage"/>
    <d v="2022-08-23T00:00:00"/>
    <m/>
    <n v="60"/>
    <x v="8"/>
    <x v="3"/>
    <m/>
  </r>
  <r>
    <d v="2022-08-23T00:00:00"/>
    <x v="40"/>
    <x v="8"/>
    <x v="39"/>
    <n v="25702"/>
    <s v="s"/>
    <s v="Groupe compresseur"/>
    <s v="Révision générale"/>
    <s v="Réparation"/>
    <s v=" - Rebobinage moteur 22kw_x000a_ - Changement d'un flexible endommagé_x000a_ - Changement des courroies endommagées"/>
    <d v="2022-08-23T00:00:00"/>
    <m/>
    <m/>
    <x v="8"/>
    <x v="3"/>
    <m/>
  </r>
  <r>
    <d v="2022-08-23T00:00:00"/>
    <x v="18"/>
    <x v="4"/>
    <x v="18"/>
    <n v="25703"/>
    <s v="s"/>
    <s v="Moufle"/>
    <s v="Déterioration de la poulie"/>
    <s v="Réparation"/>
    <s v="Confection d'une poulie / soudage du support"/>
    <d v="2022-08-23T00:00:00"/>
    <m/>
    <n v="90"/>
    <x v="8"/>
    <x v="3"/>
    <m/>
  </r>
  <r>
    <d v="2022-08-24T00:00:00"/>
    <x v="2"/>
    <x v="1"/>
    <x v="2"/>
    <n v="25705"/>
    <s v="s"/>
    <s v="Transbordeur"/>
    <s v="Réducteurs endommagés"/>
    <s v="Réparation"/>
    <s v="Remplacement par Un réducteur en attendant reception des pignons en confection"/>
    <d v="2022-08-24T00:00:00"/>
    <m/>
    <n v="180"/>
    <x v="8"/>
    <x v="3"/>
    <m/>
  </r>
  <r>
    <d v="2022-08-24T00:00:00"/>
    <x v="7"/>
    <x v="0"/>
    <x v="7"/>
    <n v="25706"/>
    <s v="s"/>
    <s v="Cisaille"/>
    <s v="Fuite d'huile au niveau du vérin de cisaille"/>
    <s v="Réparation"/>
    <s v="Changement des coupelles du vérin"/>
    <d v="2022-08-24T00:00:00"/>
    <m/>
    <n v="45"/>
    <x v="8"/>
    <x v="3"/>
    <m/>
  </r>
  <r>
    <d v="2022-08-24T00:00:00"/>
    <x v="4"/>
    <x v="0"/>
    <x v="4"/>
    <n v="25707"/>
    <s v="s"/>
    <s v="Transporteur"/>
    <s v="Fuite d'air au niveau du vérin du  crochet du transporteur"/>
    <s v="Réparation"/>
    <s v="Changement du vérin "/>
    <d v="2022-08-24T00:00:00"/>
    <s v="DA réalisé pour vérin stock"/>
    <n v="90"/>
    <x v="8"/>
    <x v="3"/>
    <m/>
  </r>
  <r>
    <d v="2022-08-25T00:00:00"/>
    <x v="0"/>
    <x v="0"/>
    <x v="0"/>
    <n v="25709"/>
    <s v="s"/>
    <s v="Table elevatrice"/>
    <s v="Défaillance de détecteur de proximité"/>
    <s v="Réparation"/>
    <s v="Changement du capteur de proximité"/>
    <d v="2022-08-27T00:00:00"/>
    <m/>
    <n v="50"/>
    <x v="8"/>
    <x v="3"/>
    <m/>
  </r>
  <r>
    <d v="2022-08-26T00:00:00"/>
    <x v="3"/>
    <x v="1"/>
    <x v="3"/>
    <n v="25710"/>
    <m/>
    <s v="Presse"/>
    <s v="Rupture d'une courroie 2800"/>
    <s v="Réparation"/>
    <s v="Changement d'une courroie 2800"/>
    <d v="2022-08-26T00:00:00"/>
    <m/>
    <n v="60"/>
    <x v="8"/>
    <x v="3"/>
    <m/>
  </r>
  <r>
    <d v="2022-08-30T00:00:00"/>
    <x v="0"/>
    <x v="0"/>
    <x v="0"/>
    <n v="25714"/>
    <s v="s"/>
    <s v="Lance trame"/>
    <s v="Défaillance de détecteur de proximité"/>
    <s v="Réparation"/>
    <s v="Défaillance d'un capteur de proximité"/>
    <d v="2022-08-30T00:00:00"/>
    <m/>
    <n v="60"/>
    <x v="8"/>
    <x v="3"/>
    <m/>
  </r>
  <r>
    <d v="2022-08-30T00:00:00"/>
    <x v="18"/>
    <x v="4"/>
    <x v="18"/>
    <n v="25715"/>
    <s v="s"/>
    <s v="Moteur translation"/>
    <s v="Moteur endommagé"/>
    <s v="Réparation"/>
    <s v="Rebobinage moteur chez Voselec"/>
    <d v="2022-09-30T00:00:00"/>
    <m/>
    <m/>
    <x v="7"/>
    <x v="3"/>
    <m/>
  </r>
  <r>
    <d v="2022-09-01T00:00:00"/>
    <x v="3"/>
    <x v="1"/>
    <x v="3"/>
    <m/>
    <s v="s"/>
    <s v="Presse"/>
    <s v="Echeance vidange"/>
    <s v="Vidange"/>
    <s v=" - Vidange du groupe hydraulique_x000a_- Changement des filtres aspiration / retour /pression"/>
    <d v="2022-09-01T00:00:00"/>
    <m/>
    <n v="120"/>
    <x v="7"/>
    <x v="3"/>
    <m/>
  </r>
  <r>
    <d v="2022-09-01T00:00:00"/>
    <x v="3"/>
    <x v="1"/>
    <x v="3"/>
    <m/>
    <s v="s"/>
    <s v="Malaxeur"/>
    <s v="Echeance vidange"/>
    <s v="Vidange"/>
    <s v="Vidange du réducteur"/>
    <d v="2022-09-01T00:00:00"/>
    <m/>
    <n v="45"/>
    <x v="7"/>
    <x v="3"/>
    <m/>
  </r>
  <r>
    <d v="2022-09-03T00:00:00"/>
    <x v="3"/>
    <x v="1"/>
    <x v="3"/>
    <m/>
    <s v="s"/>
    <s v="Tabke vibrante"/>
    <s v="Echeance vidange"/>
    <s v="Vidange"/>
    <s v="Vidange de la table vibrante"/>
    <d v="2022-09-03T00:00:00"/>
    <m/>
    <n v="45"/>
    <x v="7"/>
    <x v="3"/>
    <m/>
  </r>
  <r>
    <d v="2022-09-06T00:00:00"/>
    <x v="2"/>
    <x v="1"/>
    <x v="2"/>
    <m/>
    <s v="s"/>
    <s v="Malaxeur"/>
    <s v="Echeance vidange"/>
    <s v="Vidange"/>
    <s v="Vidange du réducteur du malaxeur"/>
    <d v="2022-09-06T00:00:00"/>
    <m/>
    <n v="60"/>
    <x v="7"/>
    <x v="3"/>
    <m/>
  </r>
  <r>
    <d v="2022-09-07T00:00:00"/>
    <x v="20"/>
    <x v="0"/>
    <x v="20"/>
    <n v="25451"/>
    <s v="s"/>
    <s v="Cassette Pr9"/>
    <s v="Flexible endommagée "/>
    <s v="Réparation"/>
    <s v="Changement flexible"/>
    <d v="2022-09-07T00:00:00"/>
    <m/>
    <n v="130"/>
    <x v="7"/>
    <x v="3"/>
    <m/>
  </r>
  <r>
    <d v="2022-09-08T00:00:00"/>
    <x v="4"/>
    <x v="0"/>
    <x v="4"/>
    <n v="25493"/>
    <s v="s"/>
    <s v="Bloc de soudage"/>
    <s v="Absence transformateur"/>
    <s v="Réparation"/>
    <s v="Montage d'un transformateur réparé"/>
    <d v="2022-09-08T00:00:00"/>
    <m/>
    <n v="300"/>
    <x v="7"/>
    <x v="3"/>
    <m/>
  </r>
  <r>
    <d v="2022-09-09T00:00:00"/>
    <x v="2"/>
    <x v="1"/>
    <x v="2"/>
    <n v="25453"/>
    <s v="s"/>
    <s v="Malaxeur"/>
    <s v="Racleur endommagé"/>
    <s v="Réparation"/>
    <s v="Changement du racleur et ajustement avec paroies malaxeur"/>
    <d v="2022-09-09T00:00:00"/>
    <m/>
    <n v="150"/>
    <x v="7"/>
    <x v="3"/>
    <m/>
  </r>
  <r>
    <d v="2022-09-09T00:00:00"/>
    <x v="2"/>
    <x v="1"/>
    <x v="2"/>
    <n v="25456"/>
    <s v="s"/>
    <s v="Tiroir d'agitation"/>
    <s v="Mauvais contact au niveau de la boite à borne "/>
    <s v="Réparation"/>
    <s v="Elimination du mauvais contact"/>
    <d v="2022-09-09T00:00:00"/>
    <m/>
    <n v="30"/>
    <x v="7"/>
    <x v="3"/>
    <m/>
  </r>
  <r>
    <d v="2022-09-10T00:00:00"/>
    <x v="16"/>
    <x v="0"/>
    <x v="16"/>
    <n v="25455"/>
    <s v="s"/>
    <s v="Cisaille"/>
    <s v="Vis endommagés"/>
    <s v="Réparation"/>
    <s v="Extraction des vis et changements de ceux-ci "/>
    <d v="2022-09-10T00:00:00"/>
    <m/>
    <n v="90"/>
    <x v="7"/>
    <x v="3"/>
    <m/>
  </r>
  <r>
    <d v="2022-09-10T00:00:00"/>
    <x v="3"/>
    <x v="1"/>
    <x v="3"/>
    <n v="25473"/>
    <s v="s"/>
    <s v="Grille d'agitation"/>
    <s v="Réducteur enommagé"/>
    <s v="Réparation "/>
    <s v="Changement d'une clavette et mise en marche"/>
    <d v="2022-09-10T00:00:00"/>
    <m/>
    <n v="150"/>
    <x v="7"/>
    <x v="3"/>
    <m/>
  </r>
  <r>
    <d v="2022-09-10T00:00:00"/>
    <x v="1"/>
    <x v="0"/>
    <x v="1"/>
    <n v="25480"/>
    <s v="s"/>
    <s v="Cassette d3,90"/>
    <s v="Fuite d'eau"/>
    <s v="Réparation"/>
    <s v="Chnagment d'un flexible endommagé"/>
    <d v="2022-09-10T00:00:00"/>
    <m/>
    <n v="75"/>
    <x v="7"/>
    <x v="3"/>
    <m/>
  </r>
  <r>
    <d v="2022-09-11T00:00:00"/>
    <x v="17"/>
    <x v="0"/>
    <x v="17"/>
    <n v="25458"/>
    <s v="s"/>
    <s v="Guide fil"/>
    <s v="clavette endommagé"/>
    <s v="Réparation"/>
    <s v="Changement de la clavette"/>
    <d v="2022-09-11T00:00:00"/>
    <m/>
    <n v="60"/>
    <x v="7"/>
    <x v="3"/>
    <m/>
  </r>
  <r>
    <d v="2022-09-13T00:00:00"/>
    <x v="2"/>
    <x v="1"/>
    <x v="2"/>
    <n v="25461"/>
    <s v="s"/>
    <s v="Convoyeur"/>
    <s v="Déterioration d'un rouleau convoyeur"/>
    <s v="Réparation"/>
    <s v="Soudage du rouleau convoyeur et changement de deux pieds de malaxeur"/>
    <d v="2022-09-13T00:00:00"/>
    <m/>
    <n v="90"/>
    <x v="7"/>
    <x v="3"/>
    <m/>
  </r>
  <r>
    <d v="2022-09-13T00:00:00"/>
    <x v="20"/>
    <x v="0"/>
    <x v="20"/>
    <n v="25465"/>
    <s v="s"/>
    <s v="guie fil"/>
    <s v="Deterioration des poulies guide fils"/>
    <s v="Réparation"/>
    <s v="Rechargement des poulies"/>
    <d v="2022-09-13T00:00:00"/>
    <m/>
    <n v="90"/>
    <x v="7"/>
    <x v="3"/>
    <m/>
  </r>
  <r>
    <d v="2022-09-13T00:00:00"/>
    <x v="7"/>
    <x v="0"/>
    <x v="7"/>
    <n v="25345"/>
    <s v="s"/>
    <s v="Guide fil"/>
    <s v="Servomoteur HS"/>
    <s v="Réparation"/>
    <s v="Réparation servomoteur"/>
    <d v="2022-09-13T00:00:00"/>
    <m/>
    <n v="6240"/>
    <x v="7"/>
    <x v="3"/>
    <m/>
  </r>
  <r>
    <d v="2022-09-14T00:00:00"/>
    <x v="20"/>
    <x v="0"/>
    <x v="20"/>
    <n v="25475"/>
    <s v="s"/>
    <s v="Groupe hydraulique"/>
    <s v="Pompe HS"/>
    <s v="Réparation"/>
    <s v="Réparation de la pompe"/>
    <d v="2022-09-28T00:00:00"/>
    <m/>
    <n v="6720"/>
    <x v="7"/>
    <x v="3"/>
    <m/>
  </r>
  <r>
    <d v="2022-09-14T00:00:00"/>
    <x v="2"/>
    <x v="1"/>
    <x v="2"/>
    <n v="25464"/>
    <s v="s"/>
    <s v="Pince"/>
    <s v="Cable endommagé"/>
    <s v="Réparation"/>
    <s v="Raccordement de la partie endommagée et mise en marche"/>
    <d v="2022-09-14T00:00:00"/>
    <m/>
    <n v="60"/>
    <x v="7"/>
    <x v="3"/>
    <m/>
  </r>
  <r>
    <d v="2022-09-14T00:00:00"/>
    <x v="2"/>
    <x v="1"/>
    <x v="2"/>
    <n v="25470"/>
    <s v="s"/>
    <s v="Malaxeur "/>
    <s v="Porte malaxeur endommagé"/>
    <s v="Réparation"/>
    <s v="Soudage de la porte"/>
    <d v="2022-09-14T00:00:00"/>
    <m/>
    <n v="75"/>
    <x v="7"/>
    <x v="3"/>
    <m/>
  </r>
  <r>
    <d v="2022-09-14T00:00:00"/>
    <x v="16"/>
    <x v="0"/>
    <x v="16"/>
    <n v="25477"/>
    <s v="s"/>
    <s v="Porte électrode "/>
    <s v="Fuite d'eau"/>
    <s v="Réparation"/>
    <s v="Changement de deux flexibles endommagés"/>
    <d v="2022-09-14T00:00:00"/>
    <m/>
    <n v="60"/>
    <x v="7"/>
    <x v="3"/>
    <m/>
  </r>
  <r>
    <d v="2022-09-14T00:00:00"/>
    <x v="3"/>
    <x v="1"/>
    <x v="3"/>
    <n v="25483"/>
    <s v="s"/>
    <s v="Moule"/>
    <s v="Axe vérin endommagé"/>
    <s v="Réparation"/>
    <s v="Soudage de la partie endommagée"/>
    <d v="2022-09-14T00:00:00"/>
    <m/>
    <n v="60"/>
    <x v="7"/>
    <x v="3"/>
    <m/>
  </r>
  <r>
    <d v="2022-09-15T00:00:00"/>
    <x v="2"/>
    <x v="1"/>
    <x v="2"/>
    <n v="25474"/>
    <s v="s"/>
    <s v="Pince"/>
    <s v="Cable de commande endommagé"/>
    <s v="Réparation"/>
    <s v="Raccordement du cble et mise en marche"/>
    <d v="2022-09-15T00:00:00"/>
    <m/>
    <n v="120"/>
    <x v="7"/>
    <x v="3"/>
    <m/>
  </r>
  <r>
    <d v="2022-09-15T00:00:00"/>
    <x v="3"/>
    <x v="1"/>
    <x v="3"/>
    <n v="25478"/>
    <s v="s"/>
    <s v="Transbordeur"/>
    <s v="Clavette endommagée"/>
    <s v="Réparation"/>
    <s v="Changement de la clavette du réducteur"/>
    <d v="2022-09-15T00:00:00"/>
    <m/>
    <n v="90"/>
    <x v="7"/>
    <x v="3"/>
    <m/>
  </r>
  <r>
    <d v="2022-09-15T00:00:00"/>
    <x v="3"/>
    <x v="1"/>
    <x v="3"/>
    <n v="25496"/>
    <s v="s"/>
    <s v="Tiroir d'agitation"/>
    <s v="Changement des vis + serrage"/>
    <s v="Réparation"/>
    <m/>
    <d v="2022-09-15T00:00:00"/>
    <m/>
    <n v="120"/>
    <x v="7"/>
    <x v="3"/>
    <m/>
  </r>
  <r>
    <d v="2022-09-15T00:00:00"/>
    <x v="4"/>
    <x v="0"/>
    <x v="4"/>
    <n v="25497"/>
    <s v="s"/>
    <s v="Bloc de soudage"/>
    <s v="Echeance vidange"/>
    <s v="Vidange"/>
    <s v=" - Vidange du groupe hydraulique_x000a_- Changement des filtres aspiration / retour /pression"/>
    <d v="2022-09-15T00:00:00"/>
    <m/>
    <n v="240"/>
    <x v="7"/>
    <x v="3"/>
    <m/>
  </r>
  <r>
    <d v="2022-09-16T00:00:00"/>
    <x v="24"/>
    <x v="4"/>
    <x v="24"/>
    <n v="25457"/>
    <s v="s"/>
    <s v="Boite a commande"/>
    <s v="Cable endommagé"/>
    <s v="Réparation"/>
    <s v="Changement du cable de commande"/>
    <d v="2022-09-16T00:00:00"/>
    <m/>
    <n v="240"/>
    <x v="7"/>
    <x v="3"/>
    <m/>
  </r>
  <r>
    <d v="2022-09-16T00:00:00"/>
    <x v="10"/>
    <x v="0"/>
    <x v="10"/>
    <n v="25468"/>
    <s v="s"/>
    <s v="Cassette pr8"/>
    <s v="Roulements endommags"/>
    <s v="Réparation"/>
    <s v="Changement de deux roulements"/>
    <d v="2022-08-16T00:00:00"/>
    <m/>
    <n v="60"/>
    <x v="8"/>
    <x v="3"/>
    <m/>
  </r>
  <r>
    <d v="2022-09-16T00:00:00"/>
    <x v="10"/>
    <x v="0"/>
    <x v="10"/>
    <n v="25484"/>
    <s v="s"/>
    <s v="Bobinoir"/>
    <s v="Cone de fixation endommagé"/>
    <s v="Réparation"/>
    <s v="Changemen du cone endommagé"/>
    <d v="2022-09-16T00:00:00"/>
    <m/>
    <n v="90"/>
    <x v="7"/>
    <x v="3"/>
    <m/>
  </r>
  <r>
    <d v="2022-09-17T00:00:00"/>
    <x v="2"/>
    <x v="1"/>
    <x v="2"/>
    <n v="25467"/>
    <s v="s"/>
    <s v="Grille d'agitation"/>
    <s v="Grille endommagée"/>
    <s v="Réparation"/>
    <s v="Soudage des parties endommagées"/>
    <d v="2022-09-17T00:00:00"/>
    <m/>
    <n v="90"/>
    <x v="7"/>
    <x v="3"/>
    <m/>
  </r>
  <r>
    <d v="2022-09-17T00:00:00"/>
    <x v="16"/>
    <x v="0"/>
    <x v="16"/>
    <n v="25472"/>
    <s v="s"/>
    <s v="Pince Zigzag"/>
    <s v="Panne distributeur"/>
    <s v="Réparation"/>
    <s v="changement du distributeur"/>
    <d v="2022-09-17T00:00:00"/>
    <m/>
    <n v="120"/>
    <x v="7"/>
    <x v="3"/>
    <m/>
  </r>
  <r>
    <d v="2022-09-17T00:00:00"/>
    <x v="4"/>
    <x v="0"/>
    <x v="4"/>
    <n v="25495"/>
    <s v="s"/>
    <s v="Support electrode"/>
    <s v="Usure de surface"/>
    <s v="Réparation"/>
    <s v="Rectification de surface"/>
    <d v="2022-09-17T00:00:00"/>
    <m/>
    <n v="120"/>
    <x v="7"/>
    <x v="3"/>
    <m/>
  </r>
  <r>
    <d v="2022-09-17T00:00:00"/>
    <x v="12"/>
    <x v="0"/>
    <x v="12"/>
    <n v="25355"/>
    <s v="s"/>
    <s v="Devidoir"/>
    <s v="Roulement du devidoir endommagés"/>
    <s v="Réparation"/>
    <s v="Révision générale du devidoir"/>
    <d v="2022-09-21T00:00:00"/>
    <s v="Machine en marche / attente réponse production pour montage du devidoir"/>
    <n v="0"/>
    <x v="7"/>
    <x v="3"/>
    <m/>
  </r>
  <r>
    <d v="2022-09-17T00:00:00"/>
    <x v="10"/>
    <x v="0"/>
    <x v="10"/>
    <n v="25356"/>
    <s v="s"/>
    <s v="Cassette d13 lisse"/>
    <s v="Roulements endommagés"/>
    <s v="Réparation"/>
    <s v="Changement des roulement endommagés + zoomage"/>
    <d v="2022-09-18T00:00:00"/>
    <m/>
    <n v="0"/>
    <x v="7"/>
    <x v="3"/>
    <m/>
  </r>
  <r>
    <d v="2022-09-17T00:00:00"/>
    <x v="10"/>
    <x v="0"/>
    <x v="10"/>
    <n v="25356"/>
    <s v="s"/>
    <s v="problem cassete  daimmetre 13 L"/>
    <s v="defaillance des ronlements  "/>
    <s v="reparation "/>
    <s v="Chengement des roulemments serrage "/>
    <d v="2022-09-18T00:00:00"/>
    <m/>
    <n v="240"/>
    <x v="7"/>
    <x v="3"/>
    <m/>
  </r>
  <r>
    <d v="2022-09-17T00:00:00"/>
    <x v="1"/>
    <x v="0"/>
    <x v="1"/>
    <n v="25361"/>
    <s v="s"/>
    <s v="porbleme electrique "/>
    <s v="Surcharge eletrique au niveau du moteur de la savonniere "/>
    <s v="reparation "/>
    <s v="Rearmement  du disjoncteur et mise en marche"/>
    <d v="2022-09-18T00:00:00"/>
    <m/>
    <n v="30"/>
    <x v="7"/>
    <x v="3"/>
    <m/>
  </r>
  <r>
    <d v="2022-09-19T00:00:00"/>
    <x v="2"/>
    <x v="1"/>
    <x v="2"/>
    <s v="OMS"/>
    <m/>
    <s v="Cercleuse"/>
    <s v="Intervention OMS"/>
    <s v="Entretien"/>
    <s v="Intervention OMS pour entretien general des cercleuses"/>
    <m/>
    <s v="Intervention technicien OMS en cours"/>
    <m/>
    <x v="0"/>
    <x v="6"/>
    <m/>
  </r>
  <r>
    <d v="2022-09-19T00:00:00"/>
    <x v="13"/>
    <x v="0"/>
    <x v="13"/>
    <n v="25487"/>
    <s v="s"/>
    <s v="Redresseur"/>
    <s v="Chaine endommagée"/>
    <s v="Réparation"/>
    <s v="Changement de la chaine endommagée"/>
    <d v="2022-09-20T00:00:00"/>
    <m/>
    <n v="90"/>
    <x v="7"/>
    <x v="3"/>
    <m/>
  </r>
  <r>
    <d v="2022-09-19T00:00:00"/>
    <x v="3"/>
    <x v="1"/>
    <x v="3"/>
    <n v="25488"/>
    <s v="s"/>
    <s v="Transbordeur"/>
    <s v="Desserage de la vis de réglage du frein"/>
    <s v="Réparation"/>
    <s v="Changement des vis de réglage"/>
    <d v="2022-09-20T00:00:00"/>
    <m/>
    <n v="105"/>
    <x v="7"/>
    <x v="3"/>
    <m/>
  </r>
  <r>
    <d v="2022-09-19T00:00:00"/>
    <x v="3"/>
    <x v="1"/>
    <x v="3"/>
    <n v="25354"/>
    <s v="s"/>
    <s v="Transbordeur"/>
    <s v="Défaut d'eclairage"/>
    <s v="reparation "/>
    <s v="Changement d'une amppoule endommagée"/>
    <d v="2022-09-20T00:00:00"/>
    <m/>
    <n v="30"/>
    <x v="7"/>
    <x v="3"/>
    <m/>
  </r>
  <r>
    <d v="2023-01-02T00:00:00"/>
    <x v="12"/>
    <x v="0"/>
    <x v="12"/>
    <n v="20374"/>
    <m/>
    <s v="Système de tirage"/>
    <s v="Jeu sur galet guide fil "/>
    <s v="Réparation"/>
    <s v="Resserage elimination du jeu et nettoyage du circuit d'air comprimé"/>
    <d v="2023-01-02T00:00:00"/>
    <m/>
    <n v="120"/>
    <x v="0"/>
    <x v="7"/>
    <m/>
  </r>
  <r>
    <d v="2023-01-03T00:00:00"/>
    <x v="2"/>
    <x v="1"/>
    <x v="2"/>
    <n v="20553"/>
    <m/>
    <s v="Tiroir d'agitation"/>
    <s v="Usure du cadre glissant / grille endommagé"/>
    <s v="Réparation"/>
    <s v="Soudage de la partie usée et mise en marche"/>
    <d v="2023-01-03T00:00:00"/>
    <m/>
    <n v="240"/>
    <x v="0"/>
    <x v="7"/>
    <m/>
  </r>
  <r>
    <d v="2023-01-04T00:00:00"/>
    <x v="3"/>
    <x v="1"/>
    <x v="3"/>
    <n v="20551"/>
    <m/>
    <s v="Transbordeur"/>
    <s v="Panne réducteur "/>
    <s v="Réparation"/>
    <s v="Changement d'un réducteur et mise en marche"/>
    <d v="2023-01-04T00:00:00"/>
    <m/>
    <n v="420"/>
    <x v="0"/>
    <x v="7"/>
    <m/>
  </r>
  <r>
    <d v="2023-01-06T00:00:00"/>
    <x v="3"/>
    <x v="1"/>
    <x v="3"/>
    <n v="20554"/>
    <m/>
    <s v="Tiroir d'agitation"/>
    <s v="Fissure du tiroir"/>
    <s v="Réparation"/>
    <s v="Soudage de la partie fissurée et mise en marche"/>
    <d v="2023-01-06T00:00:00"/>
    <m/>
    <n v="240"/>
    <x v="0"/>
    <x v="7"/>
    <m/>
  </r>
  <r>
    <d v="2023-01-06T00:00:00"/>
    <x v="3"/>
    <x v="1"/>
    <x v="3"/>
    <n v="20557"/>
    <m/>
    <s v="Bande pesante"/>
    <s v="Automate HS"/>
    <s v="Réparation "/>
    <s v="Changement de l'automate HS et mise en marche"/>
    <d v="2023-01-06T00:00:00"/>
    <m/>
    <n v="120"/>
    <x v="0"/>
    <x v="7"/>
    <m/>
  </r>
  <r>
    <d v="2023-01-07T00:00:00"/>
    <x v="13"/>
    <x v="0"/>
    <x v="13"/>
    <n v="20375"/>
    <m/>
    <s v="système de tirage"/>
    <s v="Dégaut sur galet guide fil"/>
    <s v="Réparation"/>
    <s v="Elimination du jeu et mise en marche"/>
    <d v="2023-01-07T00:00:00"/>
    <m/>
    <n v="60"/>
    <x v="0"/>
    <x v="7"/>
    <m/>
  </r>
  <r>
    <d v="2023-01-07T00:00:00"/>
    <x v="12"/>
    <x v="0"/>
    <x v="12"/>
    <n v="20376"/>
    <m/>
    <s v="Système de tirage"/>
    <s v="Pression air faible"/>
    <s v="Réparation"/>
    <s v="Purge du circuit d'air comprimé et mise en marche"/>
    <d v="2023-01-07T00:00:00"/>
    <m/>
    <n v="120"/>
    <x v="0"/>
    <x v="7"/>
    <m/>
  </r>
  <r>
    <d v="2023-01-07T00:00:00"/>
    <x v="2"/>
    <x v="1"/>
    <x v="2"/>
    <n v="20555"/>
    <m/>
    <s v="Malaxeur"/>
    <s v="Goulotte malaxeur usée"/>
    <s v="Réparation"/>
    <s v="Changement de la goulotte et mise en marche"/>
    <d v="2023-01-07T00:00:00"/>
    <m/>
    <n v="2880"/>
    <x v="0"/>
    <x v="7"/>
    <m/>
  </r>
  <r>
    <d v="2023-01-07T00:00:00"/>
    <x v="3"/>
    <x v="1"/>
    <x v="3"/>
    <n v="20558"/>
    <m/>
    <s v="Cadre glissant et grille d'agitation"/>
    <s v="Cadre glissant usé"/>
    <s v="Réparation"/>
    <s v="Changement du cadre glissant et mise en marche"/>
    <d v="2023-01-07T00:00:00"/>
    <m/>
    <n v="480"/>
    <x v="0"/>
    <x v="7"/>
    <m/>
  </r>
  <r>
    <d v="2023-01-07T00:00:00"/>
    <x v="2"/>
    <x v="1"/>
    <x v="2"/>
    <n v="20559"/>
    <m/>
    <s v="Motoréducteur d'agitation"/>
    <s v="Moteur endommagé"/>
    <s v="Réparation"/>
    <s v="Changement du moteur et mise en marche"/>
    <d v="2023-01-07T00:00:00"/>
    <m/>
    <n v="90"/>
    <x v="0"/>
    <x v="7"/>
    <m/>
  </r>
  <r>
    <d v="2023-01-12T00:00:00"/>
    <x v="4"/>
    <x v="0"/>
    <x v="4"/>
    <n v="20379"/>
    <m/>
    <s v="Bloc de soudage"/>
    <s v="Flecion d'un axe plongeur"/>
    <s v="Réparation"/>
    <s v="Extraction et changement de l'axe plongeur endommagé"/>
    <d v="2023-01-12T00:00:00"/>
    <m/>
    <n v="130"/>
    <x v="0"/>
    <x v="7"/>
    <m/>
  </r>
  <r>
    <d v="2023-01-24T00:00:00"/>
    <x v="13"/>
    <x v="0"/>
    <x v="13"/>
    <n v="20382"/>
    <m/>
    <s v="Varitateur"/>
    <s v="Variateur HS"/>
    <s v="Réparation"/>
    <s v="Changement d'un variateur Micromaster"/>
    <d v="2023-01-31T00:00:00"/>
    <m/>
    <n v="3360"/>
    <x v="0"/>
    <x v="7"/>
    <m/>
  </r>
  <r>
    <d v="2023-01-24T00:00:00"/>
    <x v="17"/>
    <x v="0"/>
    <x v="17"/>
    <n v="20383"/>
    <m/>
    <s v="Système de tirage"/>
    <s v="Courroie d'entrainement endommagée"/>
    <s v="Réparation"/>
    <s v="Changement de la courroie endommagée"/>
    <d v="2023-01-24T00:00:00"/>
    <m/>
    <n v="60"/>
    <x v="0"/>
    <x v="7"/>
    <m/>
  </r>
  <r>
    <d v="2023-01-26T00:00:00"/>
    <x v="4"/>
    <x v="0"/>
    <x v="4"/>
    <n v="20387"/>
    <m/>
    <s v="Alimentation générale"/>
    <s v="Défaut général de courant"/>
    <s v="Réparation"/>
    <s v=" Diagnostic et elimination d'un court circuit"/>
    <d v="2023-01-29T00:00:00"/>
    <m/>
    <n v="1440"/>
    <x v="0"/>
    <x v="7"/>
    <m/>
  </r>
  <r>
    <d v="2023-01-27T00:00:00"/>
    <x v="0"/>
    <x v="0"/>
    <x v="0"/>
    <n v="20389"/>
    <m/>
    <s v="Cisaille"/>
    <s v="Panne de cisaille"/>
    <s v="Réparation"/>
    <s v="Réglage de la pression de l'air pour l'ajustement des cames de la cisaille"/>
    <d v="2023-01-27T00:00:00"/>
    <m/>
    <n v="60"/>
    <x v="0"/>
    <x v="7"/>
    <m/>
  </r>
  <r>
    <d v="2023-02-08T00:00:00"/>
    <x v="2"/>
    <x v="1"/>
    <x v="2"/>
    <n v="20565"/>
    <m/>
    <s v="Tiroir d'agitation"/>
    <s v="Système d'entrainement usé"/>
    <s v="Réparation"/>
    <s v="Changement de l'arbre et palier d'agitation"/>
    <d v="2023-02-08T00:00:00"/>
    <m/>
    <n v="480"/>
    <x v="1"/>
    <x v="7"/>
    <m/>
  </r>
  <r>
    <d v="2023-02-09T00:00:00"/>
    <x v="2"/>
    <x v="1"/>
    <x v="2"/>
    <n v="20566"/>
    <m/>
    <s v="Convoyeur de planche"/>
    <s v="Moteur endommagé"/>
    <s v="Réparation"/>
    <s v="Changement du moteur et mise en marche"/>
    <d v="2023-02-09T00:00:00"/>
    <m/>
    <n v="180"/>
    <x v="1"/>
    <x v="7"/>
    <m/>
  </r>
  <r>
    <d v="2023-02-14T00:00:00"/>
    <x v="3"/>
    <x v="1"/>
    <x v="3"/>
    <n v="20568"/>
    <m/>
    <s v="Tiroir d'agitation"/>
    <s v="Entretien general du tiroir"/>
    <s v="Réparation"/>
    <s v="Réparation de l'axe de guidage et grille d'agitation"/>
    <d v="2023-02-14T00:00:00"/>
    <m/>
    <n v="180"/>
    <x v="1"/>
    <x v="7"/>
    <m/>
  </r>
  <r>
    <d v="2023-02-16T00:00:00"/>
    <x v="4"/>
    <x v="0"/>
    <x v="4"/>
    <n v="16905"/>
    <m/>
    <s v="Armoire electrique"/>
    <s v="Panne electrique"/>
    <s v="Réparation"/>
    <s v="Elimination d'un court circuit et mise en marche"/>
    <d v="2023-02-16T00:00:00"/>
    <m/>
    <n v="120"/>
    <x v="1"/>
    <x v="7"/>
    <m/>
  </r>
  <r>
    <d v="2023-02-16T00:00:00"/>
    <x v="20"/>
    <x v="0"/>
    <x v="20"/>
    <n v="16906"/>
    <m/>
    <s v="Chariot de sauterelle"/>
    <s v="Cardre du chariot usé"/>
    <s v="Réparation"/>
    <s v="Rechargement à la soudure du chariot et mise en marche"/>
    <d v="2023-02-16T00:00:00"/>
    <m/>
    <n v="60"/>
    <x v="1"/>
    <x v="7"/>
    <m/>
  </r>
  <r>
    <d v="2023-02-16T00:00:00"/>
    <x v="20"/>
    <x v="0"/>
    <x v="20"/>
    <n v="16907"/>
    <m/>
    <s v="Savonniere"/>
    <s v="Panne savonniere"/>
    <s v="Réparation"/>
    <s v="Réhaussement des helices de l'arbe et mise en marche"/>
    <d v="2023-02-17T00:00:00"/>
    <m/>
    <n v="60"/>
    <x v="1"/>
    <x v="7"/>
    <m/>
  </r>
  <r>
    <d v="2023-02-16T00:00:00"/>
    <x v="4"/>
    <x v="0"/>
    <x v="4"/>
    <n v="16908"/>
    <m/>
    <s v="Empileur"/>
    <s v="Ridelles bloquées"/>
    <s v="Réparation"/>
    <s v="Changement d'un distributeur endommagé"/>
    <d v="2023-02-16T00:00:00"/>
    <m/>
    <n v="120"/>
    <x v="1"/>
    <x v="7"/>
    <m/>
  </r>
  <r>
    <d v="2023-02-17T00:00:00"/>
    <x v="1"/>
    <x v="0"/>
    <x v="1"/>
    <n v="16911"/>
    <m/>
    <s v="Cabestan"/>
    <s v="Defaut sur frein bobinoir"/>
    <s v="Réparation"/>
    <s v="Changement d'un arbre endommagé"/>
    <d v="2023-02-18T00:00:00"/>
    <m/>
    <n v="480"/>
    <x v="1"/>
    <x v="7"/>
    <m/>
  </r>
  <r>
    <d v="2023-02-17T00:00:00"/>
    <x v="2"/>
    <x v="1"/>
    <x v="2"/>
    <n v="20569"/>
    <m/>
    <s v="Table vibrante"/>
    <s v="Jeu sur masselote"/>
    <s v="Répartion"/>
    <s v="Elimination du jeu et mise en marche"/>
    <d v="2023-02-18T00:00:00"/>
    <m/>
    <n v="1440"/>
    <x v="1"/>
    <x v="7"/>
    <m/>
  </r>
  <r>
    <d v="2023-02-20T00:00:00"/>
    <x v="2"/>
    <x v="1"/>
    <x v="2"/>
    <n v="20570"/>
    <m/>
    <s v="Tiroir d'agitation"/>
    <s v="Tiroir endommagé"/>
    <s v="Réparation"/>
    <s v="Changement du tiroir par un tiroir confectionné chez tourneur"/>
    <d v="2023-02-20T00:00:00"/>
    <m/>
    <n v="960"/>
    <x v="1"/>
    <x v="7"/>
    <m/>
  </r>
  <r>
    <d v="2023-02-21T00:00:00"/>
    <x v="10"/>
    <x v="0"/>
    <x v="10"/>
    <n v="16915"/>
    <m/>
    <s v="Cabestan"/>
    <s v="Panne electrique"/>
    <s v="Réparation"/>
    <s v="Elimination d'une surcharge et lmise en marche"/>
    <d v="2023-02-21T00:00:00"/>
    <m/>
    <n v="180"/>
    <x v="1"/>
    <x v="7"/>
    <m/>
  </r>
  <r>
    <d v="2023-02-22T00:00:00"/>
    <x v="3"/>
    <x v="1"/>
    <x v="3"/>
    <n v="20571"/>
    <m/>
    <s v="Tiroir chargeur"/>
    <s v="tole et cadre glissant usés"/>
    <s v="Réparation"/>
    <s v="Changement de la tole et du cadre glissant du tiroir"/>
    <d v="2023-02-22T00:00:00"/>
    <m/>
    <n v="360"/>
    <x v="1"/>
    <x v="7"/>
    <m/>
  </r>
  <r>
    <d v="2023-02-23T00:00:00"/>
    <x v="3"/>
    <x v="1"/>
    <x v="3"/>
    <n v="20572"/>
    <m/>
    <s v="Convoyeur à béton"/>
    <s v="Panne réducteur "/>
    <s v="Réparation"/>
    <s v="Changement d'un roulement endommagé au niveau du reducteur et mise en marche"/>
    <d v="2023-02-23T00:00:00"/>
    <m/>
    <n v="240"/>
    <x v="1"/>
    <x v="7"/>
    <m/>
  </r>
  <r>
    <d v="2023-02-23T00:00:00"/>
    <x v="2"/>
    <x v="1"/>
    <x v="2"/>
    <n v="20573"/>
    <m/>
    <s v="Table vibrante"/>
    <s v="Rupture d'une courroie 1760"/>
    <s v="Réparation"/>
    <s v="Changement de la courroie 1760 et mise en marche"/>
    <d v="2023-02-23T00:00:00"/>
    <m/>
    <n v="180"/>
    <x v="1"/>
    <x v="7"/>
    <m/>
  </r>
  <r>
    <d v="2023-02-25T00:00:00"/>
    <x v="2"/>
    <x v="1"/>
    <x v="2"/>
    <n v="20574"/>
    <m/>
    <s v="Table vibrante"/>
    <s v="Fuite d'huile sur poulie masselotte à cause d'un arrêt d'huile de mauvaise qualité"/>
    <s v="Réparation"/>
    <s v="Changement de l'arrêt d'huile remontage de la table et mise en marche"/>
    <d v="2023-02-25T00:00:00"/>
    <m/>
    <n v="480"/>
    <x v="1"/>
    <x v="7"/>
    <m/>
  </r>
  <r>
    <d v="2023-03-02T00:00:00"/>
    <x v="3"/>
    <x v="1"/>
    <x v="3"/>
    <n v="20575"/>
    <m/>
    <s v="Groupe hydraulique"/>
    <s v="Chute de pression"/>
    <s v="Réparation"/>
    <s v="Changement d'une bobine d'electrovanne endommagée"/>
    <d v="2023-03-02T00:00:00"/>
    <m/>
    <n v="120"/>
    <x v="2"/>
    <x v="7"/>
    <m/>
  </r>
  <r>
    <d v="2023-03-03T00:00:00"/>
    <x v="1"/>
    <x v="0"/>
    <x v="1"/>
    <n v="16932"/>
    <m/>
    <s v="Danseur"/>
    <s v="Danseur usé"/>
    <s v="Réparation"/>
    <s v="Rebagage du danseur et confections des axes usés / montage et mise en marche"/>
    <d v="2023-03-08T00:00:00"/>
    <m/>
    <n v="1440"/>
    <x v="2"/>
    <x v="7"/>
    <m/>
  </r>
  <r>
    <d v="2023-03-03T00:00:00"/>
    <x v="3"/>
    <x v="1"/>
    <x v="3"/>
    <n v="20576"/>
    <m/>
    <s v="Ascensseur"/>
    <s v="Décalage de l'ascensseur"/>
    <s v="Réparation"/>
    <s v="Réglage de l'ascensseur et mise en marche"/>
    <d v="2023-03-03T00:00:00"/>
    <m/>
    <n v="240"/>
    <x v="2"/>
    <x v="7"/>
    <m/>
  </r>
  <r>
    <d v="2023-03-03T00:00:00"/>
    <x v="2"/>
    <x v="1"/>
    <x v="2"/>
    <n v="20577"/>
    <m/>
    <s v="Table vibrante"/>
    <s v="Rupture de la courroie 2800"/>
    <s v="Réparation"/>
    <s v="Changement de la courroie 2800 et mise en marche"/>
    <d v="2023-03-03T00:00:00"/>
    <m/>
    <n v="240"/>
    <x v="2"/>
    <x v="7"/>
    <m/>
  </r>
  <r>
    <d v="2023-03-04T00:00:00"/>
    <x v="10"/>
    <x v="0"/>
    <x v="10"/>
    <n v="16933"/>
    <m/>
    <s v="Bobinoir"/>
    <s v="Panne electrique"/>
    <s v="Réparation"/>
    <s v="Elimination d'un defaut d'isolement et mise en marche"/>
    <d v="2023-03-04T00:00:00"/>
    <m/>
    <n v="60"/>
    <x v="2"/>
    <x v="7"/>
    <m/>
  </r>
  <r>
    <d v="2023-03-06T00:00:00"/>
    <x v="2"/>
    <x v="1"/>
    <x v="2"/>
    <n v="20578"/>
    <m/>
    <s v="PInce"/>
    <s v="Motoreducteur HS"/>
    <s v="Réparation"/>
    <s v="Changement du moteur endommagé"/>
    <d v="2023-03-06T00:00:00"/>
    <m/>
    <n v="120"/>
    <x v="2"/>
    <x v="7"/>
    <m/>
  </r>
  <r>
    <d v="2023-03-06T00:00:00"/>
    <x v="17"/>
    <x v="0"/>
    <x v="17"/>
    <n v="16935"/>
    <m/>
    <s v="Varitateur"/>
    <s v="Panne variateur"/>
    <s v="Réparation"/>
    <s v="Reinitialisation du variateur et mise en marche"/>
    <d v="2023-03-06T00:00:00"/>
    <m/>
    <n v="90"/>
    <x v="2"/>
    <x v="7"/>
    <m/>
  </r>
  <r>
    <d v="2023-03-06T00:00:00"/>
    <x v="0"/>
    <x v="0"/>
    <x v="0"/>
    <n v="16936"/>
    <m/>
    <s v="Programme"/>
    <s v="Défaut de parametrage"/>
    <s v="Réparation "/>
    <s v="Restauration du sytème et mise en marche"/>
    <d v="2023-03-08T00:00:00"/>
    <m/>
    <n v="1920"/>
    <x v="2"/>
    <x v="7"/>
    <m/>
  </r>
  <r>
    <d v="2023-03-06T00:00:00"/>
    <x v="17"/>
    <x v="0"/>
    <x v="17"/>
    <n v="16935"/>
    <m/>
    <s v="Cisaille"/>
    <s v="Panne variateur"/>
    <s v="Réparation"/>
    <s v="Elimination d'un court circuit et mise en marche"/>
    <d v="2023-03-06T00:00:00"/>
    <m/>
    <n v="240"/>
    <x v="2"/>
    <x v="7"/>
    <m/>
  </r>
  <r>
    <d v="2023-03-06T00:00:00"/>
    <x v="0"/>
    <x v="0"/>
    <x v="0"/>
    <n v="16936"/>
    <m/>
    <s v="Empileur"/>
    <s v="Panne électrique"/>
    <s v="Réparation"/>
    <s v="Changement d'un boutton endommagé et mise en marche"/>
    <d v="2023-03-06T00:00:00"/>
    <m/>
    <n v="45"/>
    <x v="2"/>
    <x v="7"/>
    <m/>
  </r>
  <r>
    <d v="2023-03-07T00:00:00"/>
    <x v="11"/>
    <x v="0"/>
    <x v="11"/>
    <n v="16941"/>
    <m/>
    <s v="Cabestan"/>
    <s v="Usure de surface"/>
    <s v="Réparation"/>
    <s v="Chargement de surface et mise en marche"/>
    <d v="2023-03-07T00:00:00"/>
    <m/>
    <n v="480"/>
    <x v="2"/>
    <x v="7"/>
    <m/>
  </r>
  <r>
    <d v="2023-03-07T00:00:00"/>
    <x v="10"/>
    <x v="0"/>
    <x v="10"/>
    <n v="16942"/>
    <m/>
    <s v="Bobinoir"/>
    <s v="Panne electrique"/>
    <s v="Réparation"/>
    <s v="Elimination d'un defaut d'isolement et mise en marche"/>
    <d v="2023-03-07T00:00:00"/>
    <m/>
    <n v="240"/>
    <x v="2"/>
    <x v="7"/>
    <m/>
  </r>
  <r>
    <d v="2023-03-07T00:00:00"/>
    <x v="12"/>
    <x v="0"/>
    <x v="12"/>
    <n v="16939"/>
    <m/>
    <s v="Cisaille"/>
    <s v="panne cisaille"/>
    <s v="Réparation"/>
    <s v="Remontage d'un accouplement desseré et mise en marche"/>
    <d v="2023-03-07T00:00:00"/>
    <m/>
    <n v="60"/>
    <x v="2"/>
    <x v="7"/>
    <m/>
  </r>
  <r>
    <d v="2023-03-08T00:00:00"/>
    <x v="4"/>
    <x v="0"/>
    <x v="4"/>
    <n v="16943"/>
    <m/>
    <s v="Bloc de soudage"/>
    <s v="defaut alignement axes plongeurs"/>
    <s v="Réparation"/>
    <s v="Elimination de mauvais contacts au niveau des E/S et mise en marche"/>
    <d v="2023-03-08T00:00:00"/>
    <m/>
    <m/>
    <x v="2"/>
    <x v="7"/>
    <m/>
  </r>
  <r>
    <d v="2023-03-09T00:00:00"/>
    <x v="2"/>
    <x v="1"/>
    <x v="2"/>
    <n v="29517"/>
    <m/>
    <s v="Table vibrante"/>
    <s v="Rupture de la courroie 1760"/>
    <s v="Réparation"/>
    <s v="Changement des roulements E207 callage de la table"/>
    <d v="2023-03-09T00:00:00"/>
    <m/>
    <n v="120"/>
    <x v="2"/>
    <x v="7"/>
    <m/>
  </r>
  <r>
    <d v="2023-03-10T00:00:00"/>
    <x v="2"/>
    <x v="1"/>
    <x v="2"/>
    <n v="29506"/>
    <m/>
    <s v="Table vibrante"/>
    <s v="Entretien de la table vibrante"/>
    <s v="Réparation"/>
    <s v="Changement d'un roulement 2210 - roulement 207E - Roulement NJ313 EC3 Montage d'une courroie 1760 et calage de la table"/>
    <d v="2023-03-11T00:00:00"/>
    <m/>
    <n v="1440"/>
    <x v="2"/>
    <x v="7"/>
    <m/>
  </r>
  <r>
    <d v="2023-03-10T00:00:00"/>
    <x v="5"/>
    <x v="2"/>
    <x v="5"/>
    <n v="16357"/>
    <m/>
    <s v="Cmpresseur D'air"/>
    <s v="Chute de pression"/>
    <s v="Réparation"/>
    <s v="Entretien et vidange compresseur"/>
    <d v="2023-03-10T00:00:00"/>
    <m/>
    <n v="240"/>
    <x v="2"/>
    <x v="7"/>
    <m/>
  </r>
  <r>
    <d v="2023-03-14T00:00:00"/>
    <x v="2"/>
    <x v="1"/>
    <x v="2"/>
    <n v="29515"/>
    <m/>
    <s v="Table vibrante"/>
    <s v="Roulement endommagé"/>
    <s v="Réparation"/>
    <s v="Changement d'un roulement E207"/>
    <d v="2023-03-14T00:00:00"/>
    <m/>
    <n v="420"/>
    <x v="2"/>
    <x v="7"/>
    <m/>
  </r>
  <r>
    <d v="2023-03-16T00:00:00"/>
    <x v="3"/>
    <x v="1"/>
    <x v="3"/>
    <n v="29518"/>
    <m/>
    <s v="Transbordeur"/>
    <s v="Usure des rail transbordeur et galets convoyeur"/>
    <s v="Réparation"/>
    <s v="Soudage de la partie usée des rails et changement des galets du convoyeur"/>
    <d v="2023-03-16T00:00:00"/>
    <m/>
    <n v="120"/>
    <x v="2"/>
    <x v="7"/>
    <m/>
  </r>
  <r>
    <d v="2023-03-16T00:00:00"/>
    <x v="27"/>
    <x v="2"/>
    <x v="27"/>
    <n v="16548"/>
    <m/>
    <s v="MAlaxeur"/>
    <s v="Pompe HS"/>
    <s v="Réparaition"/>
    <s v="Entretien de la pompe et mise en marche"/>
    <d v="2023-03-16T00:00:00"/>
    <m/>
    <n v="90"/>
    <x v="2"/>
    <x v="7"/>
    <m/>
  </r>
  <r>
    <d v="2023-03-20T00:00:00"/>
    <x v="3"/>
    <x v="1"/>
    <x v="3"/>
    <n v="29519"/>
    <m/>
    <s v="Pousse Planche"/>
    <s v="Fuite interne au niveau du vérin"/>
    <s v="Réparation "/>
    <s v="Changement du vérin et mise en marche"/>
    <d v="2023-03-20T00:00:00"/>
    <m/>
    <n v="240"/>
    <x v="2"/>
    <x v="7"/>
    <m/>
  </r>
  <r>
    <d v="2023-03-21T00:00:00"/>
    <x v="4"/>
    <x v="0"/>
    <x v="4"/>
    <n v="16943"/>
    <m/>
    <s v="Machine"/>
    <s v="Données machine supprimées"/>
    <s v="Réparation"/>
    <s v="Restauration des données systèmes et mise en marche"/>
    <d v="2023-03-27T00:00:00"/>
    <m/>
    <n v="3360"/>
    <x v="2"/>
    <x v="7"/>
    <m/>
  </r>
  <r>
    <d v="2023-03-22T00:00:00"/>
    <x v="2"/>
    <x v="1"/>
    <x v="2"/>
    <n v="29520"/>
    <m/>
    <s v="Tiroir chargeur"/>
    <s v="Réglage de la grille et soudage de la partie fissurée"/>
    <s v="Réparation"/>
    <s v="Réglage de la grille et soudage de la partie fissurée"/>
    <d v="2023-03-22T00:00:00"/>
    <m/>
    <n v="60"/>
    <x v="2"/>
    <x v="7"/>
    <m/>
  </r>
  <r>
    <d v="2023-03-23T00:00:00"/>
    <x v="3"/>
    <x v="1"/>
    <x v="3"/>
    <n v="29516"/>
    <m/>
    <s v="Tiroir chargeur"/>
    <s v="Fissure du tiroir"/>
    <s v="Réparation"/>
    <s v="Soudage de la partie fissurée - Soudage des supports de tiroir changement des cales du tiroir"/>
    <d v="2023-03-23T00:00:00"/>
    <m/>
    <n v="450"/>
    <x v="2"/>
    <x v="7"/>
    <m/>
  </r>
  <r>
    <d v="2023-03-23T00:00:00"/>
    <x v="3"/>
    <x v="1"/>
    <x v="3"/>
    <n v="29523"/>
    <m/>
    <s v="Cercleuse 08"/>
    <s v="Blocage feuillard"/>
    <s v="Réparation "/>
    <s v="Nettoyage de la tete de cerclage et mise en marche"/>
    <d v="2023-03-23T00:00:00"/>
    <m/>
    <n v="60"/>
    <x v="2"/>
    <x v="7"/>
    <m/>
  </r>
  <r>
    <d v="2023-03-24T00:00:00"/>
    <x v="3"/>
    <x v="1"/>
    <x v="3"/>
    <n v="29522"/>
    <m/>
    <s v="Tiroir"/>
    <s v="Support de fixation vérin tiroir endommagé"/>
    <s v="Réparation"/>
    <s v="Soudage de la partie fissurée et mise en marche"/>
    <d v="2023-03-24T00:00:00"/>
    <m/>
    <n v="180"/>
    <x v="2"/>
    <x v="7"/>
    <m/>
  </r>
  <r>
    <d v="2023-03-27T00:00:00"/>
    <x v="3"/>
    <x v="1"/>
    <x v="3"/>
    <n v="29524"/>
    <m/>
    <s v="Moule"/>
    <s v="Flexibl moule endommagé"/>
    <s v="Réparation"/>
    <s v="Changement du flexible et mise en marche"/>
    <d v="2023-03-27T00:00:00"/>
    <m/>
    <n v="180"/>
    <x v="2"/>
    <x v="7"/>
    <m/>
  </r>
  <r>
    <d v="2023-03-31T00:00:00"/>
    <x v="2"/>
    <x v="1"/>
    <x v="2"/>
    <n v="29521"/>
    <m/>
    <s v="Table vibrante"/>
    <s v="Rupture de la courroie 1760"/>
    <s v="Réparation"/>
    <s v="Changement de la poulie endommagée et calage de la table"/>
    <d v="2023-03-31T00:00:00"/>
    <m/>
    <n v="570"/>
    <x v="2"/>
    <x v="7"/>
    <m/>
  </r>
  <r>
    <d v="2023-04-02T00:00:00"/>
    <x v="13"/>
    <x v="0"/>
    <x v="13"/>
    <n v="26673"/>
    <m/>
    <s v="Guide fil"/>
    <s v="Panne dispositif guide fil"/>
    <s v="Réparation"/>
    <s v="Démontage extraction des vis endommagés dressage du guide fil et montage"/>
    <d v="2023-04-02T00:00:00"/>
    <m/>
    <n v="120"/>
    <x v="3"/>
    <x v="7"/>
    <m/>
  </r>
  <r>
    <d v="2023-04-04T00:00:00"/>
    <x v="14"/>
    <x v="4"/>
    <x v="14"/>
    <n v="29601"/>
    <m/>
    <s v="Mecanisme de déplacement"/>
    <s v="Galet et arbre réducteur endommagé"/>
    <s v="Réparation"/>
    <s v="Confection de galet montage et mise en marcue"/>
    <d v="2023-04-04T00:00:00"/>
    <m/>
    <n v="120"/>
    <x v="3"/>
    <x v="7"/>
    <m/>
  </r>
  <r>
    <d v="2023-04-05T00:00:00"/>
    <x v="3"/>
    <x v="1"/>
    <x v="3"/>
    <n v="29527"/>
    <m/>
    <s v="Tremie béton"/>
    <s v="Panne moteur rouleau à béton"/>
    <s v="Réparation"/>
    <s v="Changement d'un moteur 1,5kW"/>
    <d v="2023-04-05T00:00:00"/>
    <m/>
    <n v="120"/>
    <x v="3"/>
    <x v="7"/>
    <m/>
  </r>
  <r>
    <d v="2023-04-06T00:00:00"/>
    <x v="3"/>
    <x v="1"/>
    <x v="3"/>
    <n v="29525"/>
    <m/>
    <s v="Descenceur"/>
    <s v="Décalage de et cisaillement de la chaine"/>
    <s v="Réparation"/>
    <s v="Réglache de la chaine réparation d'un tendeur de chaine B16 et mise en marche"/>
    <d v="2023-04-06T00:00:00"/>
    <m/>
    <n v="120"/>
    <x v="3"/>
    <x v="7"/>
    <m/>
  </r>
  <r>
    <d v="2023-04-06T00:00:00"/>
    <x v="0"/>
    <x v="0"/>
    <x v="0"/>
    <n v="26674"/>
    <m/>
    <s v="Empileur"/>
    <s v="Panne de table elevatrice de l'empileur"/>
    <s v="Réparation"/>
    <s v="Distributeur HS / Réparation et montage"/>
    <d v="2023-04-06T00:00:00"/>
    <m/>
    <n v="60"/>
    <x v="3"/>
    <x v="7"/>
    <m/>
  </r>
  <r>
    <d v="2023-04-07T00:00:00"/>
    <x v="11"/>
    <x v="0"/>
    <x v="11"/>
    <n v="29909"/>
    <m/>
    <s v="Guide fil"/>
    <s v="Panne de guide fil"/>
    <s v="Réparation"/>
    <s v="Chargement à la soudure et mise en marche"/>
    <d v="2023-04-08T00:00:00"/>
    <m/>
    <n v="120"/>
    <x v="3"/>
    <x v="7"/>
    <m/>
  </r>
  <r>
    <d v="2023-04-07T00:00:00"/>
    <x v="18"/>
    <x v="4"/>
    <x v="18"/>
    <n v="29602"/>
    <m/>
    <s v="Circuit d'alimentation"/>
    <s v="Chariot collecteur endommagé"/>
    <s v="Réparation"/>
    <s v="Changement d'un chariot collecteur et mise en marche"/>
    <d v="2023-04-07T00:00:00"/>
    <m/>
    <n v="40"/>
    <x v="3"/>
    <x v="7"/>
    <m/>
  </r>
  <r>
    <d v="2023-04-08T00:00:00"/>
    <x v="0"/>
    <x v="0"/>
    <x v="0"/>
    <n v="26671"/>
    <m/>
    <s v="Empileur"/>
    <s v="Panne de dispositif de ridelles d'empileur"/>
    <s v="Réparation"/>
    <s v="Changement des silent blox endommagés et mise en marche"/>
    <d v="2023-04-08T00:00:00"/>
    <m/>
    <n v="10"/>
    <x v="3"/>
    <x v="7"/>
    <m/>
  </r>
  <r>
    <d v="2023-04-09T00:00:00"/>
    <x v="21"/>
    <x v="4"/>
    <x v="21"/>
    <n v="29910"/>
    <m/>
    <s v="Treuil principal"/>
    <s v="Frein bloqué"/>
    <s v="Réparation"/>
    <s v="Deblocage du frein et mise en marche"/>
    <d v="2023-04-09T00:00:00"/>
    <m/>
    <n v="75"/>
    <x v="3"/>
    <x v="7"/>
    <m/>
  </r>
  <r>
    <d v="2023-04-10T00:00:00"/>
    <x v="1"/>
    <x v="0"/>
    <x v="1"/>
    <n v="29911"/>
    <m/>
    <s v="Bobinoir"/>
    <s v="Usure de surface "/>
    <s v="Réparation"/>
    <s v="Chargement à la soudure et mise en marche"/>
    <d v="2023-04-10T00:00:00"/>
    <m/>
    <n v="240"/>
    <x v="3"/>
    <x v="7"/>
    <m/>
  </r>
  <r>
    <d v="2023-04-10T00:00:00"/>
    <x v="1"/>
    <x v="0"/>
    <x v="1"/>
    <n v="29930"/>
    <m/>
    <s v="Guide fil"/>
    <s v="Panne poulie guide fil"/>
    <s v="Réparation"/>
    <s v="Changement de 2 roulements à billes 6206 remontage des poulies et mise en marche"/>
    <d v="2023-05-10T00:00:00"/>
    <m/>
    <n v="90"/>
    <x v="5"/>
    <x v="7"/>
    <m/>
  </r>
  <r>
    <d v="2023-04-11T00:00:00"/>
    <x v="1"/>
    <x v="0"/>
    <x v="1"/>
    <n v="29913"/>
    <m/>
    <s v="Bobinoir"/>
    <s v="Teton de fixation teton endommagés"/>
    <s v="Répration"/>
    <s v="Changement des tetons endommagés et mise en marche"/>
    <d v="2023-04-11T00:00:00"/>
    <m/>
    <n v="180"/>
    <x v="3"/>
    <x v="7"/>
    <m/>
  </r>
  <r>
    <d v="2023-04-12T00:00:00"/>
    <x v="21"/>
    <x v="4"/>
    <x v="21"/>
    <n v="29912"/>
    <m/>
    <s v="Treuil principal"/>
    <s v="Frein bloqué"/>
    <s v="Réparation"/>
    <s v="Deblocage du frein et mise en marche"/>
    <d v="2023-04-12T00:00:00"/>
    <m/>
    <n v="45"/>
    <x v="3"/>
    <x v="7"/>
    <m/>
  </r>
  <r>
    <d v="2023-04-13T00:00:00"/>
    <x v="21"/>
    <x v="4"/>
    <x v="21"/>
    <n v="29914"/>
    <m/>
    <s v="Treuil principal"/>
    <s v="Cable antigiratoire usé"/>
    <s v="Réparation"/>
    <s v="Changement du cable antigiratoire et mise en marche"/>
    <d v="2023-04-13T00:00:00"/>
    <m/>
    <n v="120"/>
    <x v="3"/>
    <x v="7"/>
    <m/>
  </r>
  <r>
    <d v="2023-04-13T00:00:00"/>
    <x v="4"/>
    <x v="0"/>
    <x v="4"/>
    <n v="29604"/>
    <m/>
    <s v="Dispositif de trames"/>
    <s v="Blocage vérin"/>
    <s v="Réparation"/>
    <s v="démontage et nettoyage du vérin montage et mise en marche"/>
    <d v="2023-04-13T00:00:00"/>
    <m/>
    <n v="180"/>
    <x v="3"/>
    <x v="7"/>
    <m/>
  </r>
  <r>
    <d v="2023-04-15T00:00:00"/>
    <x v="42"/>
    <x v="0"/>
    <x v="41"/>
    <n v="29603"/>
    <m/>
    <s v="Cisaille"/>
    <s v="Blocage mécanique"/>
    <s v="Réparation"/>
    <s v="Changement de roulements et mise en marche"/>
    <d v="2023-04-15T00:00:00"/>
    <m/>
    <n v="2400"/>
    <x v="3"/>
    <x v="7"/>
    <m/>
  </r>
  <r>
    <d v="2023-04-18T00:00:00"/>
    <x v="4"/>
    <x v="0"/>
    <x v="4"/>
    <n v="29605"/>
    <m/>
    <s v="Armoire electrique"/>
    <s v="Défaillance module de sécurité"/>
    <s v="Réparation"/>
    <s v="Changement du maodule et mise en marche"/>
    <d v="2023-04-18T00:00:00"/>
    <m/>
    <n v="120"/>
    <x v="3"/>
    <x v="7"/>
    <m/>
  </r>
  <r>
    <d v="2023-04-18T00:00:00"/>
    <x v="4"/>
    <x v="0"/>
    <x v="4"/>
    <n v="29606"/>
    <m/>
    <s v="Système d'avancement"/>
    <s v="Panne de rouleau d'avance"/>
    <s v="Réparation"/>
    <s v="Changement d'un rouleau endommagé et mise en marche"/>
    <d v="2023-04-18T00:00:00"/>
    <m/>
    <n v="90"/>
    <x v="3"/>
    <x v="7"/>
    <m/>
  </r>
  <r>
    <d v="2023-04-19T00:00:00"/>
    <x v="11"/>
    <x v="0"/>
    <x v="11"/>
    <n v="29919"/>
    <m/>
    <s v="Panne savonniere"/>
    <s v="Blocage du reducteur de la savonniere"/>
    <s v="Réparation"/>
    <s v="Deblocage du réducteur changement de la chaine B10 et mise en marche"/>
    <d v="2023-04-19T00:00:00"/>
    <m/>
    <n v="180"/>
    <x v="3"/>
    <x v="7"/>
    <m/>
  </r>
  <r>
    <d v="2023-04-20T00:00:00"/>
    <x v="13"/>
    <x v="0"/>
    <x v="13"/>
    <n v="29607"/>
    <m/>
    <s v="Guide fil"/>
    <s v="Blocage de guide fil"/>
    <s v="Réparation"/>
    <s v="Deblocage et réglage de la lame de guide fil"/>
    <d v="2023-04-21T00:00:00"/>
    <m/>
    <n v="120"/>
    <x v="3"/>
    <x v="7"/>
    <m/>
  </r>
  <r>
    <d v="2023-04-26T00:00:00"/>
    <x v="12"/>
    <x v="0"/>
    <x v="12"/>
    <n v="29608"/>
    <m/>
    <s v="Cisaille"/>
    <s v="Blocage moteur"/>
    <s v="Réparation"/>
    <s v="Changement de roulements endommagés et mise en marche"/>
    <d v="2023-04-26T00:00:00"/>
    <m/>
    <n v="2400"/>
    <x v="3"/>
    <x v="7"/>
    <m/>
  </r>
  <r>
    <d v="2023-04-27T00:00:00"/>
    <x v="11"/>
    <x v="0"/>
    <x v="11"/>
    <n v="29921"/>
    <m/>
    <s v="Cabestan"/>
    <s v="usure de surface"/>
    <s v="Réparation"/>
    <s v="Démontage du cabestan chargement de surface et mise en marche"/>
    <d v="2023-04-27T00:00:00"/>
    <m/>
    <n v="480"/>
    <x v="3"/>
    <x v="7"/>
    <m/>
  </r>
  <r>
    <d v="2023-04-27T00:00:00"/>
    <x v="4"/>
    <x v="0"/>
    <x v="4"/>
    <n v="29610"/>
    <m/>
    <s v="Circuit de commande"/>
    <s v="module d'entrée siemens endommagée"/>
    <s v="Réparation"/>
    <s v="Changement d'un module d'entrée et mise en marche"/>
    <d v="2023-04-27T00:00:00"/>
    <m/>
    <n v="40"/>
    <x v="3"/>
    <x v="7"/>
    <m/>
  </r>
  <r>
    <d v="2023-04-27T00:00:00"/>
    <x v="13"/>
    <x v="0"/>
    <x v="13"/>
    <n v="29611"/>
    <m/>
    <s v="Guide fil"/>
    <s v="Blocage mécanique"/>
    <s v="Réparation"/>
    <s v="Dressage de la lame de guidage et mis en marche"/>
    <d v="2023-04-27T00:00:00"/>
    <m/>
    <n v="60"/>
    <x v="3"/>
    <x v="7"/>
    <m/>
  </r>
  <r>
    <d v="2023-04-28T00:00:00"/>
    <x v="2"/>
    <x v="1"/>
    <x v="2"/>
    <n v="29529"/>
    <m/>
    <s v="Table vibrante"/>
    <s v="Axe de poulie de renvoie endommagés"/>
    <s v="Réparation"/>
    <s v="Entretien général du mécanisme de vibration"/>
    <d v="2023-04-28T00:00:00"/>
    <m/>
    <n v="2880"/>
    <x v="3"/>
    <x v="7"/>
    <m/>
  </r>
  <r>
    <d v="2023-04-29T00:00:00"/>
    <x v="11"/>
    <x v="0"/>
    <x v="11"/>
    <n v="29923"/>
    <m/>
    <s v="Cabestan"/>
    <s v="Panne sur tachimetre"/>
    <s v="Réparation"/>
    <s v="Confection d'un accouplement montage et mise en marche"/>
    <d v="2023-04-29T00:00:00"/>
    <m/>
    <n v="180"/>
    <x v="3"/>
    <x v="7"/>
    <m/>
  </r>
  <r>
    <d v="2023-05-02T00:00:00"/>
    <x v="10"/>
    <x v="0"/>
    <x v="10"/>
    <n v="29926"/>
    <m/>
    <s v="Bobinoir"/>
    <s v="Panne vérin bobinoir"/>
    <s v="Réparation "/>
    <s v="Confection d'un chappe de vérin montage et mise en marche"/>
    <d v="2023-05-02T00:00:00"/>
    <m/>
    <n v="285"/>
    <x v="5"/>
    <x v="7"/>
    <m/>
  </r>
  <r>
    <d v="2023-05-03T00:00:00"/>
    <x v="12"/>
    <x v="0"/>
    <x v="12"/>
    <n v="29613"/>
    <m/>
    <s v="Table vibration"/>
    <s v="Panne de table d'alignement"/>
    <s v="Réparation"/>
    <s v="Nettoyage vérin montage et mise en marche"/>
    <d v="2023-05-03T00:00:00"/>
    <m/>
    <n v="45"/>
    <x v="5"/>
    <x v="7"/>
    <m/>
  </r>
  <r>
    <d v="2023-05-04T00:00:00"/>
    <x v="11"/>
    <x v="0"/>
    <x v="11"/>
    <n v="29928"/>
    <m/>
    <s v="Savonniere"/>
    <s v="Roulement usés"/>
    <s v="Réparation"/>
    <s v="Changement de 2 roulements à bille remontage galets et mise en marche"/>
    <d v="2023-05-04T00:00:00"/>
    <m/>
    <n v="150"/>
    <x v="5"/>
    <x v="7"/>
    <m/>
  </r>
  <r>
    <d v="2023-05-05T00:00:00"/>
    <x v="12"/>
    <x v="0"/>
    <x v="12"/>
    <n v="29614"/>
    <m/>
    <s v="Entrainement"/>
    <s v="Courroies endommagées"/>
    <s v="Réparation "/>
    <s v="Changement des courroies et mise marche"/>
    <d v="2023-05-05T00:00:00"/>
    <m/>
    <n v="30"/>
    <x v="5"/>
    <x v="7"/>
    <m/>
  </r>
  <r>
    <d v="2023-05-10T00:00:00"/>
    <x v="27"/>
    <x v="2"/>
    <x v="27"/>
    <n v="29617"/>
    <m/>
    <s v="Pont Roulant"/>
    <s v="Cable antigiratoire usé"/>
    <s v="Réparation"/>
    <s v="Changement du cable et mise en marche"/>
    <d v="2023-05-10T00:00:00"/>
    <m/>
    <n v="120"/>
    <x v="5"/>
    <x v="7"/>
    <m/>
  </r>
  <r>
    <d v="2023-05-12T00:00:00"/>
    <x v="3"/>
    <x v="1"/>
    <x v="3"/>
    <n v="29532"/>
    <m/>
    <s v="Pince"/>
    <s v="Frein moteur endommagé"/>
    <s v="Réparation"/>
    <s v="Resserrage des vis de fixation du frein et mise en marche"/>
    <d v="2023-05-12T00:00:00"/>
    <m/>
    <n v="120"/>
    <x v="5"/>
    <x v="7"/>
    <m/>
  </r>
  <r>
    <d v="2023-05-12T00:00:00"/>
    <x v="13"/>
    <x v="0"/>
    <x v="13"/>
    <n v="29625"/>
    <m/>
    <s v="Cisaille"/>
    <s v="Blocage mécanique"/>
    <s v="Réparation"/>
    <s v="Changement de deux roulement galets natr n32"/>
    <d v="2023-05-12T00:00:00"/>
    <m/>
    <n v="70"/>
    <x v="5"/>
    <x v="7"/>
    <m/>
  </r>
  <r>
    <d v="2023-05-12T00:00:00"/>
    <x v="4"/>
    <x v="0"/>
    <x v="4"/>
    <n v="29626"/>
    <m/>
    <s v="Empileur"/>
    <s v="Panne de ridelles "/>
    <s v="Réparation"/>
    <s v="Dressage des ridelles graissage et mise en marche"/>
    <d v="2023-05-12T00:00:00"/>
    <m/>
    <n v="30"/>
    <x v="5"/>
    <x v="7"/>
    <m/>
  </r>
  <r>
    <d v="2023-05-14T00:00:00"/>
    <x v="1"/>
    <x v="0"/>
    <x v="1"/>
    <n v="29931"/>
    <m/>
    <s v="Cassette 4,6"/>
    <s v="Panne cassette d4,6 "/>
    <s v="Réparation"/>
    <s v="Changement d'un galet lisse changement de 6 roulements 32008 remontage cassette "/>
    <d v="2023-05-14T00:00:00"/>
    <m/>
    <m/>
    <x v="5"/>
    <x v="7"/>
    <m/>
  </r>
  <r>
    <d v="2023-05-16T00:00:00"/>
    <x v="2"/>
    <x v="1"/>
    <x v="2"/>
    <n v="29531"/>
    <m/>
    <s v="Table vibrante"/>
    <s v="Axe de fixation tendeurs table vibrante endommagés"/>
    <s v="Réparation"/>
    <s v="Confection de nouveau axes et mise en marche"/>
    <d v="2023-05-16T00:00:00"/>
    <m/>
    <n v="960"/>
    <x v="5"/>
    <x v="7"/>
    <m/>
  </r>
  <r>
    <d v="2023-05-17T00:00:00"/>
    <x v="7"/>
    <x v="0"/>
    <x v="7"/>
    <n v="29629"/>
    <m/>
    <s v="Empileur"/>
    <s v="Distributeur HS"/>
    <s v="Réparation"/>
    <s v="Chnagement du distributeur et mise en marche"/>
    <d v="2023-05-17T00:00:00"/>
    <m/>
    <n v="120"/>
    <x v="5"/>
    <x v="7"/>
    <m/>
  </r>
  <r>
    <d v="2023-05-18T00:00:00"/>
    <x v="3"/>
    <x v="1"/>
    <x v="3"/>
    <n v="29535"/>
    <m/>
    <s v="Pince"/>
    <s v="Problèmes fréquent ( relachement des vis de réglage du frein)"/>
    <s v="Réparation"/>
    <s v="Chnagement du moteur et du réducteur de la pince"/>
    <d v="2023-05-18T00:00:00"/>
    <m/>
    <n v="180"/>
    <x v="5"/>
    <x v="7"/>
    <m/>
  </r>
  <r>
    <d v="2023-05-18T00:00:00"/>
    <x v="3"/>
    <x v="1"/>
    <x v="3"/>
    <n v="29536"/>
    <m/>
    <s v="Malaxeur"/>
    <s v="Usure des pied de malaxeur"/>
    <s v="Réparation"/>
    <s v="Changement des pales de pattes et mise en marche"/>
    <d v="2023-05-18T00:00:00"/>
    <m/>
    <n v="60"/>
    <x v="5"/>
    <x v="7"/>
    <m/>
  </r>
  <r>
    <d v="2023-05-22T00:00:00"/>
    <x v="1"/>
    <x v="0"/>
    <x v="1"/>
    <n v="29934"/>
    <m/>
    <s v="Cabestan n3"/>
    <s v="Usure de surface"/>
    <s v="Réparation"/>
    <s v="Chargement de surface et mise en marche"/>
    <d v="2023-05-22T00:00:00"/>
    <m/>
    <n v="300"/>
    <x v="5"/>
    <x v="7"/>
    <m/>
  </r>
  <r>
    <d v="2023-05-23T00:00:00"/>
    <x v="42"/>
    <x v="0"/>
    <x v="41"/>
    <n v="29802"/>
    <m/>
    <s v="Redresseur"/>
    <s v="Roulements endommagés"/>
    <s v="Réparation"/>
    <s v="Changement de roulements et mise en marche"/>
    <d v="2023-05-23T00:00:00"/>
    <m/>
    <n v="300"/>
    <x v="5"/>
    <x v="7"/>
    <m/>
  </r>
  <r>
    <d v="2023-05-25T00:00:00"/>
    <x v="11"/>
    <x v="0"/>
    <x v="11"/>
    <n v="29935"/>
    <m/>
    <s v="Savonniere"/>
    <s v="Reducteur endommagé"/>
    <s v="Réparation"/>
    <s v="Démontage changement de roulements arrêt d'huile mpontage et mise en marche"/>
    <d v="2023-05-25T00:00:00"/>
    <m/>
    <n v="480"/>
    <x v="5"/>
    <x v="7"/>
    <m/>
  </r>
  <r>
    <d v="2023-05-27T00:00:00"/>
    <x v="13"/>
    <x v="0"/>
    <x v="13"/>
    <n v="29805"/>
    <m/>
    <s v="Guide fil"/>
    <s v="Défaut au niveau du dispositif de mesure"/>
    <s v="Réparation"/>
    <s v="Réglage de la rail et mise en marche"/>
    <d v="2023-05-27T00:00:00"/>
    <m/>
    <n v="60"/>
    <x v="5"/>
    <x v="7"/>
    <m/>
  </r>
  <r>
    <d v="2023-05-29T00:00:00"/>
    <x v="13"/>
    <x v="0"/>
    <x v="13"/>
    <n v="29806"/>
    <m/>
    <s v="Guide fil"/>
    <s v="Défaut sur rail de guidage"/>
    <s v="Réparation"/>
    <s v="Réglage de la rail et mise en marche"/>
    <d v="2023-05-29T00:00:00"/>
    <m/>
    <n v="20"/>
    <x v="5"/>
    <x v="7"/>
    <m/>
  </r>
  <r>
    <d v="2023-05-30T00:00:00"/>
    <x v="2"/>
    <x v="1"/>
    <x v="2"/>
    <n v="29539"/>
    <m/>
    <s v="Malaxeur "/>
    <s v="Galets tiroir  usées"/>
    <s v="Réparation"/>
    <s v="Changement des galet du tiroir et soudage des pattes du malaxeur"/>
    <d v="2023-05-30T00:00:00"/>
    <m/>
    <n v="150"/>
    <x v="5"/>
    <x v="7"/>
    <m/>
  </r>
  <r>
    <d v="2023-05-30T00:00:00"/>
    <x v="8"/>
    <x v="4"/>
    <x v="8"/>
    <n v="29807"/>
    <m/>
    <s v="Circuit de commande"/>
    <s v="Cable de commande endommagé"/>
    <s v="Réparation"/>
    <s v="Changement du cable de la boite à commande"/>
    <d v="2023-05-30T00:00:00"/>
    <m/>
    <n v="120"/>
    <x v="5"/>
    <x v="7"/>
    <m/>
  </r>
  <r>
    <d v="2023-05-31T00:00:00"/>
    <x v="3"/>
    <x v="1"/>
    <x v="3"/>
    <n v="29540"/>
    <m/>
    <s v="Tiroir"/>
    <s v="PB sur galets du tiroir"/>
    <s v="Réparation"/>
    <s v="Changement de roulements 6208"/>
    <d v="2023-05-31T00:00:00"/>
    <m/>
    <n v="60"/>
    <x v="5"/>
    <x v="7"/>
    <m/>
  </r>
  <r>
    <d v="2023-05-31T00:00:00"/>
    <x v="3"/>
    <x v="1"/>
    <x v="3"/>
    <n v="29541"/>
    <m/>
    <s v="Ascensseur"/>
    <s v="Courroie endommagée"/>
    <s v="Réparation"/>
    <s v="Changement de courroies A50"/>
    <d v="2023-05-31T00:00:00"/>
    <m/>
    <n v="60"/>
    <x v="5"/>
    <x v="7"/>
    <m/>
  </r>
  <r>
    <d v="2023-06-01T00:00:00"/>
    <x v="3"/>
    <x v="1"/>
    <x v="3"/>
    <n v="29542"/>
    <m/>
    <s v="Tremie sable de mer"/>
    <s v="Moteur endommagé"/>
    <s v="Réparation"/>
    <s v="Changement motoreducteur et mise en marche"/>
    <d v="2023-06-01T00:00:00"/>
    <m/>
    <n v="120"/>
    <x v="4"/>
    <x v="7"/>
    <m/>
  </r>
  <r>
    <d v="2023-06-01T00:00:00"/>
    <x v="17"/>
    <x v="0"/>
    <x v="17"/>
    <n v="29809"/>
    <m/>
    <s v="système d'entrainement"/>
    <s v="Courroie moteur endommagée 1850"/>
    <s v="Réparation"/>
    <s v="Changement des courroies et mise marche"/>
    <d v="2023-06-01T00:00:00"/>
    <m/>
    <n v="60"/>
    <x v="4"/>
    <x v="7"/>
    <m/>
  </r>
  <r>
    <d v="2023-06-01T00:00:00"/>
    <x v="1"/>
    <x v="0"/>
    <x v="1"/>
    <m/>
    <m/>
    <m/>
    <s v="variateur endommagé"/>
    <s v="Réparation"/>
    <s v="Reparation chez cielec"/>
    <d v="2023-06-30T00:00:00"/>
    <m/>
    <n v="12480"/>
    <x v="4"/>
    <x v="7"/>
    <m/>
  </r>
  <r>
    <d v="2023-06-02T00:00:00"/>
    <x v="3"/>
    <x v="1"/>
    <x v="3"/>
    <n v="29543"/>
    <m/>
    <s v="Descenseur"/>
    <s v="Chaine usée"/>
    <s v="Réparation"/>
    <s v="Changement des vis de fixation et mise en marche"/>
    <d v="2023-06-02T00:00:00"/>
    <m/>
    <n v="45"/>
    <x v="4"/>
    <x v="7"/>
    <m/>
  </r>
  <r>
    <d v="2023-06-03T00:00:00"/>
    <x v="3"/>
    <x v="1"/>
    <x v="3"/>
    <n v="29545"/>
    <m/>
    <s v="Transbordeur"/>
    <s v="Motoréducteur endommagé"/>
    <s v="Réparation"/>
    <s v="Changement du motoreducteur et mise en marche"/>
    <d v="2023-06-03T00:00:00"/>
    <m/>
    <n v="90"/>
    <x v="4"/>
    <x v="7"/>
    <m/>
  </r>
  <r>
    <d v="2023-06-04T00:00:00"/>
    <x v="20"/>
    <x v="0"/>
    <x v="20"/>
    <n v="29960"/>
    <m/>
    <m/>
    <m/>
    <m/>
    <m/>
    <m/>
    <m/>
    <m/>
    <x v="0"/>
    <x v="6"/>
    <m/>
  </r>
  <r>
    <d v="2023-06-05T00:00:00"/>
    <x v="3"/>
    <x v="1"/>
    <x v="3"/>
    <n v="29546"/>
    <m/>
    <s v="Transbordeur"/>
    <s v="Vis de fixation palier roue endommagé"/>
    <s v="Réparation"/>
    <s v="Changement des vis et mise en marche"/>
    <d v="2023-06-05T00:00:00"/>
    <m/>
    <n v="30"/>
    <x v="4"/>
    <x v="7"/>
    <m/>
  </r>
  <r>
    <d v="2023-06-06T00:00:00"/>
    <x v="2"/>
    <x v="1"/>
    <x v="2"/>
    <n v="29547"/>
    <m/>
    <s v="Transbordeur"/>
    <s v="Réducteur endommagé"/>
    <s v="Réparation"/>
    <s v="Changement du reducteur et mise en marche"/>
    <d v="2023-06-06T00:00:00"/>
    <m/>
    <n v="100"/>
    <x v="4"/>
    <x v="7"/>
    <m/>
  </r>
  <r>
    <d v="2023-06-08T00:00:00"/>
    <x v="2"/>
    <x v="1"/>
    <x v="2"/>
    <n v="29549"/>
    <m/>
    <s v="Malaxeur"/>
    <s v="Fixation pattes malaxeur endommagé"/>
    <s v="Réparation"/>
    <s v="Changement des vis de fixation "/>
    <d v="2023-06-08T00:00:00"/>
    <m/>
    <n v="40"/>
    <x v="4"/>
    <x v="7"/>
    <m/>
  </r>
  <r>
    <d v="2023-06-09T00:00:00"/>
    <x v="0"/>
    <x v="0"/>
    <x v="0"/>
    <n v="29814"/>
    <m/>
    <s v="Bloc de soudage"/>
    <s v="panne tresse de soudage"/>
    <s v="Réparation"/>
    <s v="entretien des fixation et mise en marche"/>
    <d v="2023-06-09T00:00:00"/>
    <m/>
    <n v="30"/>
    <x v="4"/>
    <x v="7"/>
    <m/>
  </r>
  <r>
    <d v="2023-06-10T00:00:00"/>
    <x v="4"/>
    <x v="0"/>
    <x v="4"/>
    <n v="29815"/>
    <m/>
    <s v="Bloc de soudage"/>
    <s v="Axe plongeur endommagé"/>
    <s v="Réparation"/>
    <s v="Changemtn de l'axe plongeur et mise en marche"/>
    <d v="2023-06-10T00:00:00"/>
    <m/>
    <n v="120"/>
    <x v="4"/>
    <x v="7"/>
    <m/>
  </r>
  <r>
    <d v="2023-06-12T00:00:00"/>
    <x v="2"/>
    <x v="1"/>
    <x v="2"/>
    <n v="26351"/>
    <m/>
    <s v="Tiroir"/>
    <s v="Caisse de tiroir endommagé"/>
    <s v="Réparation"/>
    <s v="Soudage de la partie endommagée"/>
    <d v="2023-06-12T00:00:00"/>
    <m/>
    <n v="60"/>
    <x v="4"/>
    <x v="7"/>
    <m/>
  </r>
  <r>
    <d v="2023-06-13T00:00:00"/>
    <x v="2"/>
    <x v="1"/>
    <x v="2"/>
    <n v="26352"/>
    <m/>
    <s v="Pince"/>
    <s v="Vis de fixation frein moteur endommagés"/>
    <s v="Réparation"/>
    <s v="Changement du moteur et mise en marche"/>
    <d v="2023-06-13T00:00:00"/>
    <m/>
    <n v="220"/>
    <x v="4"/>
    <x v="7"/>
    <m/>
  </r>
  <r>
    <d v="2023-06-13T00:00:00"/>
    <x v="5"/>
    <x v="2"/>
    <x v="5"/>
    <n v="29817"/>
    <m/>
    <s v="Malaxeur"/>
    <s v="vidange d'hiule "/>
    <s v="Réparation"/>
    <s v="Vidange malaxeur"/>
    <d v="2023-06-13T00:00:00"/>
    <m/>
    <n v="120"/>
    <x v="4"/>
    <x v="7"/>
    <m/>
  </r>
  <r>
    <d v="2023-06-16T00:00:00"/>
    <x v="3"/>
    <x v="1"/>
    <x v="3"/>
    <n v="26354"/>
    <m/>
    <s v="Convoyeur planche"/>
    <s v="Galet endommagé"/>
    <s v="Réparation "/>
    <s v="Soudage des parties endommagées et mise en marche"/>
    <d v="2023-06-16T00:00:00"/>
    <m/>
    <n v="90"/>
    <x v="4"/>
    <x v="7"/>
    <m/>
  </r>
  <r>
    <d v="2023-06-16T00:00:00"/>
    <x v="26"/>
    <x v="0"/>
    <x v="26"/>
    <n v="29819"/>
    <m/>
    <s v="Système d'entrainement "/>
    <s v="Boulon d'entrainement endommagé"/>
    <s v="Réparation"/>
    <s v="Changement du boulon d'entrainement et mise en marche"/>
    <d v="2023-06-14T00:00:00"/>
    <m/>
    <n v="480"/>
    <x v="4"/>
    <x v="7"/>
    <m/>
  </r>
  <r>
    <d v="2023-06-22T00:00:00"/>
    <x v="2"/>
    <x v="1"/>
    <x v="2"/>
    <n v="26358"/>
    <m/>
    <s v="Table vibrante"/>
    <s v="Rupture de lacourroie 1760"/>
    <s v="Réparation"/>
    <s v="Changement de la courroie réglage et calage de la table"/>
    <d v="2023-06-22T00:00:00"/>
    <m/>
    <n v="120"/>
    <x v="4"/>
    <x v="7"/>
    <m/>
  </r>
  <r>
    <d v="2023-06-24T00:00:00"/>
    <x v="3"/>
    <x v="1"/>
    <x v="3"/>
    <n v="26359"/>
    <m/>
    <s v="Tiroir chargeur"/>
    <s v="Fissure au niveau du tiroir d'agitation"/>
    <s v="Réparation"/>
    <s v="Soudage de la partie fissurée et mise en marche"/>
    <d v="2023-06-24T00:00:00"/>
    <m/>
    <n v="90"/>
    <x v="4"/>
    <x v="7"/>
    <m/>
  </r>
  <r>
    <d v="2023-06-24T00:00:00"/>
    <x v="3"/>
    <x v="1"/>
    <x v="3"/>
    <n v="26360"/>
    <m/>
    <s v="Tiroir chargeur"/>
    <s v="Tiroir endommagé"/>
    <s v="Réparation"/>
    <s v="Changement de l'ensemble caisse tiroir et mise en marche"/>
    <d v="2023-06-24T00:00:00"/>
    <m/>
    <n v="780"/>
    <x v="4"/>
    <x v="7"/>
    <m/>
  </r>
  <r>
    <d v="2023-07-01T00:00:00"/>
    <x v="1"/>
    <x v="0"/>
    <x v="1"/>
    <m/>
    <m/>
    <m/>
    <s v="variateur endommagé"/>
    <s v="Réparation"/>
    <s v="Reparation chez cielec"/>
    <d v="2023-07-31T00:00:00"/>
    <m/>
    <n v="12480"/>
    <x v="6"/>
    <x v="7"/>
    <m/>
  </r>
  <r>
    <d v="2023-07-05T00:00:00"/>
    <x v="3"/>
    <x v="1"/>
    <x v="3"/>
    <n v="26361"/>
    <m/>
    <s v="Machine"/>
    <s v="Entretien annuel"/>
    <s v="Réparation"/>
    <s v=" - Changement du cable electrique transbordeur_x000a_- Changement des la chaine du descensseur_x000a_- Changement des guide de chaine du descensseur_x000a_- Soudage de la tole du convoyeur à agregats"/>
    <d v="2023-07-05T00:00:00"/>
    <m/>
    <n v="4800"/>
    <x v="6"/>
    <x v="7"/>
    <m/>
  </r>
  <r>
    <d v="2023-07-10T00:00:00"/>
    <x v="2"/>
    <x v="1"/>
    <x v="2"/>
    <n v="26363"/>
    <m/>
    <s v="Cercleuse n°6"/>
    <s v="Coincement feuillard"/>
    <s v="Réparation"/>
    <s v="Nettoyage du circuit et mise en marche"/>
    <d v="2023-07-10T00:00:00"/>
    <m/>
    <n v="45"/>
    <x v="6"/>
    <x v="7"/>
    <m/>
  </r>
  <r>
    <d v="2023-07-11T00:00:00"/>
    <x v="2"/>
    <x v="1"/>
    <x v="2"/>
    <n v="26364"/>
    <m/>
    <s v="Celcleuse n°6"/>
    <s v="Changement tendeur courroie "/>
    <s v="Réparation"/>
    <s v="Changement tendeur courroie "/>
    <d v="2023-07-11T00:00:00"/>
    <m/>
    <n v="80"/>
    <x v="6"/>
    <x v="7"/>
    <m/>
  </r>
  <r>
    <d v="2023-07-11T00:00:00"/>
    <x v="3"/>
    <x v="1"/>
    <x v="3"/>
    <n v="26365"/>
    <m/>
    <s v="Malaxeur"/>
    <s v="Usure des pattes de malaxeur"/>
    <s v="Réparation"/>
    <s v="Changement des pattes usées"/>
    <d v="2023-07-11T00:00:00"/>
    <m/>
    <n v="210"/>
    <x v="6"/>
    <x v="7"/>
    <m/>
  </r>
  <r>
    <d v="2023-07-11T00:00:00"/>
    <x v="4"/>
    <x v="0"/>
    <x v="4"/>
    <n v="29821"/>
    <m/>
    <s v="Table elevatrice"/>
    <s v="Panne pneumatique"/>
    <s v="Réparation"/>
    <s v="Demontage nettoyage edu distributeur et mise en marche"/>
    <d v="2023-07-11T00:00:00"/>
    <m/>
    <n v="120"/>
    <x v="6"/>
    <x v="7"/>
    <m/>
  </r>
  <r>
    <d v="2023-07-12T00:00:00"/>
    <x v="2"/>
    <x v="1"/>
    <x v="2"/>
    <n v="26367"/>
    <m/>
    <s v="Malaxedur"/>
    <s v="Réparation role malaxeur"/>
    <s v="Réparation "/>
    <s v="Reparation tole malaxeur"/>
    <d v="2023-07-12T00:00:00"/>
    <m/>
    <n v="120"/>
    <x v="6"/>
    <x v="7"/>
    <m/>
  </r>
  <r>
    <d v="2023-07-12T00:00:00"/>
    <x v="3"/>
    <x v="1"/>
    <x v="3"/>
    <n v="26368"/>
    <m/>
    <s v="Pilon"/>
    <s v="PB sur verin pilon"/>
    <s v="Réparation"/>
    <s v="Changement du vérin du support des vessies et d'un clapet antiretour"/>
    <d v="2023-07-12T00:00:00"/>
    <m/>
    <n v="300"/>
    <x v="6"/>
    <x v="7"/>
    <m/>
  </r>
  <r>
    <d v="2023-07-13T00:00:00"/>
    <x v="3"/>
    <x v="1"/>
    <x v="3"/>
    <n v="26370"/>
    <m/>
    <s v="Cercleuse 06"/>
    <s v="Courroie endommagée"/>
    <s v="Réparation"/>
    <s v="Changement d'une courroie pj1270"/>
    <d v="2023-07-13T00:00:00"/>
    <m/>
    <n v="120"/>
    <x v="6"/>
    <x v="7"/>
    <m/>
  </r>
  <r>
    <d v="2023-07-14T00:00:00"/>
    <x v="2"/>
    <x v="1"/>
    <x v="2"/>
    <n v="26369"/>
    <m/>
    <s v="Cercleuse 06"/>
    <s v="Vis support endommagé"/>
    <s v="Réparation"/>
    <s v="Changement des vis endommagés "/>
    <d v="2023-07-14T00:00:00"/>
    <m/>
    <n v="90"/>
    <x v="6"/>
    <x v="7"/>
    <m/>
  </r>
  <r>
    <d v="2023-07-15T00:00:00"/>
    <x v="3"/>
    <x v="1"/>
    <x v="3"/>
    <n v="26371"/>
    <m/>
    <s v="Table vibrante"/>
    <s v="Silent bloc usés"/>
    <s v="Réparation"/>
    <s v="Changement de 16 silents blocs vidange et callage de la table vibrante"/>
    <d v="2023-07-15T00:00:00"/>
    <m/>
    <n v="360"/>
    <x v="6"/>
    <x v="7"/>
    <m/>
  </r>
  <r>
    <d v="2023-07-18T00:00:00"/>
    <x v="2"/>
    <x v="1"/>
    <x v="2"/>
    <n v="26373"/>
    <m/>
    <s v="Agitateur"/>
    <s v="Chaine b12 endommagée"/>
    <s v="Réparatio"/>
    <s v="Changement de la chaine et mise en marche"/>
    <d v="2023-07-18T00:00:00"/>
    <m/>
    <n v="40"/>
    <x v="6"/>
    <x v="7"/>
    <m/>
  </r>
  <r>
    <d v="2023-07-20T00:00:00"/>
    <x v="3"/>
    <x v="1"/>
    <x v="3"/>
    <n v="26374"/>
    <m/>
    <s v="Cercleuse 06"/>
    <s v="Réparation du support de fixation et mise en marche"/>
    <s v="réparation"/>
    <s v="Réparation du support de fixation et mise en marche"/>
    <d v="2023-07-20T00:00:00"/>
    <m/>
    <n v="60"/>
    <x v="6"/>
    <x v="7"/>
    <m/>
  </r>
  <r>
    <d v="2023-07-21T00:00:00"/>
    <x v="3"/>
    <x v="1"/>
    <x v="3"/>
    <n v="26376"/>
    <m/>
    <s v="Convoyeur béton"/>
    <s v="Palier endommagés"/>
    <s v="Réparation"/>
    <s v="Changement du palier et mise en marche"/>
    <d v="2023-07-21T00:00:00"/>
    <m/>
    <n v="220"/>
    <x v="6"/>
    <x v="7"/>
    <m/>
  </r>
  <r>
    <d v="2023-07-25T00:00:00"/>
    <x v="3"/>
    <x v="1"/>
    <x v="3"/>
    <n v="26379"/>
    <m/>
    <s v="Cercleuse 06"/>
    <s v="Support le lame de soudage endommagé"/>
    <s v="Réparation"/>
    <s v="Changement du support de lame et mise en marche"/>
    <d v="2023-07-25T00:00:00"/>
    <m/>
    <n v="120"/>
    <x v="6"/>
    <x v="7"/>
    <m/>
  </r>
  <r>
    <d v="2023-07-26T00:00:00"/>
    <x v="2"/>
    <x v="1"/>
    <x v="2"/>
    <n v="26380"/>
    <m/>
    <s v="Tiroir chargeur "/>
    <s v="Axe exentrique endommagé"/>
    <s v="Réparation"/>
    <s v="Chanegement de l'axe et mise en marche"/>
    <d v="2023-07-26T00:00:00"/>
    <m/>
    <n v="90"/>
    <x v="6"/>
    <x v="7"/>
    <m/>
  </r>
  <r>
    <d v="2023-07-26T00:00:00"/>
    <x v="2"/>
    <x v="1"/>
    <x v="2"/>
    <n v="26381"/>
    <m/>
    <s v="Cercleuse 08"/>
    <s v="Guide lame de soudage endommagé"/>
    <s v="Réparation"/>
    <s v="Changement guide de lame nettoyage de la tete et mise en marche"/>
    <d v="2023-07-27T00:00:00"/>
    <m/>
    <n v="90"/>
    <x v="6"/>
    <x v="7"/>
    <m/>
  </r>
  <r>
    <d v="2023-07-29T00:00:00"/>
    <x v="2"/>
    <x v="1"/>
    <x v="2"/>
    <n v="26388"/>
    <m/>
    <s v="Table vibrante"/>
    <s v="Courroie 2800 endommagée"/>
    <s v="Réparation"/>
    <s v="Changement d'un roulement nj205 changement courroie callage et mise en marche"/>
    <d v="2023-07-29T00:00:00"/>
    <m/>
    <n v="180"/>
    <x v="6"/>
    <x v="7"/>
    <m/>
  </r>
  <r>
    <d v="2023-07-31T00:00:00"/>
    <x v="3"/>
    <x v="1"/>
    <x v="3"/>
    <n v="26389"/>
    <m/>
    <s v="Pince"/>
    <s v="Fixation endommagée"/>
    <s v="Réparation"/>
    <s v="Soudage et remise en marche"/>
    <d v="2023-07-31T00:00:00"/>
    <m/>
    <n v="300"/>
    <x v="6"/>
    <x v="7"/>
    <m/>
  </r>
  <r>
    <d v="2023-08-01T00:00:00"/>
    <x v="4"/>
    <x v="0"/>
    <x v="4"/>
    <n v="29825"/>
    <m/>
    <s v="Système d'avancement"/>
    <s v="galet rouleau d'avance usés"/>
    <s v="Réparation"/>
    <s v="Changement des galets usés"/>
    <d v="2023-08-01T00:00:00"/>
    <m/>
    <n v="60"/>
    <x v="8"/>
    <x v="7"/>
    <m/>
  </r>
  <r>
    <d v="2023-08-01T00:00:00"/>
    <x v="1"/>
    <x v="0"/>
    <x v="1"/>
    <m/>
    <m/>
    <m/>
    <s v="variateur endommagé"/>
    <s v="Réparation"/>
    <s v="Reparation chez cielec"/>
    <d v="2023-08-31T00:00:00"/>
    <m/>
    <n v="12480"/>
    <x v="8"/>
    <x v="7"/>
    <m/>
  </r>
  <r>
    <d v="2023-08-01T00:00:00"/>
    <x v="2"/>
    <x v="1"/>
    <x v="2"/>
    <n v="26390"/>
    <m/>
    <s v="Malaxeur"/>
    <s v="PB au niveau de l'aspiration de la pompe - crépine endommagée"/>
    <s v="Réparation"/>
    <s v="Changement de la crépine et mise en marche"/>
    <d v="2023-08-01T00:00:00"/>
    <m/>
    <n v="90"/>
    <x v="8"/>
    <x v="7"/>
    <m/>
  </r>
  <r>
    <d v="2023-08-01T00:00:00"/>
    <x v="3"/>
    <x v="1"/>
    <x v="3"/>
    <n v="26391"/>
    <m/>
    <s v="Convoyeur entrée presse"/>
    <s v="Réducteur endommagé"/>
    <s v="Réparation "/>
    <s v="Changement du reducteur et mise en marche"/>
    <d v="2023-08-01T00:00:00"/>
    <m/>
    <n v="120"/>
    <x v="8"/>
    <x v="7"/>
    <m/>
  </r>
  <r>
    <d v="2023-08-02T00:00:00"/>
    <x v="3"/>
    <x v="1"/>
    <x v="3"/>
    <n v="26392"/>
    <m/>
    <s v="Pince"/>
    <s v="Rupture de la chaine de transmission"/>
    <s v="Réparation"/>
    <s v="Changement de la chaine b12 et mise en marche"/>
    <d v="2023-08-02T00:00:00"/>
    <m/>
    <n v="30"/>
    <x v="8"/>
    <x v="7"/>
    <m/>
  </r>
  <r>
    <d v="2023-08-03T00:00:00"/>
    <x v="20"/>
    <x v="0"/>
    <x v="20"/>
    <n v="30405"/>
    <m/>
    <s v="Guide fil"/>
    <s v="Panne guide fil"/>
    <s v="Réparation"/>
    <s v="Changement guide fil "/>
    <d v="2023-08-03T00:00:00"/>
    <m/>
    <n v="90"/>
    <x v="8"/>
    <x v="7"/>
    <m/>
  </r>
  <r>
    <d v="2023-08-07T00:00:00"/>
    <x v="20"/>
    <x v="0"/>
    <x v="20"/>
    <n v="30408"/>
    <m/>
    <s v="Alimentation air comprimé"/>
    <s v="Panne pneumatique"/>
    <s v="Réparation"/>
    <s v="Entretien compresseur air comprimé"/>
    <d v="2023-08-07T00:00:00"/>
    <m/>
    <n v="120"/>
    <x v="8"/>
    <x v="7"/>
    <m/>
  </r>
  <r>
    <d v="2023-08-07T00:00:00"/>
    <x v="3"/>
    <x v="1"/>
    <x v="3"/>
    <n v="28393"/>
    <m/>
    <s v="malaxeur"/>
    <s v="Usure des pattes de malaxeur"/>
    <s v="Réparartion"/>
    <s v="Changement des pattes et mise en marche"/>
    <d v="2023-08-07T00:00:00"/>
    <m/>
    <n v="90"/>
    <x v="8"/>
    <x v="7"/>
    <m/>
  </r>
  <r>
    <d v="2023-08-08T00:00:00"/>
    <x v="3"/>
    <x v="1"/>
    <x v="3"/>
    <n v="26394"/>
    <m/>
    <s v="Cercleuse 06"/>
    <s v="Pb soudage feuillard"/>
    <s v="Réparation"/>
    <s v="Reglage de la lame de soudage et mise en marche"/>
    <d v="2023-08-08T00:00:00"/>
    <m/>
    <n v="40"/>
    <x v="8"/>
    <x v="7"/>
    <m/>
  </r>
  <r>
    <d v="2023-08-08T00:00:00"/>
    <x v="3"/>
    <x v="1"/>
    <x v="3"/>
    <n v="26395"/>
    <m/>
    <s v="Moule"/>
    <s v="Fuite interne sur verin moule"/>
    <s v="Réparation"/>
    <s v="Changement du vérin et mise en marche"/>
    <d v="2023-08-08T00:00:00"/>
    <m/>
    <n v="120"/>
    <x v="8"/>
    <x v="7"/>
    <m/>
  </r>
  <r>
    <d v="2023-08-10T00:00:00"/>
    <x v="3"/>
    <x v="1"/>
    <x v="3"/>
    <n v="26396"/>
    <m/>
    <s v="Transbordeur"/>
    <s v="Roulements galet endommagés"/>
    <s v="Réparation"/>
    <s v="Ajout d'une rondelle entre galet transbordeur et palier f212 "/>
    <d v="2023-08-10T00:00:00"/>
    <m/>
    <n v="240"/>
    <x v="8"/>
    <x v="7"/>
    <m/>
  </r>
  <r>
    <d v="2023-08-12T00:00:00"/>
    <x v="2"/>
    <x v="1"/>
    <x v="2"/>
    <n v="26397"/>
    <m/>
    <s v="Malaxeur"/>
    <s v="Entretien malaxeur et tiroir chargeur"/>
    <s v="Réparation"/>
    <s v=" - Changement des toles du malaxeur et mise en marche_x000a_- Changement du tiroir complet"/>
    <d v="2023-08-16T00:00:00"/>
    <m/>
    <n v="3840"/>
    <x v="8"/>
    <x v="7"/>
    <m/>
  </r>
  <r>
    <d v="2023-08-15T00:00:00"/>
    <x v="3"/>
    <x v="1"/>
    <x v="3"/>
    <n v="26398"/>
    <m/>
    <s v="Tiroir"/>
    <s v="Fuite d'huile sur verin tiroir"/>
    <s v="Réparation"/>
    <s v="Changement du flexible de verin et mise en marche"/>
    <d v="2023-08-15T00:00:00"/>
    <m/>
    <n v="90"/>
    <x v="8"/>
    <x v="7"/>
    <m/>
  </r>
  <r>
    <d v="2023-08-17T00:00:00"/>
    <x v="10"/>
    <x v="0"/>
    <x v="10"/>
    <n v="30412"/>
    <m/>
    <s v="Groupe hydraulique"/>
    <s v="Guite d'huile"/>
    <s v="Réparation"/>
    <s v="Elimination d'une fuite et mise au point du niveau d'huile"/>
    <d v="2023-08-17T00:00:00"/>
    <m/>
    <n v="80"/>
    <x v="8"/>
    <x v="7"/>
    <m/>
  </r>
  <r>
    <d v="2023-08-17T00:00:00"/>
    <x v="20"/>
    <x v="0"/>
    <x v="20"/>
    <n v="30413"/>
    <m/>
    <s v="Cabestan"/>
    <s v="Absence syst refroidissement"/>
    <s v="Réparation"/>
    <s v="Montage du système de refroidissement"/>
    <d v="2023-08-17T00:00:00"/>
    <m/>
    <n v="2400"/>
    <x v="8"/>
    <x v="7"/>
    <m/>
  </r>
  <r>
    <d v="2023-08-17T00:00:00"/>
    <x v="2"/>
    <x v="1"/>
    <x v="2"/>
    <n v="26399"/>
    <m/>
    <s v="Malaxeur"/>
    <s v="Chape de verin endommagée"/>
    <s v="Réparation"/>
    <s v="changement de la chappe du verin de la porte et mise en marche"/>
    <d v="2023-08-17T00:00:00"/>
    <m/>
    <n v="120"/>
    <x v="8"/>
    <x v="7"/>
    <m/>
  </r>
  <r>
    <d v="2023-08-18T00:00:00"/>
    <x v="2"/>
    <x v="1"/>
    <x v="2"/>
    <n v="26403"/>
    <m/>
    <s v="Ascensseur"/>
    <s v="Frein moteur endommagé"/>
    <s v="Réparation"/>
    <s v="Changement du moteur et de 4 courroies A38"/>
    <d v="2023-08-18T00:00:00"/>
    <m/>
    <n v="150"/>
    <x v="8"/>
    <x v="7"/>
    <m/>
  </r>
  <r>
    <d v="2023-08-22T00:00:00"/>
    <x v="3"/>
    <x v="1"/>
    <x v="3"/>
    <n v="26404"/>
    <m/>
    <s v="Presse"/>
    <s v="Toles rouleau à beton usée"/>
    <s v="Réparationa"/>
    <s v="Changement des toles et mise en marche"/>
    <d v="2023-08-22T00:00:00"/>
    <m/>
    <n v="180"/>
    <x v="8"/>
    <x v="7"/>
    <m/>
  </r>
  <r>
    <d v="2023-08-22T00:00:00"/>
    <x v="2"/>
    <x v="1"/>
    <x v="2"/>
    <n v="26405"/>
    <m/>
    <s v="Transbordeur"/>
    <s v="Roulement poulie contrepoid endommagé"/>
    <s v="Réparation "/>
    <s v="Changement des poulies et mise en marche"/>
    <d v="2023-08-22T00:00:00"/>
    <m/>
    <n v="90"/>
    <x v="8"/>
    <x v="7"/>
    <m/>
  </r>
  <r>
    <d v="2023-08-23T00:00:00"/>
    <x v="2"/>
    <x v="1"/>
    <x v="2"/>
    <n v="26406"/>
    <m/>
    <s v="Pilon"/>
    <s v="Desserage de l'ecrou de reglage hauteur"/>
    <s v="Réparation "/>
    <s v="Serrage de l'ecrou et mise en marche"/>
    <d v="2023-08-23T00:00:00"/>
    <m/>
    <n v="60"/>
    <x v="8"/>
    <x v="7"/>
    <m/>
  </r>
  <r>
    <d v="2023-08-23T00:00:00"/>
    <x v="2"/>
    <x v="1"/>
    <x v="2"/>
    <n v="26407"/>
    <m/>
    <s v="Malaxeur"/>
    <s v="Panne vibreur"/>
    <m/>
    <s v="Changement des roulement du vibreur et mise en marche"/>
    <d v="2023-08-23T00:00:00"/>
    <m/>
    <n v="120"/>
    <x v="8"/>
    <x v="7"/>
    <m/>
  </r>
  <r>
    <d v="2023-08-25T00:00:00"/>
    <x v="20"/>
    <x v="0"/>
    <x v="20"/>
    <n v="30414"/>
    <m/>
    <s v="Cabestan"/>
    <s v="Surface Cabestan usée"/>
    <s v="Réparaition"/>
    <s v="Rectification de surface à la soudure et mise marche"/>
    <d v="2023-08-25T00:00:00"/>
    <m/>
    <n v="330"/>
    <x v="8"/>
    <x v="7"/>
    <m/>
  </r>
  <r>
    <d v="2023-08-29T00:00:00"/>
    <x v="20"/>
    <x v="0"/>
    <x v="20"/>
    <n v="30416"/>
    <m/>
    <s v="Guide fil"/>
    <s v="Panne poulie guide fil"/>
    <s v="Réparation"/>
    <s v="Changement de deux roulement 6206 et montage poulie"/>
    <d v="2023-08-29T00:00:00"/>
    <m/>
    <n v="75"/>
    <x v="8"/>
    <x v="7"/>
    <m/>
  </r>
  <r>
    <d v="2023-09-01T00:00:00"/>
    <x v="10"/>
    <x v="0"/>
    <x v="10"/>
    <n v="30418"/>
    <m/>
    <s v="Bobinoir"/>
    <s v="Ecrou d'assemblage bobinoir usé"/>
    <s v="Réparation"/>
    <s v="Changement de deux ecrous bobinoir usés"/>
    <d v="2023-09-01T00:00:00"/>
    <m/>
    <n v="180"/>
    <x v="7"/>
    <x v="7"/>
    <m/>
  </r>
  <r>
    <d v="2023-09-02T00:00:00"/>
    <x v="3"/>
    <x v="1"/>
    <x v="3"/>
    <n v="26410"/>
    <m/>
    <s v="Pilon"/>
    <s v="PB pression pilon"/>
    <m/>
    <s v="Changemen,t d'un clapet antiretour endommagé et mise en marche"/>
    <d v="2023-09-02T00:00:00"/>
    <m/>
    <n v="90"/>
    <x v="7"/>
    <x v="7"/>
    <m/>
  </r>
  <r>
    <d v="2023-09-02T00:00:00"/>
    <x v="3"/>
    <x v="1"/>
    <x v="3"/>
    <n v="26411"/>
    <m/>
    <s v="Transbordeur"/>
    <s v="Reducteur endommagé"/>
    <m/>
    <s v="Changement du reducteur et mise en marche"/>
    <d v="2023-09-02T00:00:00"/>
    <m/>
    <n v="90"/>
    <x v="7"/>
    <x v="7"/>
    <m/>
  </r>
  <r>
    <d v="2023-09-05T00:00:00"/>
    <x v="13"/>
    <x v="0"/>
    <x v="13"/>
    <n v="30357"/>
    <m/>
    <s v="Cisaille"/>
    <s v="Rupture des courroies d'entrainement"/>
    <m/>
    <s v="Changement des roulement du rotor changement d'une poulie endommagée changement des courroies"/>
    <d v="2023-09-10T00:00:00"/>
    <m/>
    <n v="2400"/>
    <x v="7"/>
    <x v="7"/>
    <m/>
  </r>
  <r>
    <d v="2023-09-06T00:00:00"/>
    <x v="3"/>
    <x v="1"/>
    <x v="3"/>
    <n v="26413"/>
    <m/>
    <s v="Groupe hydraulique"/>
    <s v="Pression accumulateur 0 bar"/>
    <m/>
    <s v="Changement de l'acumulateur et mise en marche"/>
    <d v="2023-09-06T00:00:00"/>
    <m/>
    <n v="60"/>
    <x v="7"/>
    <x v="7"/>
    <m/>
  </r>
  <r>
    <d v="2023-09-07T00:00:00"/>
    <x v="3"/>
    <x v="1"/>
    <x v="3"/>
    <n v="26414"/>
    <m/>
    <s v="Transbordeur"/>
    <s v="Clavetage et alesage arbre galet endommagés"/>
    <m/>
    <s v="Changement de deux galets et un arbre et mise en marche"/>
    <d v="2023-09-07T00:00:00"/>
    <m/>
    <n v="540"/>
    <x v="7"/>
    <x v="7"/>
    <m/>
  </r>
  <r>
    <d v="2023-09-09T00:00:00"/>
    <x v="2"/>
    <x v="1"/>
    <x v="2"/>
    <n v="26415"/>
    <m/>
    <s v="Table vibrante"/>
    <s v="Courroie 1760 endommagée"/>
    <m/>
    <s v="Changement d'une courroie 1760 calage et mise en marche"/>
    <d v="2023-09-09T00:00:00"/>
    <m/>
    <n v="120"/>
    <x v="7"/>
    <x v="7"/>
    <m/>
  </r>
  <r>
    <d v="2023-09-11T00:00:00"/>
    <x v="2"/>
    <x v="1"/>
    <x v="2"/>
    <n v="26416"/>
    <m/>
    <s v="Table vibrante "/>
    <s v="Rupture d'une courroie 2800"/>
    <m/>
    <s v="Changement de la courroie 2800 et mise en marche"/>
    <d v="2023-09-11T00:00:00"/>
    <m/>
    <n v="120"/>
    <x v="7"/>
    <x v="7"/>
    <m/>
  </r>
  <r>
    <d v="2023-09-13T00:00:00"/>
    <x v="20"/>
    <x v="0"/>
    <x v="20"/>
    <m/>
    <m/>
    <m/>
    <m/>
    <m/>
    <m/>
    <m/>
    <m/>
    <m/>
    <x v="0"/>
    <x v="6"/>
    <m/>
  </r>
  <r>
    <d v="2023-09-13T00:00:00"/>
    <x v="11"/>
    <x v="0"/>
    <x v="11"/>
    <n v="30420"/>
    <m/>
    <s v="Cabestan"/>
    <s v="Usure de surface"/>
    <m/>
    <s v="Demontage cabestan set chargement de surface"/>
    <d v="2023-09-13T00:00:00"/>
    <m/>
    <n v="420"/>
    <x v="7"/>
    <x v="7"/>
    <m/>
  </r>
  <r>
    <d v="2023-09-14T00:00:00"/>
    <x v="3"/>
    <x v="1"/>
    <x v="3"/>
    <n v="26417"/>
    <m/>
    <s v="Cercleuse 08"/>
    <s v="clavetage roue d'entrainement usé"/>
    <m/>
    <s v="Changement de la roue reglage de soudage et mise en marche"/>
    <d v="2023-08-14T00:00:00"/>
    <m/>
    <n v="280"/>
    <x v="8"/>
    <x v="7"/>
    <m/>
  </r>
  <r>
    <d v="2023-09-14T00:00:00"/>
    <x v="10"/>
    <x v="0"/>
    <x v="10"/>
    <n v="30421"/>
    <m/>
    <s v="Bobinoir"/>
    <s v="Teton de blocage endommagé"/>
    <m/>
    <s v="Soudage de teton neufs et mise en marche"/>
    <d v="2023-09-14T00:00:00"/>
    <m/>
    <n v="581"/>
    <x v="7"/>
    <x v="7"/>
    <m/>
  </r>
  <r>
    <d v="2023-09-15T00:00:00"/>
    <x v="12"/>
    <x v="0"/>
    <x v="12"/>
    <n v="30361"/>
    <m/>
    <s v="Cisaille"/>
    <s v="Courroie endommagée"/>
    <m/>
    <s v="Changement ddes courroies et mise en marche"/>
    <d v="2023-09-15T00:00:00"/>
    <m/>
    <n v="60"/>
    <x v="7"/>
    <x v="7"/>
    <m/>
  </r>
  <r>
    <d v="2023-09-18T00:00:00"/>
    <x v="3"/>
    <x v="1"/>
    <x v="3"/>
    <n v="26418"/>
    <m/>
    <s v="Cercleuse 06"/>
    <s v="Fixation endommagée"/>
    <m/>
    <s v="Extraction des vis endommagés changement des vis et mise en marche"/>
    <d v="2023-09-18T00:00:00"/>
    <m/>
    <n v="150"/>
    <x v="7"/>
    <x v="7"/>
    <m/>
  </r>
  <r>
    <d v="2023-09-18T00:00:00"/>
    <x v="20"/>
    <x v="0"/>
    <x v="20"/>
    <n v="30423"/>
    <m/>
    <s v="Circuit de refroidissement"/>
    <s v="Pb de refoulement de la pompe à eau"/>
    <m/>
    <s v="Purge de la pompe et mise en marche"/>
    <d v="2023-09-18T00:00:00"/>
    <m/>
    <n v="60"/>
    <x v="7"/>
    <x v="7"/>
    <m/>
  </r>
  <r>
    <d v="2023-09-18T00:00:00"/>
    <x v="12"/>
    <x v="0"/>
    <x v="12"/>
    <n v="30351"/>
    <m/>
    <s v="Cisaille"/>
    <s v="Echauffement servomoteur"/>
    <m/>
    <s v="Changement du servomoteur et mise en marche"/>
    <d v="2023-09-18T00:00:00"/>
    <m/>
    <n v="480"/>
    <x v="7"/>
    <x v="7"/>
    <m/>
  </r>
  <r>
    <d v="2023-09-20T00:00:00"/>
    <x v="10"/>
    <x v="0"/>
    <x v="10"/>
    <n v="30424"/>
    <m/>
    <s v="Casette PR7"/>
    <s v="Circtui de refroidissement bouché"/>
    <m/>
    <s v="Debouchage du circuit d'eau et mise en marche"/>
    <d v="2023-09-20T00:00:00"/>
    <m/>
    <n v="20"/>
    <x v="7"/>
    <x v="7"/>
    <m/>
  </r>
  <r>
    <d v="2023-09-20T00:00:00"/>
    <x v="10"/>
    <x v="0"/>
    <x v="10"/>
    <n v="30426"/>
    <m/>
    <s v="Sauterelle"/>
    <s v="Poulie guide fil usée"/>
    <m/>
    <s v="Demontage chargement de surface et mise en marche"/>
    <d v="2023-09-20T00:00:00"/>
    <m/>
    <n v="120"/>
    <x v="7"/>
    <x v="7"/>
    <m/>
  </r>
  <r>
    <d v="2023-09-22T00:00:00"/>
    <x v="2"/>
    <x v="1"/>
    <x v="2"/>
    <n v="26420"/>
    <m/>
    <s v="Moule"/>
    <s v="Usure des ventouses du moules"/>
    <m/>
    <s v="Changement des ventouse et mise en marche"/>
    <d v="2023-09-22T00:00:00"/>
    <m/>
    <n v="30"/>
    <x v="7"/>
    <x v="7"/>
    <m/>
  </r>
  <r>
    <d v="2023-10-07T00:00:00"/>
    <x v="7"/>
    <x v="0"/>
    <x v="7"/>
    <n v="30362"/>
    <m/>
    <s v="Table elevatrice"/>
    <s v="Guide fil inferieur endommagé"/>
    <m/>
    <s v="Changement du guide fil inferieur"/>
    <d v="2023-10-07T00:00:00"/>
    <m/>
    <n v="480"/>
    <x v="9"/>
    <x v="7"/>
    <m/>
  </r>
  <r>
    <d v="2023-10-11T00:00:00"/>
    <x v="7"/>
    <x v="0"/>
    <x v="7"/>
    <n v="30363"/>
    <m/>
    <s v="Chaine de pliage"/>
    <s v="Chaine usée"/>
    <m/>
    <s v="Changement de la chaine et mise en marche"/>
    <d v="2023-10-11T00:00:00"/>
    <m/>
    <n v="180"/>
    <x v="9"/>
    <x v="7"/>
    <m/>
  </r>
  <r>
    <d v="2023-10-11T00:00:00"/>
    <x v="0"/>
    <x v="0"/>
    <x v="0"/>
    <n v="30364"/>
    <m/>
    <s v="Presse de soudage"/>
    <s v="Presse de soudage usée"/>
    <m/>
    <s v="Chargement à la soudure de la presse et mise en marche"/>
    <d v="2023-10-11T00:00:00"/>
    <m/>
    <n v="60"/>
    <x v="9"/>
    <x v="7"/>
    <m/>
  </r>
  <r>
    <d v="2023-10-12T00:00:00"/>
    <x v="27"/>
    <x v="2"/>
    <x v="27"/>
    <n v="30365"/>
    <m/>
    <s v="Pont roulant"/>
    <s v="Changement du cable du pont roulant"/>
    <m/>
    <s v="Changelent du cable du pont roulant et mise en marche"/>
    <d v="2023-10-12T00:00:00"/>
    <m/>
    <n v="180"/>
    <x v="9"/>
    <x v="7"/>
    <m/>
  </r>
  <r>
    <d v="2023-10-18T00:00:00"/>
    <x v="26"/>
    <x v="0"/>
    <x v="26"/>
    <n v="30367"/>
    <m/>
    <s v="Chaine de pliage "/>
    <s v="usure de la chaine"/>
    <m/>
    <s v="Changement de la chaine de pliage et mise en marche"/>
    <d v="2023-10-18T00:00:00"/>
    <m/>
    <n v="480"/>
    <x v="9"/>
    <x v="7"/>
    <m/>
  </r>
  <r>
    <d v="2023-11-01T00:00:00"/>
    <x v="20"/>
    <x v="0"/>
    <x v="20"/>
    <n v="30261"/>
    <m/>
    <s v="Cabestan"/>
    <s v="Surface cabestan usée"/>
    <m/>
    <s v="chargement de surface et mise en marche"/>
    <d v="2023-11-01T00:00:00"/>
    <m/>
    <n v="300"/>
    <x v="10"/>
    <x v="7"/>
    <m/>
  </r>
  <r>
    <d v="2023-11-02T00:00:00"/>
    <x v="10"/>
    <x v="0"/>
    <x v="10"/>
    <n v="30262"/>
    <m/>
    <s v="Cercleuse"/>
    <s v="Defaut machoires de serrage"/>
    <m/>
    <s v="Changement des goupilles et rectification d'un couteau de coupe"/>
    <d v="2023-11-02T00:00:00"/>
    <m/>
    <m/>
    <x v="10"/>
    <x v="7"/>
    <m/>
  </r>
  <r>
    <d v="2023-11-02T00:00:00"/>
    <x v="2"/>
    <x v="1"/>
    <x v="2"/>
    <n v="26440"/>
    <m/>
    <s v="Cercleuse"/>
    <s v="Fixation tete de cerclage endomagée"/>
    <m/>
    <s v="Taraudage des trous de fixation et Raccordement et mise en marche"/>
    <d v="2023-11-02T00:00:00"/>
    <m/>
    <n v="180"/>
    <x v="10"/>
    <x v="7"/>
    <m/>
  </r>
  <r>
    <d v="2023-11-03T00:00:00"/>
    <x v="3"/>
    <x v="1"/>
    <x v="3"/>
    <n v="26441"/>
    <m/>
    <s v="Vis à ciment"/>
    <s v="Fuite interne au niveau du verin pneumatique"/>
    <m/>
    <s v="Changement du vérin et mise en marche"/>
    <d v="2023-11-03T00:00:00"/>
    <m/>
    <n v="180"/>
    <x v="10"/>
    <x v="7"/>
    <m/>
  </r>
  <r>
    <d v="2023-11-07T00:00:00"/>
    <x v="3"/>
    <x v="1"/>
    <x v="3"/>
    <n v="26442"/>
    <m/>
    <s v="Pince"/>
    <s v="Clavetage arbre et bielle de transmission endommagé"/>
    <m/>
    <s v="Changement de l'arbre et de la bielle et mise en marche"/>
    <d v="2023-11-07T00:00:00"/>
    <m/>
    <n v="780"/>
    <x v="10"/>
    <x v="7"/>
    <m/>
  </r>
  <r>
    <d v="2023-11-09T00:00:00"/>
    <x v="20"/>
    <x v="0"/>
    <x v="20"/>
    <n v="30264"/>
    <m/>
    <s v="Cassette 3,2"/>
    <s v="roulements endommagés"/>
    <m/>
    <s v="Changement des roulements endommagés et mise en marche"/>
    <d v="2023-11-09T00:00:00"/>
    <m/>
    <n v="100"/>
    <x v="10"/>
    <x v="7"/>
    <m/>
  </r>
  <r>
    <d v="2023-11-09T00:00:00"/>
    <x v="20"/>
    <x v="0"/>
    <x v="20"/>
    <n v="30265"/>
    <m/>
    <s v="cassette 3,4"/>
    <s v="Defaut de zommage "/>
    <m/>
    <s v="Zommage de la cassette"/>
    <d v="2023-11-09T00:00:00"/>
    <m/>
    <m/>
    <x v="10"/>
    <x v="7"/>
    <m/>
  </r>
  <r>
    <d v="2023-11-11T00:00:00"/>
    <x v="20"/>
    <x v="0"/>
    <x v="20"/>
    <n v="30266"/>
    <m/>
    <s v="cassette 3,8"/>
    <s v="roulements endommagés"/>
    <m/>
    <s v="Changement des roulements et mise en marche"/>
    <d v="2023-11-11T00:00:00"/>
    <m/>
    <n v="180"/>
    <x v="10"/>
    <x v="7"/>
    <m/>
  </r>
  <r>
    <d v="2023-11-13T00:00:00"/>
    <x v="20"/>
    <x v="0"/>
    <x v="20"/>
    <n v="30268"/>
    <m/>
    <s v="cabestan "/>
    <s v="Surface cabestan usée"/>
    <m/>
    <s v="chargement de surface à la soudure et mise en marche"/>
    <d v="2023-11-13T00:00:00"/>
    <m/>
    <n v="240"/>
    <x v="10"/>
    <x v="7"/>
    <m/>
  </r>
  <r>
    <d v="2023-11-16T00:00:00"/>
    <x v="20"/>
    <x v="0"/>
    <x v="20"/>
    <n v="30271"/>
    <m/>
    <s v="guide fil"/>
    <s v="roulemens usés"/>
    <m/>
    <s v="Changement des roulements et mise en marche"/>
    <d v="2023-11-16T00:00:00"/>
    <m/>
    <n v="120"/>
    <x v="10"/>
    <x v="7"/>
    <m/>
  </r>
  <r>
    <d v="2023-11-20T00:00:00"/>
    <x v="10"/>
    <x v="0"/>
    <x v="10"/>
    <n v="30275"/>
    <m/>
    <s v="cassette d8"/>
    <s v="roulements endommagés "/>
    <m/>
    <s v="Changement des roulements et mise en marche"/>
    <d v="2023-11-20T00:00:00"/>
    <m/>
    <n v="120"/>
    <x v="10"/>
    <x v="7"/>
    <m/>
  </r>
  <r>
    <d v="2023-11-20T00:00:00"/>
    <x v="3"/>
    <x v="1"/>
    <x v="3"/>
    <n v="30051"/>
    <m/>
    <s v="Malaxeur"/>
    <s v="Defaut regulateur de pression pneumatique"/>
    <m/>
    <s v="Réparation du régulateur et mise en marche"/>
    <d v="2023-11-20T00:00:00"/>
    <m/>
    <n v="90"/>
    <x v="10"/>
    <x v="7"/>
    <m/>
  </r>
  <r>
    <d v="2023-11-21T00:00:00"/>
    <x v="3"/>
    <x v="1"/>
    <x v="3"/>
    <n v="30053"/>
    <m/>
    <s v="Convoyeur sortie presse "/>
    <s v="Courroie thermosoudable usée "/>
    <m/>
    <s v="Changement de la courroie thermosoudable"/>
    <d v="2023-11-21T00:00:00"/>
    <m/>
    <n v="90"/>
    <x v="10"/>
    <x v="7"/>
    <m/>
  </r>
  <r>
    <d v="2023-11-22T00:00:00"/>
    <x v="11"/>
    <x v="0"/>
    <x v="11"/>
    <n v="30282"/>
    <m/>
    <s v="Cabesant"/>
    <s v="Surface usée"/>
    <m/>
    <s v="Chargement de surface à la soudure"/>
    <d v="2023-11-27T00:00:00"/>
    <m/>
    <n v="420"/>
    <x v="10"/>
    <x v="7"/>
    <m/>
  </r>
  <r>
    <d v="2023-11-28T00:00:00"/>
    <x v="10"/>
    <x v="0"/>
    <x v="10"/>
    <n v="30285"/>
    <m/>
    <s v="Guide fil"/>
    <s v="Surface poulie guide fil usée"/>
    <m/>
    <s v="Chargement à la soudure et mise en marche"/>
    <d v="2023-11-28T00:00:00"/>
    <m/>
    <n v="35"/>
    <x v="10"/>
    <x v="7"/>
    <m/>
  </r>
  <r>
    <d v="2023-11-29T00:00:00"/>
    <x v="3"/>
    <x v="1"/>
    <x v="3"/>
    <n v="30054"/>
    <m/>
    <s v="Pilon"/>
    <s v="Fuite verin pilon"/>
    <m/>
    <s v="Changement du verin du pilon et mise en marche"/>
    <d v="2023-11-29T00:00:00"/>
    <m/>
    <n v="120"/>
    <x v="10"/>
    <x v="7"/>
    <m/>
  </r>
  <r>
    <d v="2023-11-30T00:00:00"/>
    <x v="20"/>
    <x v="0"/>
    <x v="20"/>
    <n v="30289"/>
    <m/>
    <s v="Cabestan"/>
    <s v="Surface usée"/>
    <m/>
    <s v="Chargement de surface à la soudure et mise en marche"/>
    <d v="2023-11-30T00:00:00"/>
    <m/>
    <n v="300"/>
    <x v="10"/>
    <x v="7"/>
    <m/>
  </r>
  <r>
    <d v="2023-12-01T00:00:00"/>
    <x v="3"/>
    <x v="1"/>
    <x v="3"/>
    <n v="30055"/>
    <m/>
    <s v="Table vibrante"/>
    <s v="Rupture courroie 2800"/>
    <m/>
    <s v="Changement de la courroie et mise en marche"/>
    <d v="2023-12-01T00:00:00"/>
    <m/>
    <n v="90"/>
    <x v="11"/>
    <x v="7"/>
    <m/>
  </r>
  <r>
    <d v="2023-12-01T00:00:00"/>
    <x v="1"/>
    <x v="0"/>
    <x v="1"/>
    <s v="Cielec"/>
    <m/>
    <s v="Cabestan N 3 "/>
    <s v="Variateur HS"/>
    <m/>
    <s v="Intervention de cielec pour modification variateur et mise en place d'un variateur à communication Fireware ( 130 Kw) en attentant arrivée d'un variateur 55kw conforme à l'origine"/>
    <d v="2023-12-13T00:00:00"/>
    <m/>
    <n v="6240"/>
    <x v="11"/>
    <x v="7"/>
    <s v="Dépannage avec variateur 130 Kw en attendant réception d'un variateur 55 KW conforme à l'origine de la part de cielec"/>
  </r>
  <r>
    <d v="2023-12-02T00:00:00"/>
    <x v="2"/>
    <x v="1"/>
    <x v="2"/>
    <n v="30056"/>
    <m/>
    <s v="Cadre glissant et grille d'agitation"/>
    <s v="Usure du cadre glissant / grille endommagé"/>
    <m/>
    <s v="Changement du cadre glissant et mise en marche"/>
    <d v="2023-12-02T00:00:00"/>
    <m/>
    <n v="180"/>
    <x v="11"/>
    <x v="7"/>
    <m/>
  </r>
  <r>
    <d v="2023-12-04T00:00:00"/>
    <x v="3"/>
    <x v="1"/>
    <x v="3"/>
    <n v="30057"/>
    <m/>
    <s v="Malaxeur"/>
    <s v="Clapet eau colmaté"/>
    <m/>
    <s v="Changement du clapet endommagé et mise en marche"/>
    <d v="2023-12-04T00:00:00"/>
    <m/>
    <n v="50"/>
    <x v="11"/>
    <x v="7"/>
    <m/>
  </r>
  <r>
    <d v="2023-12-06T00:00:00"/>
    <x v="3"/>
    <x v="1"/>
    <x v="3"/>
    <n v="30058"/>
    <m/>
    <s v="Descensseur"/>
    <s v="Fin de course endommagé"/>
    <m/>
    <s v="Changement de la fin de course et mise en marche"/>
    <d v="2023-12-06T00:00:00"/>
    <m/>
    <n v="120"/>
    <x v="11"/>
    <x v="7"/>
    <m/>
  </r>
  <r>
    <d v="2023-12-07T00:00:00"/>
    <x v="3"/>
    <x v="1"/>
    <x v="3"/>
    <n v="30060"/>
    <m/>
    <s v="Cercleuse"/>
    <s v="Courroie de recuperation endommagée"/>
    <m/>
    <s v="Changement de la courroie et mise en marche"/>
    <d v="2023-12-07T00:00:00"/>
    <m/>
    <n v="60"/>
    <x v="11"/>
    <x v="7"/>
    <m/>
  </r>
  <r>
    <d v="2023-12-07T00:00:00"/>
    <x v="2"/>
    <x v="1"/>
    <x v="2"/>
    <n v="30061"/>
    <m/>
    <s v="Malaxeur"/>
    <s v="Aptte de malaxeur usés"/>
    <m/>
    <s v="Changement des pates de malaxeur et mise en march"/>
    <d v="2023-12-07T00:00:00"/>
    <m/>
    <n v="90"/>
    <x v="11"/>
    <x v="7"/>
    <m/>
  </r>
  <r>
    <d v="2023-12-07T00:00:00"/>
    <x v="3"/>
    <x v="1"/>
    <x v="3"/>
    <n v="30059"/>
    <m/>
    <s v="Malaxeur"/>
    <s v="Panne verin malaxeur"/>
    <m/>
    <s v="Fuite interne verin pneumatique"/>
    <d v="2023-12-07T00:00:00"/>
    <m/>
    <n v="120"/>
    <x v="11"/>
    <x v="7"/>
    <m/>
  </r>
  <r>
    <d v="2023-11-11T00:00:00"/>
    <x v="7"/>
    <x v="0"/>
    <x v="7"/>
    <n v="30369"/>
    <m/>
    <s v="Support de porte electrode"/>
    <s v="Usure du support de porte electgrode"/>
    <m/>
    <s v="Changement du support de porte electrode"/>
    <d v="2023-11-11T00:00:00"/>
    <m/>
    <n v="180"/>
    <x v="10"/>
    <x v="7"/>
    <m/>
  </r>
  <r>
    <d v="2023-10-27T00:00:00"/>
    <x v="0"/>
    <x v="0"/>
    <x v="0"/>
    <n v="30371"/>
    <m/>
    <s v="Empileur"/>
    <s v="Fixation verin endommagée"/>
    <m/>
    <s v="Soudure de la partie usée et mise en marche"/>
    <d v="2023-10-27T00:00:00"/>
    <m/>
    <n v="210"/>
    <x v="9"/>
    <x v="7"/>
    <m/>
  </r>
  <r>
    <d v="2023-10-25T00:00:00"/>
    <x v="12"/>
    <x v="0"/>
    <x v="12"/>
    <n v="30375"/>
    <m/>
    <s v="Guide fil"/>
    <s v="Defaut d'alignement du guide fil"/>
    <m/>
    <s v="Dressage et soudage de la partie fissurée"/>
    <d v="2023-10-25T00:00:00"/>
    <m/>
    <n v="60"/>
    <x v="9"/>
    <x v="7"/>
    <m/>
  </r>
  <r>
    <d v="2023-10-27T00:00:00"/>
    <x v="0"/>
    <x v="0"/>
    <x v="0"/>
    <n v="30376"/>
    <m/>
    <s v="Ridelles"/>
    <s v="Fixation du verin pneumatique endommagé"/>
    <m/>
    <s v="Demontage soudage de la partie en endommagée montage et mise en marche"/>
    <d v="2023-10-27T00:00:00"/>
    <m/>
    <n v="120"/>
    <x v="9"/>
    <x v="7"/>
    <m/>
  </r>
  <r>
    <d v="2023-11-01T00:00:00"/>
    <x v="42"/>
    <x v="0"/>
    <x v="41"/>
    <n v="30377"/>
    <m/>
    <s v="Guide fil"/>
    <s v="Blocage des galets du système d'avancement"/>
    <m/>
    <s v="Demontage et nettoyage du distributeur pneumatique"/>
    <d v="2023-11-01T00:00:00"/>
    <m/>
    <n v="90"/>
    <x v="10"/>
    <x v="7"/>
    <m/>
  </r>
  <r>
    <d v="2023-11-24T00:00:00"/>
    <x v="4"/>
    <x v="0"/>
    <x v="4"/>
    <n v="30382"/>
    <m/>
    <s v="Empileur"/>
    <s v="Blocage des griffes d'empileur"/>
    <m/>
    <s v="Entretien du distributeur deblocage et mise en marche"/>
    <d v="2023-11-24T00:00:00"/>
    <m/>
    <n v="30"/>
    <x v="10"/>
    <x v="7"/>
    <m/>
  </r>
  <r>
    <d v="2023-12-07T00:00:00"/>
    <x v="3"/>
    <x v="1"/>
    <x v="3"/>
    <n v="30063"/>
    <m/>
    <s v="Transbordeur"/>
    <s v="Guide de transbordeur endommagé"/>
    <m/>
    <s v="soudure de la partie endommagée et mise en marche"/>
    <d v="2023-12-07T00:00:00"/>
    <m/>
    <n v="60"/>
    <x v="11"/>
    <x v="7"/>
    <m/>
  </r>
  <r>
    <d v="2023-12-07T00:00:00"/>
    <x v="4"/>
    <x v="0"/>
    <x v="4"/>
    <n v="30101"/>
    <m/>
    <s v="Bloc de soudage"/>
    <s v="Fixation verin de soudage endommagé"/>
    <m/>
    <s v="Changement De la fixation et mise en marche"/>
    <d v="2023-12-07T00:00:00"/>
    <m/>
    <n v="160"/>
    <x v="11"/>
    <x v="7"/>
    <m/>
  </r>
  <r>
    <d v="2023-12-12T00:00:00"/>
    <x v="3"/>
    <x v="1"/>
    <x v="3"/>
    <n v="30064"/>
    <m/>
    <s v="Pousse planche"/>
    <s v="Fuite au niveau du verin pousse planche"/>
    <m/>
    <s v="Changement du verin et mise en marche"/>
    <d v="2023-12-12T00:00:00"/>
    <m/>
    <n v="240"/>
    <x v="11"/>
    <x v="7"/>
    <m/>
  </r>
  <r>
    <d v="2023-12-13T00:00:00"/>
    <x v="17"/>
    <x v="0"/>
    <x v="17"/>
    <n v="30106"/>
    <m/>
    <s v="Moteur principal"/>
    <s v="Panne moteur"/>
    <m/>
    <s v="Rebobinage moteur chez Voselec"/>
    <d v="2023-12-19T00:00:00"/>
    <m/>
    <n v="2880"/>
    <x v="11"/>
    <x v="7"/>
    <m/>
  </r>
  <r>
    <d v="2023-12-18T00:00:00"/>
    <x v="3"/>
    <x v="1"/>
    <x v="3"/>
    <n v="30065"/>
    <m/>
    <s v="Cercleuse 08"/>
    <s v="Defaut au niveau de la came "/>
    <m/>
    <s v="Demontage nettoyage de la came ajustement de la roue et mise en marche"/>
    <d v="2023-12-18T00:00:00"/>
    <m/>
    <n v="270"/>
    <x v="11"/>
    <x v="7"/>
    <m/>
  </r>
  <r>
    <d v="2023-12-18T00:00:00"/>
    <x v="4"/>
    <x v="0"/>
    <x v="4"/>
    <n v="30109"/>
    <m/>
    <s v="Empileur"/>
    <s v="Capteur de proximité endommagé"/>
    <m/>
    <s v="Changement du capteur et mise en marche"/>
    <d v="2023-12-18T00:00:00"/>
    <m/>
    <n v="30"/>
    <x v="11"/>
    <x v="7"/>
    <m/>
  </r>
  <r>
    <d v="2023-12-20T00:00:00"/>
    <x v="4"/>
    <x v="0"/>
    <x v="4"/>
    <n v="30111"/>
    <m/>
    <s v="Bloc de sou"/>
    <s v="Axe plongeur endommagé"/>
    <m/>
    <s v="Changement de l'axe plongeur et mise en marche"/>
    <d v="2023-12-20T00:00:00"/>
    <m/>
    <n v="120"/>
    <x v="11"/>
    <x v="7"/>
    <m/>
  </r>
  <r>
    <d v="2023-09-02T00:00:00"/>
    <x v="2"/>
    <x v="1"/>
    <x v="2"/>
    <n v="26421"/>
    <m/>
    <s v="Tiroir d'agitation"/>
    <s v="Fixation des bras d'agitation endommagée"/>
    <m/>
    <s v="Soudage de la fixation et mise en marche"/>
    <d v="2023-09-02T00:00:00"/>
    <m/>
    <n v="50"/>
    <x v="7"/>
    <x v="7"/>
    <m/>
  </r>
  <r>
    <d v="2023-09-27T00:00:00"/>
    <x v="3"/>
    <x v="1"/>
    <x v="3"/>
    <n v="26423"/>
    <m/>
    <s v="Table vibrante"/>
    <s v="Roulement masselottes usés"/>
    <m/>
    <s v="Changement des roulements entretien de la table et mise en marche"/>
    <d v="2023-09-28T00:00:00"/>
    <m/>
    <n v="960"/>
    <x v="7"/>
    <x v="7"/>
    <m/>
  </r>
  <r>
    <d v="2023-10-05T00:00:00"/>
    <x v="2"/>
    <x v="1"/>
    <x v="2"/>
    <n v="26424"/>
    <m/>
    <s v="Silo 7"/>
    <s v="Blocage vis à ciment"/>
    <m/>
    <s v="Liberation de la vis et mise en marche"/>
    <d v="2023-10-05T00:00:00"/>
    <m/>
    <n v="240"/>
    <x v="9"/>
    <x v="7"/>
    <m/>
  </r>
  <r>
    <d v="2024-10-02T00:00:00"/>
    <x v="2"/>
    <x v="1"/>
    <x v="2"/>
    <n v="26425"/>
    <m/>
    <s v="Tiroir d'agitation"/>
    <s v="Usure de la tôle et du cadre glissant"/>
    <m/>
    <s v="Changement de la tôle du tiroir et reparation du cadre glissant"/>
    <d v="2023-10-03T00:00:00"/>
    <m/>
    <n v="1200"/>
    <x v="9"/>
    <x v="7"/>
    <m/>
  </r>
  <r>
    <d v="2023-10-03T00:00:00"/>
    <x v="3"/>
    <x v="1"/>
    <x v="3"/>
    <n v="26426"/>
    <m/>
    <s v="Table vibrante"/>
    <s v="Roulements du moteur vibreur endommagés"/>
    <m/>
    <s v="Changement du moteur vibreur et mise en marche"/>
    <d v="2023-10-03T00:00:00"/>
    <m/>
    <n v="270"/>
    <x v="9"/>
    <x v="7"/>
    <m/>
  </r>
  <r>
    <d v="2023-10-04T00:00:00"/>
    <x v="3"/>
    <x v="1"/>
    <x v="3"/>
    <n v="26427"/>
    <m/>
    <s v="Cercleuse 08"/>
    <s v="Probleme au niveau de la lance"/>
    <m/>
    <s v="Réglage et fixation de la lance"/>
    <d v="2023-10-04T00:00:00"/>
    <m/>
    <n v="40"/>
    <x v="9"/>
    <x v="7"/>
    <m/>
  </r>
  <r>
    <d v="2023-10-10T00:00:00"/>
    <x v="2"/>
    <x v="1"/>
    <x v="2"/>
    <n v="26428"/>
    <m/>
    <s v="Table vibrante"/>
    <s v="Fuite d'huile au niveau du verin de transfert"/>
    <m/>
    <s v="Changement du verin et mise en arche"/>
    <d v="2023-10-10T00:00:00"/>
    <m/>
    <n v="240"/>
    <x v="9"/>
    <x v="7"/>
    <m/>
  </r>
  <r>
    <d v="2023-10-10T00:00:00"/>
    <x v="3"/>
    <x v="1"/>
    <x v="3"/>
    <n v="26429"/>
    <m/>
    <s v="Table vibrante"/>
    <s v="patte moteur endommagés"/>
    <m/>
    <s v="Chsoudage des pattes du moteur et mise en marche"/>
    <d v="2023-10-10T00:00:00"/>
    <m/>
    <n v="180"/>
    <x v="9"/>
    <x v="7"/>
    <m/>
  </r>
  <r>
    <d v="2023-10-11T00:00:00"/>
    <x v="3"/>
    <x v="1"/>
    <x v="3"/>
    <n v="26430"/>
    <m/>
    <s v="Transbordeur"/>
    <s v="Fissure des rails de transbordeur"/>
    <m/>
    <s v="Soudage de la partie fissurée et mise en marche"/>
    <d v="2023-10-11T00:00:00"/>
    <m/>
    <n v="90"/>
    <x v="9"/>
    <x v="7"/>
    <m/>
  </r>
  <r>
    <d v="2023-10-09T00:00:00"/>
    <x v="2"/>
    <x v="1"/>
    <x v="2"/>
    <n v="26431"/>
    <m/>
    <s v="Malaxeur"/>
    <s v="Coincement de la porte du malaxeur"/>
    <m/>
    <s v="Réglage de la porte et mise en marche"/>
    <d v="2023-10-09T00:00:00"/>
    <m/>
    <n v="120"/>
    <x v="9"/>
    <x v="7"/>
    <m/>
  </r>
  <r>
    <d v="2023-10-17T00:00:00"/>
    <x v="3"/>
    <x v="1"/>
    <x v="3"/>
    <n v="26432"/>
    <m/>
    <s v="Malaxeur"/>
    <s v="Fuite d'adjuvant du malaxeur"/>
    <m/>
    <s v="Elimination de la fuite et mise en marche"/>
    <d v="2023-10-17T00:00:00"/>
    <m/>
    <n v="30"/>
    <x v="9"/>
    <x v="7"/>
    <m/>
  </r>
  <r>
    <d v="2023-10-24T00:00:00"/>
    <x v="3"/>
    <x v="1"/>
    <x v="3"/>
    <n v="26433"/>
    <m/>
    <s v="Tiroir"/>
    <s v="Modifcation pour hourdis 70cm à plancher réticulé"/>
    <m/>
    <s v="Changement du verin du tiroir par un autre de course plus grande"/>
    <d v="2023-10-24T00:00:00"/>
    <m/>
    <n v="480"/>
    <x v="9"/>
    <x v="7"/>
    <m/>
  </r>
  <r>
    <d v="2023-09-26T00:00:00"/>
    <x v="3"/>
    <x v="1"/>
    <x v="3"/>
    <n v="26434"/>
    <m/>
    <s v="Table vibrante"/>
    <s v="Decalage de la table vibrante"/>
    <m/>
    <s v="Reglage du calage et mise en marche"/>
    <d v="2023-09-26T00:00:00"/>
    <m/>
    <n v="90"/>
    <x v="7"/>
    <x v="7"/>
    <m/>
  </r>
  <r>
    <d v="2023-10-26T00:00:00"/>
    <x v="2"/>
    <x v="1"/>
    <x v="2"/>
    <n v="26435"/>
    <m/>
    <s v="Tiroir d'agitation"/>
    <s v="Usure des pignons du reducteur"/>
    <m/>
    <s v="Changement du reducteur et mise en marche"/>
    <d v="2023-10-26T00:00:00"/>
    <m/>
    <n v="180"/>
    <x v="9"/>
    <x v="7"/>
    <m/>
  </r>
  <r>
    <d v="2023-10-28T00:00:00"/>
    <x v="3"/>
    <x v="1"/>
    <x v="3"/>
    <n v="26438"/>
    <m/>
    <s v="Pince"/>
    <s v="Bielle d'entraitenement endommagé"/>
    <m/>
    <s v="Soudage de la partie endomaggée changemnt d'une clavette et mise en marche"/>
    <d v="2023-10-28T00:00:00"/>
    <m/>
    <n v="240"/>
    <x v="9"/>
    <x v="7"/>
    <m/>
  </r>
  <r>
    <d v="2023-12-20T00:00:00"/>
    <x v="26"/>
    <x v="0"/>
    <x v="26"/>
    <s v="EVG"/>
    <m/>
    <s v="Empileur"/>
    <s v="Defaut mode automatique empileur"/>
    <m/>
    <s v="Telemaintenance EVG pour résolution du probleme - résultat : Absence de courant au niveau des bouttons du pupitre de commande"/>
    <d v="2023-12-24T00:00:00"/>
    <m/>
    <n v="1920"/>
    <x v="11"/>
    <x v="7"/>
    <m/>
  </r>
  <r>
    <d v="2023-12-22T00:00:00"/>
    <x v="3"/>
    <x v="1"/>
    <x v="3"/>
    <n v="30067"/>
    <m/>
    <s v="Tiroir d'agitation"/>
    <s v="Bras de la grille d'agitation endommagés"/>
    <m/>
    <s v="Réparation et soudage du bras de la grille d'agitation - changement des pattes du malaxeur"/>
    <d v="2023-12-22T00:00:00"/>
    <m/>
    <n v="180"/>
    <x v="11"/>
    <x v="7"/>
    <m/>
  </r>
  <r>
    <d v="2023-12-23T00:00:00"/>
    <x v="3"/>
    <x v="1"/>
    <x v="3"/>
    <n v="30068"/>
    <m/>
    <s v="Convoyeur à beton"/>
    <s v="Tige de tendeur de la bande à béton endommagé"/>
    <m/>
    <s v="Réparation du tendeur et changement des courroies"/>
    <d v="2023-12-23T00:00:00"/>
    <m/>
    <n v="30"/>
    <x v="11"/>
    <x v="7"/>
    <m/>
  </r>
  <r>
    <d v="2023-12-24T00:00:00"/>
    <x v="2"/>
    <x v="1"/>
    <x v="2"/>
    <n v="30069"/>
    <m/>
    <s v="Skip"/>
    <s v="Cable skip usé"/>
    <m/>
    <s v="Changement du cable du skip et mise en marche"/>
    <d v="2023-12-24T00:00:00"/>
    <m/>
    <n v="180"/>
    <x v="11"/>
    <x v="7"/>
    <m/>
  </r>
  <r>
    <d v="2023-12-26T00:00:00"/>
    <x v="3"/>
    <x v="1"/>
    <x v="3"/>
    <n v="30070"/>
    <m/>
    <s v="Pilon"/>
    <s v="Fuite d'huile"/>
    <m/>
    <s v="Changement du flexible hydraulique du pilon et mise en marche"/>
    <d v="2023-12-26T00:00:00"/>
    <m/>
    <n v="30"/>
    <x v="11"/>
    <x v="7"/>
    <m/>
  </r>
  <r>
    <d v="2023-12-26T00:00:00"/>
    <x v="12"/>
    <x v="0"/>
    <x v="12"/>
    <n v="30114"/>
    <m/>
    <s v="Redresseur"/>
    <s v="Rouelements usés"/>
    <m/>
    <s v="Changement des roulements du redresseur et mise en marche"/>
    <d v="2023-12-26T00:00:00"/>
    <m/>
    <n v="420"/>
    <x v="11"/>
    <x v="7"/>
    <m/>
  </r>
  <r>
    <d v="2024-01-02T00:00:00"/>
    <x v="0"/>
    <x v="0"/>
    <x v="0"/>
    <n v="30116"/>
    <m/>
    <s v="Ridelles"/>
    <s v="Pannes dispositifi ridelle d'empileur"/>
    <m/>
    <s v="Changement des silents bloc et mise en marche"/>
    <d v="2024-01-02T00:00:00"/>
    <m/>
    <n v="150"/>
    <x v="0"/>
    <x v="8"/>
    <m/>
  </r>
  <r>
    <d v="2023-12-27T00:00:00"/>
    <x v="2"/>
    <x v="1"/>
    <x v="2"/>
    <n v="30072"/>
    <m/>
    <s v="Malaxeur"/>
    <s v="Entretien"/>
    <m/>
    <s v="Changement des pattes du malaxeur et du verin pneumatique de la trape - réparation du guide chaine du descensseur"/>
    <d v="2023-12-27T00:00:00"/>
    <m/>
    <n v="240"/>
    <x v="11"/>
    <x v="7"/>
    <m/>
  </r>
  <r>
    <d v="2023-12-29T00:00:00"/>
    <x v="12"/>
    <x v="0"/>
    <x v="12"/>
    <n v="30115"/>
    <m/>
    <s v="Guide fil"/>
    <s v="Vis de fixation endommagé"/>
    <m/>
    <s v="Extraction des vis changement et mise en marche"/>
    <d v="2023-12-29T00:00:00"/>
    <m/>
    <n v="120"/>
    <x v="11"/>
    <x v="7"/>
    <m/>
  </r>
  <r>
    <d v="2023-11-01T00:00:00"/>
    <x v="1"/>
    <x v="0"/>
    <x v="1"/>
    <m/>
    <m/>
    <s v="Cabestan 3"/>
    <s v="Variateur HS"/>
    <m/>
    <s v="Temps de livraison longs "/>
    <d v="2023-11-30T00:00:00"/>
    <m/>
    <n v="12480"/>
    <x v="10"/>
    <x v="7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6" cacheId="1" applyNumberFormats="0" applyBorderFormats="0" applyFontFormats="0" applyPatternFormats="0" applyAlignmentFormats="0" applyWidthHeightFormats="1" dataCaption="Valeurs" updatedVersion="8" minRefreshableVersion="3" useAutoFormatting="1" rowGrandTotals="0" colGrandTotals="0" itemPrintTitles="1" createdVersion="7" indent="0" outline="1" outlineData="1" multipleFieldFilters="0" chartFormat="10">
  <location ref="A5:D5" firstHeaderRow="0" firstDataRow="1" firstDataCol="2" rowPageCount="3" colPageCount="1"/>
  <pivotFields count="16">
    <pivotField showAll="0" defaultSubtotal="0"/>
    <pivotField axis="axisRow" outline="0" showAll="0" defaultSubtotal="0">
      <items count="45">
        <item x="35"/>
        <item x="37"/>
        <item x="31"/>
        <item x="5"/>
        <item x="27"/>
        <item x="0"/>
        <item x="18"/>
        <item x="8"/>
        <item x="4"/>
        <item x="14"/>
        <item x="16"/>
        <item x="7"/>
        <item x="32"/>
        <item x="23"/>
        <item x="29"/>
        <item x="11"/>
        <item x="10"/>
        <item x="1"/>
        <item x="21"/>
        <item x="24"/>
        <item m="1" x="43"/>
        <item x="20"/>
        <item x="36"/>
        <item x="25"/>
        <item x="34"/>
        <item x="19"/>
        <item x="22"/>
        <item x="13"/>
        <item x="17"/>
        <item x="12"/>
        <item x="28"/>
        <item x="26"/>
        <item x="3"/>
        <item x="2"/>
        <item x="6"/>
        <item x="30"/>
        <item x="15"/>
        <item x="9"/>
        <item x="33"/>
        <item x="38"/>
        <item x="39"/>
        <item m="1" x="44"/>
        <item x="40"/>
        <item x="41"/>
        <item x="42"/>
      </items>
    </pivotField>
    <pivotField axis="axisPage" multipleItemSelectionAllowed="1" showAll="0" defaultSubtotal="0">
      <items count="17">
        <item h="1" x="9"/>
        <item x="0"/>
        <item h="1" x="6"/>
        <item h="1" m="1" x="11"/>
        <item h="1" m="1" x="15"/>
        <item h="1" m="1" x="13"/>
        <item x="1"/>
        <item x="2"/>
        <item h="1" x="3"/>
        <item h="1" x="5"/>
        <item h="1" x="4"/>
        <item h="1" x="8"/>
        <item h="1" m="1" x="14"/>
        <item h="1" m="1" x="16"/>
        <item h="1" x="7"/>
        <item h="1" x="10"/>
        <item h="1" m="1" x="12"/>
      </items>
    </pivotField>
    <pivotField axis="axisRow" showAll="0" defaultSubtotal="0">
      <items count="47">
        <item x="38"/>
        <item x="15"/>
        <item x="33"/>
        <item x="5"/>
        <item x="32"/>
        <item x="4"/>
        <item x="7"/>
        <item x="26"/>
        <item x="9"/>
        <item x="35"/>
        <item x="37"/>
        <item x="6"/>
        <item m="1" x="43"/>
        <item x="28"/>
        <item x="30"/>
        <item m="1" x="46"/>
        <item x="21"/>
        <item x="23"/>
        <item x="29"/>
        <item x="24"/>
        <item m="1" x="42"/>
        <item x="14"/>
        <item x="36"/>
        <item x="8"/>
        <item x="3"/>
        <item x="2"/>
        <item m="1" x="44"/>
        <item x="0"/>
        <item x="16"/>
        <item x="11"/>
        <item x="10"/>
        <item x="1"/>
        <item x="20"/>
        <item x="22"/>
        <item x="25"/>
        <item m="1" x="45"/>
        <item x="19"/>
        <item x="34"/>
        <item x="18"/>
        <item x="31"/>
        <item x="27"/>
        <item x="12"/>
        <item x="13"/>
        <item x="17"/>
        <item x="39"/>
        <item x="40"/>
        <item x="41"/>
      </items>
    </pivotField>
    <pivotField subtotalTop="0" showAll="0" defaultSubtotal="0"/>
    <pivotField showAll="0" defaultSubtotal="0"/>
    <pivotField showAll="0" defaultSubtotal="0"/>
    <pivotField showAll="0" defaultSubtotal="0"/>
    <pivotField subtotalTop="0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axis="axisPage" numFmtId="166" multipleItemSelectionAllowed="1" showAll="0" defaultSubtotal="0">
      <items count="13">
        <item h="1" x="0"/>
        <item h="1" x="1"/>
        <item h="1" x="2"/>
        <item h="1" x="3"/>
        <item h="1" x="5"/>
        <item h="1" x="4"/>
        <item h="1" x="6"/>
        <item h="1" x="8"/>
        <item h="1" x="7"/>
        <item h="1" x="9"/>
        <item h="1" x="10"/>
        <item x="11"/>
        <item h="1" x="12"/>
      </items>
    </pivotField>
    <pivotField axis="axisPage" numFmtId="166" multipleItemSelectionAllowed="1" showAll="0" defaultSubtotal="0">
      <items count="9">
        <item x="6"/>
        <item h="1" x="0"/>
        <item h="1" x="1"/>
        <item h="1" x="2"/>
        <item h="1" x="4"/>
        <item h="1" x="3"/>
        <item h="1" x="5"/>
        <item h="1" x="7"/>
        <item h="1" x="8"/>
      </items>
    </pivotField>
    <pivotField subtotalTop="0" showAll="0" defaultSubtotal="0"/>
  </pivotFields>
  <rowFields count="2">
    <field x="1"/>
    <field x="3"/>
  </rowFields>
  <colFields count="1">
    <field x="-2"/>
  </colFields>
  <colItems count="2">
    <i>
      <x/>
    </i>
    <i i="1">
      <x v="1"/>
    </i>
  </colItems>
  <pageFields count="3">
    <pageField fld="14" hier="-1"/>
    <pageField fld="13" hier="-1"/>
    <pageField fld="2" hier="-1"/>
  </pageFields>
  <dataFields count="2">
    <dataField name="Somme de Temps d'arrêts" fld="12" baseField="3" baseItem="0"/>
    <dataField name="Nombre de Date fin intervention" fld="10" subtotal="count" baseField="0" baseItem="0"/>
  </dataFields>
  <chartFormats count="4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eau croisé dynamique1" cacheId="0" applyNumberFormats="0" applyBorderFormats="0" applyFontFormats="0" applyPatternFormats="0" applyAlignmentFormats="0" applyWidthHeightFormats="1" dataCaption="Valeurs" updatedVersion="8" minRefreshableVersion="3" showDrill="0" rowGrandTotals="0" colGrandTotals="0" itemPrintTitles="1" createdVersion="4" indent="0" outline="1" outlineData="1" multipleFieldFilters="0" rowHeaderCaption="Dates interventions">
  <location ref="A3:F7" firstHeaderRow="1" firstDataRow="1" firstDataCol="6" rowPageCount="1" colPageCount="1"/>
  <pivotFields count="16">
    <pivotField axis="axisRow" numFmtId="14" outline="0" showAll="0" sortType="ascending" defaultSubtotal="0">
      <items count="10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1028"/>
        <item x="1019"/>
        <item x="1022"/>
        <item x="1023"/>
        <item x="1020"/>
        <item x="989"/>
        <item x="1025"/>
        <item x="1024"/>
        <item x="990"/>
        <item x="991"/>
        <item x="1026"/>
        <item x="992"/>
        <item x="1027"/>
        <item x="1013"/>
        <item x="1029"/>
        <item x="1012"/>
        <item x="1030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14"/>
        <item x="1004"/>
        <item x="1005"/>
        <item x="1006"/>
        <item x="1007"/>
        <item x="1008"/>
        <item x="1009"/>
        <item x="1010"/>
        <item x="1011"/>
        <item x="1015"/>
        <item x="1016"/>
        <item x="1017"/>
        <item x="1018"/>
        <item x="1031"/>
        <item x="1032"/>
        <item x="1033"/>
        <item x="1034"/>
        <item x="1036"/>
        <item x="1037"/>
        <item x="1035"/>
        <item x="1021"/>
      </items>
    </pivotField>
    <pivotField showAll="0" defaultSubtotal="0"/>
    <pivotField axis="axisRow" outline="0" showAll="0" defaultSubtotal="0">
      <items count="11">
        <item x="6"/>
        <item x="1"/>
        <item x="2"/>
        <item x="0"/>
        <item x="3"/>
        <item x="5"/>
        <item x="4"/>
        <item x="8"/>
        <item x="9"/>
        <item x="7"/>
        <item x="10"/>
      </items>
    </pivotField>
    <pivotField axis="axisRow" outline="0" showAll="0" defaultSubtotal="0">
      <items count="42">
        <item x="5"/>
        <item x="4"/>
        <item x="7"/>
        <item x="21"/>
        <item x="23"/>
        <item x="24"/>
        <item x="14"/>
        <item x="8"/>
        <item x="3"/>
        <item x="2"/>
        <item x="0"/>
        <item x="16"/>
        <item x="11"/>
        <item x="10"/>
        <item x="1"/>
        <item x="20"/>
        <item x="22"/>
        <item x="25"/>
        <item x="19"/>
        <item x="26"/>
        <item x="28"/>
        <item x="29"/>
        <item x="30"/>
        <item x="6"/>
        <item x="9"/>
        <item x="15"/>
        <item x="32"/>
        <item x="34"/>
        <item x="35"/>
        <item x="36"/>
        <item x="37"/>
        <item x="33"/>
        <item x="18"/>
        <item x="31"/>
        <item x="27"/>
        <item x="12"/>
        <item x="13"/>
        <item x="17"/>
        <item x="38"/>
        <item x="39"/>
        <item x="40"/>
        <item x="41"/>
      </items>
    </pivotField>
    <pivotField subtotalTop="0" showAll="0" defaultSubtotal="0"/>
    <pivotField outline="0" showAll="0" defaultSubtotal="0"/>
    <pivotField showAll="0" defaultSubtotal="0"/>
    <pivotField axis="axisRow" outline="0" showAll="0" defaultSubtotal="0">
      <items count="1592">
        <item x="398"/>
        <item x="124"/>
        <item x="516"/>
        <item x="552"/>
        <item x="459"/>
        <item x="201"/>
        <item x="68"/>
        <item x="153"/>
        <item x="226"/>
        <item x="18"/>
        <item x="289"/>
        <item x="284"/>
        <item x="365"/>
        <item x="579"/>
        <item x="292"/>
        <item x="349"/>
        <item x="354"/>
        <item x="169"/>
        <item x="190"/>
        <item x="483"/>
        <item x="95"/>
        <item x="256"/>
        <item x="321"/>
        <item x="314"/>
        <item x="525"/>
        <item x="184"/>
        <item x="384"/>
        <item x="416"/>
        <item x="136"/>
        <item x="268"/>
        <item x="460"/>
        <item x="352"/>
        <item x="532"/>
        <item x="319"/>
        <item x="224"/>
        <item x="312"/>
        <item x="393"/>
        <item x="502"/>
        <item x="92"/>
        <item x="41"/>
        <item x="326"/>
        <item x="524"/>
        <item x="374"/>
        <item x="383"/>
        <item x="255"/>
        <item x="142"/>
        <item x="330"/>
        <item x="211"/>
        <item x="174"/>
        <item x="243"/>
        <item x="215"/>
        <item x="196"/>
        <item x="29"/>
        <item x="493"/>
        <item x="335"/>
        <item x="42"/>
        <item x="144"/>
        <item x="258"/>
        <item x="375"/>
        <item x="246"/>
        <item x="197"/>
        <item x="231"/>
        <item x="539"/>
        <item x="54"/>
        <item x="302"/>
        <item x="541"/>
        <item x="198"/>
        <item x="272"/>
        <item x="316"/>
        <item x="503"/>
        <item x="327"/>
        <item x="55"/>
        <item x="168"/>
        <item x="517"/>
        <item x="67"/>
        <item x="30"/>
        <item x="240"/>
        <item x="147"/>
        <item x="19"/>
        <item x="219"/>
        <item x="133"/>
        <item x="279"/>
        <item x="186"/>
        <item x="195"/>
        <item x="123"/>
        <item x="329"/>
        <item x="523"/>
        <item x="446"/>
        <item x="318"/>
        <item x="76"/>
        <item x="261"/>
        <item x="36"/>
        <item x="391"/>
        <item x="70"/>
        <item x="521"/>
        <item x="220"/>
        <item x="252"/>
        <item x="315"/>
        <item x="372"/>
        <item x="442"/>
        <item x="313"/>
        <item x="262"/>
        <item x="188"/>
        <item x="427"/>
        <item x="379"/>
        <item x="530"/>
        <item x="249"/>
        <item x="254"/>
        <item x="199"/>
        <item x="72"/>
        <item x="311"/>
        <item x="122"/>
        <item x="57"/>
        <item x="270"/>
        <item x="309"/>
        <item x="99"/>
        <item x="431"/>
        <item x="376"/>
        <item x="340"/>
        <item x="380"/>
        <item x="233"/>
        <item x="362"/>
        <item x="426"/>
        <item x="214"/>
        <item x="135"/>
        <item x="538"/>
        <item x="276"/>
        <item x="264"/>
        <item x="479"/>
        <item x="235"/>
        <item x="405"/>
        <item x="553"/>
        <item x="477"/>
        <item x="554"/>
        <item x="475"/>
        <item x="290"/>
        <item x="556"/>
        <item x="322"/>
        <item x="331"/>
        <item x="526"/>
        <item x="514"/>
        <item x="443"/>
        <item x="347"/>
        <item x="403"/>
        <item x="404"/>
        <item x="449"/>
        <item x="410"/>
        <item x="286"/>
        <item x="9"/>
        <item x="200"/>
        <item x="425"/>
        <item x="185"/>
        <item x="143"/>
        <item x="377"/>
        <item x="417"/>
        <item x="213"/>
        <item x="260"/>
        <item x="167"/>
        <item x="239"/>
        <item x="245"/>
        <item x="250"/>
        <item x="486"/>
        <item x="522"/>
        <item x="259"/>
        <item x="385"/>
        <item x="228"/>
        <item x="216"/>
        <item x="555"/>
        <item x="191"/>
        <item x="531"/>
        <item x="146"/>
        <item x="371"/>
        <item x="546"/>
        <item x="82"/>
        <item x="44"/>
        <item x="343"/>
        <item x="79"/>
        <item x="212"/>
        <item x="510"/>
        <item x="437"/>
        <item x="368"/>
        <item x="388"/>
        <item x="164"/>
        <item x="344"/>
        <item x="428"/>
        <item x="180"/>
        <item x="48"/>
        <item x="253"/>
        <item x="469"/>
        <item x="500"/>
        <item x="448"/>
        <item x="444"/>
        <item x="350"/>
        <item x="489"/>
        <item x="498"/>
        <item x="439"/>
        <item x="550"/>
        <item x="310"/>
        <item x="435"/>
        <item x="496"/>
        <item x="170"/>
        <item x="361"/>
        <item x="396"/>
        <item x="415"/>
        <item x="456"/>
        <item x="367"/>
        <item x="132"/>
        <item x="513"/>
        <item x="244"/>
        <item x="299"/>
        <item x="23"/>
        <item x="222"/>
        <item x="14"/>
        <item x="91"/>
        <item x="152"/>
        <item x="39"/>
        <item x="378"/>
        <item x="49"/>
        <item x="100"/>
        <item x="141"/>
        <item x="232"/>
        <item x="107"/>
        <item x="156"/>
        <item x="53"/>
        <item x="87"/>
        <item x="424"/>
        <item x="518"/>
        <item x="208"/>
        <item x="59"/>
        <item x="43"/>
        <item x="60"/>
        <item x="332"/>
        <item x="37"/>
        <item x="192"/>
        <item x="355"/>
        <item x="189"/>
        <item x="324"/>
        <item x="301"/>
        <item x="346"/>
        <item x="512"/>
        <item x="337"/>
        <item x="62"/>
        <item x="238"/>
        <item x="221"/>
        <item x="35"/>
        <item x="509"/>
        <item x="421"/>
        <item x="86"/>
        <item x="187"/>
        <item x="296"/>
        <item x="317"/>
        <item x="210"/>
        <item x="389"/>
        <item x="505"/>
        <item x="83"/>
        <item x="306"/>
        <item x="356"/>
        <item x="370"/>
        <item x="422"/>
        <item x="369"/>
        <item x="176"/>
        <item x="287"/>
        <item x="453"/>
        <item x="447"/>
        <item x="227"/>
        <item x="241"/>
        <item x="179"/>
        <item x="166"/>
        <item x="348"/>
        <item x="499"/>
        <item x="247"/>
        <item x="308"/>
        <item x="114"/>
        <item x="236"/>
        <item x="491"/>
        <item x="10"/>
        <item x="177"/>
        <item x="488"/>
        <item x="281"/>
        <item x="533"/>
        <item x="116"/>
        <item x="282"/>
        <item x="263"/>
        <item x="113"/>
        <item x="74"/>
        <item x="320"/>
        <item x="534"/>
        <item x="467"/>
        <item x="506"/>
        <item x="481"/>
        <item x="458"/>
        <item x="178"/>
        <item x="487"/>
        <item x="551"/>
        <item x="27"/>
        <item x="527"/>
        <item x="549"/>
        <item x="515"/>
        <item x="406"/>
        <item x="420"/>
        <item x="445"/>
        <item x="430"/>
        <item x="454"/>
        <item x="31"/>
        <item x="125"/>
        <item x="412"/>
        <item x="451"/>
        <item x="230"/>
        <item x="108"/>
        <item x="102"/>
        <item x="545"/>
        <item x="93"/>
        <item x="536"/>
        <item x="508"/>
        <item x="183"/>
        <item x="206"/>
        <item x="248"/>
        <item x="160"/>
        <item x="407"/>
        <item x="353"/>
        <item x="182"/>
        <item x="225"/>
        <item x="271"/>
        <item x="257"/>
        <item x="433"/>
        <item x="434"/>
        <item x="129"/>
        <item x="32"/>
        <item x="293"/>
        <item x="482"/>
        <item x="468"/>
        <item x="366"/>
        <item x="478"/>
        <item x="450"/>
        <item x="151"/>
        <item x="409"/>
        <item x="519"/>
        <item x="537"/>
        <item x="359"/>
        <item x="26"/>
        <item x="436"/>
        <item x="535"/>
        <item x="297"/>
        <item x="520"/>
        <item x="495"/>
        <item x="40"/>
        <item x="4"/>
        <item x="112"/>
        <item x="131"/>
        <item x="24"/>
        <item x="418"/>
        <item x="269"/>
        <item x="130"/>
        <item x="97"/>
        <item x="203"/>
        <item x="172"/>
        <item x="61"/>
        <item x="111"/>
        <item x="119"/>
        <item x="56"/>
        <item x="65"/>
        <item x="94"/>
        <item x="6"/>
        <item x="544"/>
        <item x="104"/>
        <item x="66"/>
        <item x="109"/>
        <item x="34"/>
        <item x="120"/>
        <item x="557"/>
        <item x="96"/>
        <item x="38"/>
        <item x="85"/>
        <item x="2"/>
        <item x="471"/>
        <item x="121"/>
        <item x="283"/>
        <item x="105"/>
        <item x="161"/>
        <item x="202"/>
        <item x="47"/>
        <item x="7"/>
        <item x="194"/>
        <item x="173"/>
        <item x="363"/>
        <item x="64"/>
        <item x="381"/>
        <item x="373"/>
        <item x="358"/>
        <item x="33"/>
        <item x="73"/>
        <item x="452"/>
        <item x="386"/>
        <item x="441"/>
        <item x="360"/>
        <item x="103"/>
        <item x="159"/>
        <item x="333"/>
        <item x="401"/>
        <item x="338"/>
        <item x="80"/>
        <item x="193"/>
        <item x="22"/>
        <item x="51"/>
        <item x="294"/>
        <item x="138"/>
        <item x="50"/>
        <item x="345"/>
        <item x="110"/>
        <item x="204"/>
        <item x="46"/>
        <item x="126"/>
        <item x="399"/>
        <item x="58"/>
        <item x="81"/>
        <item x="128"/>
        <item x="16"/>
        <item x="413"/>
        <item x="474"/>
        <item x="394"/>
        <item x="455"/>
        <item x="465"/>
        <item x="387"/>
        <item x="288"/>
        <item x="88"/>
        <item x="328"/>
        <item x="547"/>
        <item x="237"/>
        <item x="490"/>
        <item x="149"/>
        <item x="305"/>
        <item x="364"/>
        <item x="137"/>
        <item x="274"/>
        <item x="504"/>
        <item x="325"/>
        <item x="542"/>
        <item x="414"/>
        <item x="411"/>
        <item x="205"/>
        <item x="17"/>
        <item x="155"/>
        <item x="466"/>
        <item x="117"/>
        <item x="20"/>
        <item x="12"/>
        <item x="1"/>
        <item x="339"/>
        <item x="21"/>
        <item x="15"/>
        <item x="115"/>
        <item x="303"/>
        <item x="397"/>
        <item x="140"/>
        <item x="494"/>
        <item x="408"/>
        <item x="90"/>
        <item x="242"/>
        <item x="440"/>
        <item x="300"/>
        <item x="98"/>
        <item x="267"/>
        <item x="89"/>
        <item x="470"/>
        <item x="52"/>
        <item x="543"/>
        <item x="528"/>
        <item x="134"/>
        <item x="390"/>
        <item x="165"/>
        <item x="181"/>
        <item x="285"/>
        <item x="341"/>
        <item x="511"/>
        <item x="106"/>
        <item x="217"/>
        <item x="307"/>
        <item x="11"/>
        <item x="139"/>
        <item x="295"/>
        <item x="209"/>
        <item x="158"/>
        <item x="392"/>
        <item x="395"/>
        <item x="540"/>
        <item x="84"/>
        <item x="484"/>
        <item x="429"/>
        <item x="207"/>
        <item x="336"/>
        <item x="148"/>
        <item x="419"/>
        <item x="462"/>
        <item x="485"/>
        <item x="464"/>
        <item x="463"/>
        <item x="473"/>
        <item x="423"/>
        <item x="25"/>
        <item x="71"/>
        <item x="69"/>
        <item x="461"/>
        <item x="5"/>
        <item x="334"/>
        <item x="223"/>
        <item x="77"/>
        <item x="273"/>
        <item x="251"/>
        <item x="266"/>
        <item x="101"/>
        <item x="492"/>
        <item x="501"/>
        <item x="157"/>
        <item x="278"/>
        <item x="175"/>
        <item x="480"/>
        <item x="162"/>
        <item x="118"/>
        <item x="229"/>
        <item x="171"/>
        <item x="323"/>
        <item x="28"/>
        <item x="457"/>
        <item x="13"/>
        <item x="507"/>
        <item x="8"/>
        <item x="75"/>
        <item x="45"/>
        <item x="351"/>
        <item x="497"/>
        <item x="304"/>
        <item x="382"/>
        <item x="145"/>
        <item x="529"/>
        <item x="438"/>
        <item x="291"/>
        <item x="163"/>
        <item x="432"/>
        <item x="265"/>
        <item x="150"/>
        <item x="78"/>
        <item x="154"/>
        <item x="402"/>
        <item x="400"/>
        <item x="342"/>
        <item x="476"/>
        <item x="234"/>
        <item x="218"/>
        <item x="3"/>
        <item x="280"/>
        <item x="357"/>
        <item x="275"/>
        <item x="277"/>
        <item x="298"/>
        <item x="63"/>
        <item x="0"/>
        <item x="580"/>
        <item x="12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81"/>
        <item x="582"/>
        <item x="583"/>
        <item x="584"/>
        <item x="585"/>
        <item x="588"/>
        <item x="589"/>
        <item x="590"/>
        <item x="591"/>
        <item x="592"/>
        <item x="593"/>
        <item x="594"/>
        <item x="595"/>
        <item x="597"/>
        <item x="598"/>
        <item x="578"/>
        <item x="586"/>
        <item x="587"/>
        <item x="596"/>
        <item x="599"/>
        <item x="600"/>
        <item x="601"/>
        <item x="607"/>
        <item x="611"/>
        <item x="612"/>
        <item x="616"/>
        <item x="617"/>
        <item x="619"/>
        <item x="614"/>
        <item x="621"/>
        <item x="623"/>
        <item x="624"/>
        <item x="625"/>
        <item x="626"/>
        <item x="629"/>
        <item x="602"/>
        <item x="603"/>
        <item x="604"/>
        <item x="605"/>
        <item x="606"/>
        <item x="608"/>
        <item x="609"/>
        <item x="610"/>
        <item x="613"/>
        <item x="615"/>
        <item x="618"/>
        <item x="620"/>
        <item x="622"/>
        <item x="627"/>
        <item x="628"/>
        <item x="633"/>
        <item x="634"/>
        <item x="639"/>
        <item x="640"/>
        <item x="641"/>
        <item x="642"/>
        <item x="630"/>
        <item x="631"/>
        <item x="632"/>
        <item x="635"/>
        <item x="637"/>
        <item x="638"/>
        <item x="643"/>
        <item x="644"/>
        <item x="645"/>
        <item x="646"/>
        <item x="647"/>
        <item x="636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9"/>
        <item x="670"/>
        <item x="671"/>
        <item x="679"/>
        <item x="680"/>
        <item x="673"/>
        <item x="675"/>
        <item x="676"/>
        <item x="681"/>
        <item x="683"/>
        <item x="684"/>
        <item x="686"/>
        <item x="687"/>
        <item x="693"/>
        <item x="696"/>
        <item x="697"/>
        <item x="698"/>
        <item x="699"/>
        <item x="708"/>
        <item x="700"/>
        <item x="701"/>
        <item x="702"/>
        <item x="703"/>
        <item x="704"/>
        <item x="707"/>
        <item x="709"/>
        <item x="719"/>
        <item x="710"/>
        <item x="711"/>
        <item x="712"/>
        <item x="685"/>
        <item x="713"/>
        <item x="721"/>
        <item x="714"/>
        <item x="715"/>
        <item x="722"/>
        <item x="729"/>
        <item x="717"/>
        <item x="738"/>
        <item x="718"/>
        <item x="720"/>
        <item x="723"/>
        <item x="747"/>
        <item x="753"/>
        <item x="724"/>
        <item x="725"/>
        <item x="726"/>
        <item x="727"/>
        <item x="754"/>
        <item x="730"/>
        <item x="731"/>
        <item x="732"/>
        <item x="733"/>
        <item x="734"/>
        <item x="735"/>
        <item x="736"/>
        <item x="737"/>
        <item x="758"/>
        <item x="739"/>
        <item x="740"/>
        <item x="705"/>
        <item x="741"/>
        <item x="743"/>
        <item x="744"/>
        <item x="742"/>
        <item x="745"/>
        <item x="748"/>
        <item x="749"/>
        <item x="750"/>
        <item x="751"/>
        <item x="752"/>
        <item x="755"/>
        <item x="756"/>
        <item x="759"/>
        <item x="706"/>
        <item x="716"/>
        <item x="757"/>
        <item x="797"/>
        <item x="761"/>
        <item x="762"/>
        <item x="763"/>
        <item x="728"/>
        <item x="746"/>
        <item x="760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672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674"/>
        <item x="677"/>
        <item x="678"/>
        <item x="682"/>
        <item x="690"/>
        <item x="689"/>
        <item x="688"/>
        <item x="691"/>
        <item x="692"/>
        <item x="695"/>
        <item x="694"/>
        <item x="798"/>
        <item x="796"/>
        <item x="799"/>
        <item x="800"/>
        <item x="801"/>
        <item x="803"/>
        <item x="802"/>
        <item x="804"/>
        <item x="806"/>
        <item x="805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5"/>
        <item x="836"/>
        <item x="837"/>
        <item x="838"/>
        <item x="839"/>
        <item x="840"/>
        <item x="841"/>
        <item x="842"/>
        <item x="843"/>
        <item x="548"/>
        <item x="834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3"/>
        <item x="954"/>
        <item x="952"/>
        <item x="955"/>
        <item x="956"/>
        <item x="957"/>
        <item x="959"/>
        <item x="958"/>
        <item x="960"/>
        <item x="961"/>
        <item x="962"/>
        <item x="963"/>
        <item x="964"/>
        <item x="965"/>
        <item x="966"/>
        <item x="967"/>
        <item x="968"/>
        <item x="977"/>
        <item x="983"/>
        <item x="988"/>
        <item x="991"/>
        <item x="992"/>
        <item x="969"/>
        <item x="970"/>
        <item x="972"/>
        <item x="974"/>
        <item x="975"/>
        <item x="976"/>
        <item x="980"/>
        <item x="981"/>
        <item x="985"/>
        <item x="989"/>
        <item x="993"/>
        <item x="994"/>
        <item x="982"/>
        <item x="978"/>
        <item x="986"/>
        <item x="987"/>
        <item x="971"/>
        <item x="973"/>
        <item x="979"/>
        <item x="984"/>
        <item x="990"/>
        <item x="995"/>
        <item x="997"/>
        <item x="998"/>
        <item x="1001"/>
        <item x="1002"/>
        <item x="1003"/>
        <item x="1004"/>
        <item x="1005"/>
        <item x="1007"/>
        <item x="1008"/>
        <item x="999"/>
        <item x="996"/>
        <item x="1000"/>
        <item x="1014"/>
        <item x="1015"/>
        <item x="1016"/>
        <item x="1009"/>
        <item x="1017"/>
        <item x="1018"/>
        <item x="1019"/>
        <item x="1006"/>
        <item x="1011"/>
        <item x="1013"/>
        <item x="1010"/>
        <item x="1021"/>
        <item x="1023"/>
        <item x="1022"/>
        <item x="1025"/>
        <item x="1026"/>
        <item x="1027"/>
        <item x="1031"/>
        <item x="1028"/>
        <item x="1033"/>
        <item x="1024"/>
        <item x="1029"/>
        <item x="1032"/>
        <item x="1038"/>
        <item x="1020"/>
        <item x="1040"/>
        <item x="1034"/>
        <item x="1030"/>
        <item x="1046"/>
        <item x="1041"/>
        <item x="1047"/>
        <item x="1058"/>
        <item x="1059"/>
        <item x="1012"/>
        <item x="1102"/>
        <item x="1035"/>
        <item x="1060"/>
        <item x="1042"/>
        <item x="1061"/>
        <item x="1062"/>
        <item x="1051"/>
        <item x="1075"/>
        <item x="1110"/>
        <item x="1106"/>
        <item x="1101"/>
        <item x="1087"/>
        <item x="1103"/>
        <item x="1107"/>
        <item x="1104"/>
        <item x="1093"/>
        <item x="1088"/>
        <item x="1089"/>
        <item x="1096"/>
        <item x="1097"/>
        <item x="1098"/>
        <item x="1094"/>
        <item x="1095"/>
        <item x="1090"/>
        <item x="1099"/>
        <item x="1105"/>
        <item x="1112"/>
        <item x="1100"/>
        <item x="1114"/>
        <item x="1115"/>
        <item x="1091"/>
        <item x="1113"/>
        <item x="1111"/>
        <item x="1117"/>
        <item x="1118"/>
        <item x="1119"/>
        <item x="1120"/>
        <item x="1128"/>
        <item x="1129"/>
        <item x="1130"/>
        <item x="1136"/>
        <item x="1137"/>
        <item x="1139"/>
        <item x="1140"/>
        <item x="1143"/>
        <item x="1144"/>
        <item x="1146"/>
        <item x="1150"/>
        <item x="1151"/>
        <item x="1152"/>
        <item x="1165"/>
        <item x="1168"/>
        <item x="1172"/>
        <item x="1176"/>
        <item x="1179"/>
        <item x="1180"/>
        <item x="1184"/>
        <item x="1186"/>
        <item x="1187"/>
        <item x="1188"/>
        <item x="1194"/>
        <item x="1195"/>
        <item x="1196"/>
        <item x="1203"/>
        <item x="1206"/>
        <item x="1208"/>
        <item x="1147"/>
        <item x="1163"/>
        <item x="1164"/>
        <item x="1170"/>
        <item x="1121"/>
        <item x="1122"/>
        <item x="1173"/>
        <item x="1185"/>
        <item x="1181"/>
        <item x="668"/>
        <item x="1036"/>
        <item x="1037"/>
        <item x="1039"/>
        <item x="1043"/>
        <item x="1044"/>
        <item x="1045"/>
        <item x="1048"/>
        <item x="1049"/>
        <item x="1050"/>
        <item x="1052"/>
        <item x="1053"/>
        <item x="1054"/>
        <item x="1055"/>
        <item x="1056"/>
        <item x="1057"/>
        <item x="1063"/>
        <item x="1064"/>
        <item x="1065"/>
        <item x="1066"/>
        <item x="1067"/>
        <item x="1068"/>
        <item x="1069"/>
        <item x="1070"/>
        <item x="1071"/>
        <item x="1073"/>
        <item x="1074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108"/>
        <item x="1109"/>
        <item x="1116"/>
        <item x="1123"/>
        <item x="1124"/>
        <item x="1125"/>
        <item x="1126"/>
        <item x="1127"/>
        <item x="1131"/>
        <item x="1132"/>
        <item x="1133"/>
        <item x="1134"/>
        <item x="1135"/>
        <item x="1138"/>
        <item x="1141"/>
        <item x="1142"/>
        <item x="1145"/>
        <item x="1148"/>
        <item x="1149"/>
        <item x="1153"/>
        <item x="1154"/>
        <item x="1155"/>
        <item x="1156"/>
        <item x="1157"/>
        <item x="1158"/>
        <item x="1159"/>
        <item x="1160"/>
        <item x="1161"/>
        <item x="1162"/>
        <item x="1166"/>
        <item x="1167"/>
        <item x="1169"/>
        <item x="1171"/>
        <item x="1174"/>
        <item x="1175"/>
        <item x="1177"/>
        <item x="1178"/>
        <item x="1182"/>
        <item x="1183"/>
        <item x="1189"/>
        <item x="1190"/>
        <item x="1191"/>
        <item x="1192"/>
        <item x="1193"/>
        <item x="1197"/>
        <item x="1198"/>
        <item x="1199"/>
        <item x="1200"/>
        <item x="1201"/>
        <item x="1202"/>
        <item x="1204"/>
        <item x="1205"/>
        <item x="1207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8"/>
        <item x="1249"/>
        <item x="1251"/>
        <item x="1252"/>
        <item x="1254"/>
        <item x="1255"/>
        <item x="1256"/>
        <item x="1257"/>
        <item x="1258"/>
        <item x="1259"/>
        <item x="1260"/>
        <item x="1261"/>
        <item x="1263"/>
        <item x="1265"/>
        <item x="1266"/>
        <item x="1267"/>
        <item x="1268"/>
        <item x="1269"/>
        <item x="1270"/>
        <item x="1273"/>
        <item x="1274"/>
        <item x="1275"/>
        <item x="1276"/>
        <item x="1277"/>
        <item x="1278"/>
        <item x="1280"/>
        <item x="1282"/>
        <item x="1284"/>
        <item x="1285"/>
        <item x="1287"/>
        <item x="1288"/>
        <item x="1289"/>
        <item x="1291"/>
        <item x="1292"/>
        <item x="1293"/>
        <item x="1298"/>
        <item x="1299"/>
        <item x="1300"/>
        <item x="1302"/>
        <item x="1304"/>
        <item x="1305"/>
        <item x="1307"/>
        <item x="1311"/>
        <item x="1314"/>
        <item x="1315"/>
        <item x="1317"/>
        <item x="1072"/>
        <item x="1262"/>
        <item x="1318"/>
        <item x="1319"/>
        <item x="1322"/>
        <item x="1324"/>
        <item x="1327"/>
        <item x="1332"/>
        <item x="1333"/>
        <item x="1341"/>
        <item x="1342"/>
        <item x="1345"/>
        <item x="1328"/>
        <item x="1329"/>
        <item x="1325"/>
        <item x="1330"/>
        <item x="1334"/>
        <item x="1344"/>
        <item x="1281"/>
        <item x="1283"/>
        <item x="1294"/>
        <item x="1295"/>
        <item x="1301"/>
        <item x="1316"/>
        <item x="1320"/>
        <item x="1279"/>
        <item x="1323"/>
        <item x="1331"/>
        <item x="1335"/>
        <item x="1336"/>
        <item x="1337"/>
        <item x="1343"/>
        <item x="1366"/>
        <item x="1358"/>
        <item x="1353"/>
        <item x="1250"/>
        <item x="1253"/>
        <item x="1264"/>
        <item x="1271"/>
        <item x="1272"/>
        <item x="1296"/>
        <item x="1297"/>
        <item x="1308"/>
        <item x="1312"/>
        <item x="1321"/>
        <item x="1326"/>
        <item x="1338"/>
        <item x="1347"/>
        <item x="1348"/>
        <item x="1349"/>
        <item x="1350"/>
        <item x="1351"/>
        <item x="1352"/>
        <item x="1354"/>
        <item x="1355"/>
        <item x="1356"/>
        <item x="1357"/>
        <item x="1359"/>
        <item x="1360"/>
        <item x="1361"/>
        <item x="1362"/>
        <item x="1363"/>
        <item x="1364"/>
        <item x="1365"/>
        <item x="1367"/>
        <item x="1368"/>
        <item x="1247"/>
        <item x="1371"/>
        <item x="1373"/>
        <item x="1374"/>
        <item x="1375"/>
        <item x="1376"/>
        <item x="1378"/>
        <item x="1380"/>
        <item x="1381"/>
        <item x="1385"/>
        <item x="1395"/>
        <item x="1392"/>
        <item x="1402"/>
        <item x="1406"/>
        <item x="1396"/>
        <item x="1399"/>
        <item x="1401"/>
        <item x="1403"/>
        <item x="1411"/>
        <item x="1397"/>
        <item x="1398"/>
        <item x="1400"/>
        <item x="1407"/>
        <item x="1409"/>
        <item x="1413"/>
        <item x="1414"/>
        <item x="1418"/>
        <item x="1408"/>
        <item x="1404"/>
        <item x="1286"/>
        <item x="1290"/>
        <item x="1303"/>
        <item x="1306"/>
        <item x="1309"/>
        <item x="1310"/>
        <item x="1313"/>
        <item x="1339"/>
        <item x="1340"/>
        <item x="1346"/>
        <item x="1369"/>
        <item x="1370"/>
        <item x="1372"/>
        <item x="1377"/>
        <item x="1379"/>
        <item x="1382"/>
        <item x="1383"/>
        <item x="1384"/>
        <item x="1386"/>
        <item x="1387"/>
        <item x="1388"/>
        <item x="1389"/>
        <item x="1390"/>
        <item x="1391"/>
        <item x="1393"/>
        <item x="1394"/>
        <item x="1405"/>
        <item x="1419"/>
        <item x="1420"/>
        <item x="1421"/>
        <item x="1422"/>
        <item x="1092"/>
        <item x="1410"/>
        <item x="1412"/>
        <item x="1415"/>
        <item x="472"/>
        <item x="1416"/>
        <item x="1417"/>
        <item x="1427"/>
        <item x="1423"/>
        <item x="1424"/>
        <item x="1425"/>
        <item x="1426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</items>
    </pivotField>
    <pivotField subtotalTop="0" showAll="0" defaultSubtotal="0"/>
    <pivotField axis="axisRow" outline="0" showAll="0" defaultSubtotal="0">
      <items count="1915">
        <item x="126"/>
        <item x="122"/>
        <item x="119"/>
        <item x="97"/>
        <item x="106"/>
        <item x="74"/>
        <item x="94"/>
        <item x="79"/>
        <item x="31"/>
        <item x="17"/>
        <item x="89"/>
        <item x="72"/>
        <item x="96"/>
        <item x="71"/>
        <item x="128"/>
        <item x="35"/>
        <item x="104"/>
        <item x="18"/>
        <item x="46"/>
        <item x="24"/>
        <item x="39"/>
        <item x="127"/>
        <item x="32"/>
        <item x="75"/>
        <item x="95"/>
        <item x="82"/>
        <item x="49"/>
        <item x="86"/>
        <item x="129"/>
        <item x="125"/>
        <item x="43"/>
        <item x="83"/>
        <item x="115"/>
        <item x="59"/>
        <item x="93"/>
        <item x="9"/>
        <item x="61"/>
        <item x="57"/>
        <item x="77"/>
        <item x="13"/>
        <item x="34"/>
        <item x="30"/>
        <item x="73"/>
        <item x="108"/>
        <item x="47"/>
        <item x="117"/>
        <item x="68"/>
        <item x="60"/>
        <item x="132"/>
        <item x="27"/>
        <item x="26"/>
        <item x="28"/>
        <item x="41"/>
        <item x="8"/>
        <item x="4"/>
        <item x="23"/>
        <item x="78"/>
        <item x="64"/>
        <item x="114"/>
        <item x="16"/>
        <item x="51"/>
        <item x="110"/>
        <item x="107"/>
        <item x="81"/>
        <item x="3"/>
        <item x="6"/>
        <item x="21"/>
        <item x="58"/>
        <item x="112"/>
        <item x="19"/>
        <item x="7"/>
        <item x="63"/>
        <item x="54"/>
        <item x="80"/>
        <item x="29"/>
        <item x="67"/>
        <item x="123"/>
        <item x="38"/>
        <item x="124"/>
        <item x="42"/>
        <item x="56"/>
        <item x="70"/>
        <item x="120"/>
        <item x="65"/>
        <item x="36"/>
        <item x="15"/>
        <item x="22"/>
        <item x="48"/>
        <item x="121"/>
        <item x="84"/>
        <item x="102"/>
        <item x="87"/>
        <item x="1"/>
        <item x="103"/>
        <item x="100"/>
        <item x="37"/>
        <item x="33"/>
        <item x="62"/>
        <item x="52"/>
        <item x="44"/>
        <item x="2"/>
        <item x="55"/>
        <item x="12"/>
        <item x="50"/>
        <item x="76"/>
        <item x="69"/>
        <item x="0"/>
        <item x="85"/>
        <item x="20"/>
        <item x="66"/>
        <item x="91"/>
        <item x="45"/>
        <item x="25"/>
        <item x="92"/>
        <item x="130"/>
        <item x="88"/>
        <item x="111"/>
        <item x="53"/>
        <item x="40"/>
        <item x="101"/>
        <item x="11"/>
        <item x="10"/>
        <item x="14"/>
        <item x="5"/>
        <item x="99"/>
        <item x="133"/>
        <item x="134"/>
        <item x="135"/>
        <item x="137"/>
        <item x="138"/>
        <item x="139"/>
        <item x="140"/>
        <item x="141"/>
        <item x="142"/>
        <item x="144"/>
        <item x="145"/>
        <item x="147"/>
        <item x="148"/>
        <item x="146"/>
        <item x="149"/>
        <item x="152"/>
        <item x="153"/>
        <item x="160"/>
        <item x="136"/>
        <item x="154"/>
        <item x="155"/>
        <item x="156"/>
        <item x="98"/>
        <item x="157"/>
        <item x="158"/>
        <item x="159"/>
        <item x="161"/>
        <item x="162"/>
        <item x="90"/>
        <item x="163"/>
        <item x="164"/>
        <item x="165"/>
        <item x="166"/>
        <item x="167"/>
        <item x="168"/>
        <item x="170"/>
        <item x="171"/>
        <item x="172"/>
        <item x="150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sd="0" x="189"/>
        <item x="190"/>
        <item x="192"/>
        <item x="193"/>
        <item x="194"/>
        <item x="195"/>
        <item x="196"/>
        <item x="197"/>
        <item x="198"/>
        <item x="202"/>
        <item x="203"/>
        <item x="204"/>
        <item x="151"/>
        <item x="116"/>
        <item x="191"/>
        <item x="199"/>
        <item x="200"/>
        <item x="201"/>
        <item x="205"/>
        <item x="206"/>
        <item x="208"/>
        <item x="209"/>
        <item x="210"/>
        <item x="211"/>
        <item x="212"/>
        <item x="213"/>
        <item x="214"/>
        <item x="216"/>
        <item x="220"/>
        <item x="221"/>
        <item x="223"/>
        <item x="217"/>
        <item x="218"/>
        <item x="207"/>
        <item x="224"/>
        <item x="105"/>
        <item x="215"/>
        <item x="225"/>
        <item x="226"/>
        <item x="227"/>
        <item x="228"/>
        <item x="230"/>
        <item x="231"/>
        <item x="240"/>
        <item x="245"/>
        <item x="242"/>
        <item x="238"/>
        <item x="243"/>
        <item x="169"/>
        <item x="219"/>
        <item x="222"/>
        <item x="229"/>
        <item x="232"/>
        <item x="233"/>
        <item x="234"/>
        <item x="235"/>
        <item x="236"/>
        <item x="237"/>
        <item x="239"/>
        <item x="241"/>
        <item x="246"/>
        <item x="247"/>
        <item x="249"/>
        <item x="250"/>
        <item x="251"/>
        <item x="248"/>
        <item x="244"/>
        <item x="252"/>
        <item x="253"/>
        <item x="255"/>
        <item x="256"/>
        <item x="259"/>
        <item x="257"/>
        <item x="258"/>
        <item x="260"/>
        <item x="254"/>
        <item x="263"/>
        <item x="264"/>
        <item x="261"/>
        <item x="262"/>
        <item x="276"/>
        <item x="279"/>
        <item x="265"/>
        <item x="266"/>
        <item x="267"/>
        <item x="268"/>
        <item x="269"/>
        <item x="270"/>
        <item x="271"/>
        <item x="272"/>
        <item x="275"/>
        <item x="274"/>
        <item x="277"/>
        <item x="280"/>
        <item x="278"/>
        <item x="118"/>
        <item x="282"/>
        <item x="283"/>
        <item x="284"/>
        <item x="287"/>
        <item x="288"/>
        <item x="289"/>
        <item x="131"/>
        <item x="294"/>
        <item x="290"/>
        <item x="297"/>
        <item x="302"/>
        <item x="305"/>
        <item x="308"/>
        <item x="143"/>
        <item x="311"/>
        <item x="314"/>
        <item x="113"/>
        <item x="320"/>
        <item x="322"/>
        <item x="325"/>
        <item x="315"/>
        <item x="318"/>
        <item x="321"/>
        <item x="312"/>
        <item x="323"/>
        <item x="328"/>
        <item x="273"/>
        <item x="329"/>
        <item x="298"/>
        <item x="296"/>
        <item x="281"/>
        <item x="285"/>
        <item x="286"/>
        <item x="291"/>
        <item x="292"/>
        <item x="293"/>
        <item x="295"/>
        <item x="299"/>
        <item x="300"/>
        <item x="301"/>
        <item x="303"/>
        <item x="304"/>
        <item x="306"/>
        <item x="307"/>
        <item x="309"/>
        <item x="310"/>
        <item x="313"/>
        <item x="317"/>
        <item x="319"/>
        <item x="324"/>
        <item x="326"/>
        <item x="327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50"/>
        <item x="349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1"/>
        <item x="372"/>
        <item x="373"/>
        <item x="374"/>
        <item x="375"/>
        <item x="376"/>
        <item x="370"/>
        <item x="377"/>
        <item x="378"/>
        <item x="379"/>
        <item x="380"/>
        <item x="381"/>
        <item x="382"/>
        <item x="383"/>
        <item x="384"/>
        <item x="109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3"/>
        <item x="407"/>
        <item x="409"/>
        <item x="411"/>
        <item x="410"/>
        <item x="412"/>
        <item x="419"/>
        <item x="421"/>
        <item x="422"/>
        <item x="423"/>
        <item x="404"/>
        <item x="415"/>
        <item x="416"/>
        <item x="418"/>
        <item x="420"/>
        <item x="432"/>
        <item x="430"/>
        <item x="402"/>
        <item x="405"/>
        <item x="406"/>
        <item x="408"/>
        <item x="413"/>
        <item x="414"/>
        <item x="417"/>
        <item x="424"/>
        <item x="425"/>
        <item x="426"/>
        <item x="427"/>
        <item x="434"/>
        <item x="438"/>
        <item x="428"/>
        <item x="433"/>
        <item x="437"/>
        <item x="429"/>
        <item x="431"/>
        <item x="436"/>
        <item x="439"/>
        <item x="440"/>
        <item x="441"/>
        <item x="442"/>
        <item x="443"/>
        <item x="445"/>
        <item x="446"/>
        <item x="447"/>
        <item x="450"/>
        <item x="459"/>
        <item x="464"/>
        <item x="467"/>
        <item x="468"/>
        <item x="470"/>
        <item x="471"/>
        <item x="448"/>
        <item x="454"/>
        <item x="465"/>
        <item x="449"/>
        <item x="451"/>
        <item x="452"/>
        <item x="455"/>
        <item x="457"/>
        <item x="458"/>
        <item x="460"/>
        <item x="461"/>
        <item x="462"/>
        <item x="463"/>
        <item x="472"/>
        <item x="473"/>
        <item x="474"/>
        <item x="466"/>
        <item x="469"/>
        <item x="435"/>
        <item x="444"/>
        <item x="456"/>
        <item x="453"/>
        <item x="477"/>
        <item x="479"/>
        <item x="480"/>
        <item x="475"/>
        <item x="476"/>
        <item x="478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7"/>
        <item x="498"/>
        <item x="499"/>
        <item x="496"/>
        <item x="500"/>
        <item x="501"/>
        <item x="503"/>
        <item x="506"/>
        <item x="502"/>
        <item x="504"/>
        <item x="505"/>
        <item x="507"/>
        <item x="508"/>
        <item x="509"/>
        <item x="512"/>
        <item x="513"/>
        <item x="514"/>
        <item x="510"/>
        <item x="515"/>
        <item x="516"/>
        <item x="517"/>
        <item x="518"/>
        <item x="519"/>
        <item x="520"/>
        <item x="521"/>
        <item x="522"/>
        <item x="523"/>
        <item x="524"/>
        <item x="528"/>
        <item x="529"/>
        <item x="511"/>
        <item x="525"/>
        <item x="526"/>
        <item x="527"/>
        <item x="530"/>
        <item x="531"/>
        <item x="534"/>
        <item x="532"/>
        <item x="533"/>
        <item x="536"/>
        <item x="538"/>
        <item x="539"/>
        <item x="545"/>
        <item x="547"/>
        <item x="548"/>
        <item x="553"/>
        <item x="557"/>
        <item x="537"/>
        <item x="540"/>
        <item x="541"/>
        <item x="542"/>
        <item x="543"/>
        <item x="544"/>
        <item x="546"/>
        <item x="549"/>
        <item x="550"/>
        <item x="551"/>
        <item x="552"/>
        <item x="554"/>
        <item x="555"/>
        <item x="558"/>
        <item x="559"/>
        <item x="560"/>
        <item x="561"/>
        <item x="562"/>
        <item x="556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2"/>
        <item x="585"/>
        <item x="586"/>
        <item x="588"/>
        <item x="593"/>
        <item x="594"/>
        <item x="601"/>
        <item x="602"/>
        <item x="607"/>
        <item x="608"/>
        <item x="610"/>
        <item x="580"/>
        <item x="581"/>
        <item x="583"/>
        <item x="584"/>
        <item x="587"/>
        <item x="589"/>
        <item x="590"/>
        <item x="591"/>
        <item x="592"/>
        <item x="595"/>
        <item x="596"/>
        <item x="597"/>
        <item x="598"/>
        <item x="599"/>
        <item x="603"/>
        <item x="600"/>
        <item x="604"/>
        <item x="605"/>
        <item x="609"/>
        <item x="611"/>
        <item x="612"/>
        <item x="614"/>
        <item x="617"/>
        <item x="618"/>
        <item x="535"/>
        <item x="613"/>
        <item x="615"/>
        <item x="616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2"/>
        <item x="633"/>
        <item x="637"/>
        <item x="652"/>
        <item x="645"/>
        <item x="631"/>
        <item x="634"/>
        <item x="635"/>
        <item x="636"/>
        <item x="638"/>
        <item x="639"/>
        <item x="640"/>
        <item x="641"/>
        <item x="643"/>
        <item x="644"/>
        <item x="646"/>
        <item x="647"/>
        <item x="648"/>
        <item x="649"/>
        <item x="650"/>
        <item x="651"/>
        <item x="653"/>
        <item x="655"/>
        <item x="657"/>
        <item x="654"/>
        <item x="658"/>
        <item x="659"/>
        <item x="660"/>
        <item x="661"/>
        <item x="662"/>
        <item x="664"/>
        <item x="663"/>
        <item x="665"/>
        <item x="666"/>
        <item x="667"/>
        <item x="668"/>
        <item x="669"/>
        <item x="670"/>
        <item x="671"/>
        <item x="656"/>
        <item x="672"/>
        <item x="673"/>
        <item x="674"/>
        <item x="675"/>
        <item x="606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10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826"/>
        <item x="726"/>
        <item x="728"/>
        <item x="729"/>
        <item x="730"/>
        <item x="731"/>
        <item x="727"/>
        <item x="725"/>
        <item x="708"/>
        <item x="709"/>
        <item x="711"/>
        <item x="733"/>
        <item x="734"/>
        <item x="735"/>
        <item x="736"/>
        <item x="739"/>
        <item x="740"/>
        <item x="742"/>
        <item x="743"/>
        <item x="744"/>
        <item x="745"/>
        <item x="746"/>
        <item x="747"/>
        <item x="748"/>
        <item x="749"/>
        <item x="768"/>
        <item x="774"/>
        <item x="775"/>
        <item x="776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9"/>
        <item x="770"/>
        <item x="771"/>
        <item x="772"/>
        <item x="773"/>
        <item x="777"/>
        <item x="778"/>
        <item x="779"/>
        <item x="780"/>
        <item x="781"/>
        <item x="782"/>
        <item x="784"/>
        <item x="785"/>
        <item x="786"/>
        <item x="787"/>
        <item x="788"/>
        <item x="789"/>
        <item x="790"/>
        <item x="791"/>
        <item x="792"/>
        <item x="794"/>
        <item x="795"/>
        <item x="783"/>
        <item x="793"/>
        <item x="796"/>
        <item x="797"/>
        <item x="798"/>
        <item x="802"/>
        <item x="807"/>
        <item x="808"/>
        <item x="811"/>
        <item x="812"/>
        <item x="813"/>
        <item x="809"/>
        <item x="815"/>
        <item x="817"/>
        <item x="818"/>
        <item x="819"/>
        <item x="820"/>
        <item x="822"/>
        <item x="825"/>
        <item x="799"/>
        <item x="800"/>
        <item x="801"/>
        <item x="803"/>
        <item x="804"/>
        <item x="805"/>
        <item x="806"/>
        <item x="810"/>
        <item x="814"/>
        <item x="816"/>
        <item x="821"/>
        <item x="823"/>
        <item x="824"/>
        <item x="829"/>
        <item x="831"/>
        <item x="834"/>
        <item x="835"/>
        <item x="836"/>
        <item x="841"/>
        <item x="842"/>
        <item x="845"/>
        <item x="846"/>
        <item x="827"/>
        <item x="828"/>
        <item x="830"/>
        <item x="832"/>
        <item x="833"/>
        <item x="837"/>
        <item x="838"/>
        <item x="839"/>
        <item x="840"/>
        <item x="843"/>
        <item x="844"/>
        <item x="847"/>
        <item x="848"/>
        <item x="849"/>
        <item x="850"/>
        <item x="851"/>
        <item x="852"/>
        <item x="853"/>
        <item x="854"/>
        <item x="855"/>
        <item x="856"/>
        <item x="858"/>
        <item x="857"/>
        <item x="859"/>
        <item x="860"/>
        <item x="861"/>
        <item x="862"/>
        <item x="863"/>
        <item x="864"/>
        <item x="865"/>
        <item x="724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3"/>
        <item x="884"/>
        <item x="900"/>
        <item x="899"/>
        <item x="901"/>
        <item x="902"/>
        <item x="886"/>
        <item x="890"/>
        <item x="893"/>
        <item x="891"/>
        <item x="892"/>
        <item x="895"/>
        <item x="896"/>
        <item x="897"/>
        <item x="904"/>
        <item x="905"/>
        <item x="907"/>
        <item x="908"/>
        <item x="909"/>
        <item x="910"/>
        <item x="914"/>
        <item x="916"/>
        <item x="917"/>
        <item x="921"/>
        <item x="923"/>
        <item x="925"/>
        <item x="926"/>
        <item x="927"/>
        <item x="928"/>
        <item x="929"/>
        <item x="940"/>
        <item x="930"/>
        <item x="931"/>
        <item x="932"/>
        <item x="933"/>
        <item x="934"/>
        <item x="937"/>
        <item x="938"/>
        <item x="939"/>
        <item x="941"/>
        <item x="942"/>
        <item x="943"/>
        <item x="944"/>
        <item x="887"/>
        <item x="945"/>
        <item x="946"/>
        <item x="947"/>
        <item x="958"/>
        <item x="948"/>
        <item x="949"/>
        <item x="959"/>
        <item x="951"/>
        <item x="965"/>
        <item x="952"/>
        <item x="974"/>
        <item x="954"/>
        <item x="956"/>
        <item x="957"/>
        <item x="984"/>
        <item x="960"/>
        <item x="961"/>
        <item x="986"/>
        <item x="962"/>
        <item x="963"/>
        <item x="993"/>
        <item x="966"/>
        <item x="967"/>
        <item x="997"/>
        <item x="968"/>
        <item x="970"/>
        <item x="971"/>
        <item x="972"/>
        <item x="973"/>
        <item x="998"/>
        <item x="975"/>
        <item x="976"/>
        <item x="935"/>
        <item x="977"/>
        <item x="978"/>
        <item x="964"/>
        <item x="980"/>
        <item x="981"/>
        <item x="982"/>
        <item x="979"/>
        <item x="983"/>
        <item x="985"/>
        <item x="987"/>
        <item x="988"/>
        <item x="989"/>
        <item x="990"/>
        <item x="991"/>
        <item x="994"/>
        <item x="995"/>
        <item x="999"/>
        <item x="936"/>
        <item x="950"/>
        <item x="996"/>
        <item x="953"/>
        <item x="955"/>
        <item x="96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885"/>
        <item x="889"/>
        <item x="888"/>
        <item x="894"/>
        <item x="898"/>
        <item x="903"/>
        <item x="906"/>
        <item x="912"/>
        <item x="911"/>
        <item x="913"/>
        <item x="915"/>
        <item x="992"/>
        <item x="920"/>
        <item x="918"/>
        <item x="919"/>
        <item x="922"/>
        <item x="924"/>
        <item x="1040"/>
        <item x="1041"/>
        <item x="1042"/>
        <item x="1043"/>
        <item x="1046"/>
        <item x="1044"/>
        <item x="1045"/>
        <item x="1048"/>
        <item x="1049"/>
        <item x="1047"/>
        <item x="1050"/>
        <item x="1052"/>
        <item x="1051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2"/>
        <item x="1083"/>
        <item x="1084"/>
        <item x="1085"/>
        <item x="1086"/>
        <item x="1087"/>
        <item x="1081"/>
        <item x="1088"/>
        <item x="1089"/>
        <item x="1090"/>
        <item x="1091"/>
        <item x="1092"/>
        <item x="1093"/>
        <item x="732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3"/>
        <item x="1174"/>
        <item x="1175"/>
        <item x="1176"/>
        <item x="1177"/>
        <item x="1178"/>
        <item x="1179"/>
        <item x="1180"/>
        <item x="1181"/>
        <item x="1182"/>
        <item x="1185"/>
        <item x="1186"/>
        <item x="1172"/>
        <item x="1184"/>
        <item x="1183"/>
        <item x="1187"/>
        <item x="1192"/>
        <item x="1188"/>
        <item x="1189"/>
        <item x="1190"/>
        <item x="1191"/>
        <item x="1193"/>
        <item x="1194"/>
        <item x="1195"/>
        <item x="1196"/>
        <item x="1197"/>
        <item x="1198"/>
        <item x="1199"/>
        <item x="1209"/>
        <item x="1215"/>
        <item x="1219"/>
        <item x="1220"/>
        <item x="1224"/>
        <item x="1217"/>
        <item x="1200"/>
        <item x="1201"/>
        <item x="1204"/>
        <item x="1206"/>
        <item x="1207"/>
        <item x="1208"/>
        <item x="1212"/>
        <item x="1213"/>
        <item x="1221"/>
        <item x="1222"/>
        <item x="1218"/>
        <item x="1225"/>
        <item x="1214"/>
        <item x="1210"/>
        <item x="1202"/>
        <item x="1205"/>
        <item x="1211"/>
        <item x="1216"/>
        <item x="1223"/>
        <item x="1226"/>
        <item x="1228"/>
        <item x="1229"/>
        <item x="1234"/>
        <item x="1235"/>
        <item x="1236"/>
        <item x="1237"/>
        <item x="1238"/>
        <item x="1240"/>
        <item x="1233"/>
        <item x="1203"/>
        <item x="1231"/>
        <item x="1227"/>
        <item x="1232"/>
        <item x="1248"/>
        <item x="1249"/>
        <item x="1250"/>
        <item x="1252"/>
        <item x="1253"/>
        <item x="1230"/>
        <item x="1239"/>
        <item x="1242"/>
        <item x="1247"/>
        <item x="1245"/>
        <item x="1244"/>
        <item x="1243"/>
        <item x="1258"/>
        <item x="1267"/>
        <item x="1260"/>
        <item x="1261"/>
        <item x="1264"/>
        <item x="1265"/>
        <item x="1268"/>
        <item x="1266"/>
        <item x="1275"/>
        <item x="1273"/>
        <item x="1269"/>
        <item x="1276"/>
        <item x="1262"/>
        <item x="1271"/>
        <item x="1270"/>
        <item x="1272"/>
        <item x="1263"/>
        <item x="1274"/>
        <item x="1281"/>
        <item x="1282"/>
        <item x="1283"/>
        <item x="1284"/>
        <item x="1259"/>
        <item x="1292"/>
        <item x="1297"/>
        <item x="1287"/>
        <item x="1293"/>
        <item x="1304"/>
        <item x="1246"/>
        <item x="1251"/>
        <item x="1254"/>
        <item x="1241"/>
        <item x="1305"/>
        <item x="1352"/>
        <item x="1277"/>
        <item x="1278"/>
        <item x="1294"/>
        <item x="1306"/>
        <item x="1321"/>
        <item x="1365"/>
        <item x="1359"/>
        <item x="1353"/>
        <item x="1354"/>
        <item x="1349"/>
        <item x="1333"/>
        <item x="1360"/>
        <item x="1345"/>
        <item x="1357"/>
        <item x="1339"/>
        <item x="1334"/>
        <item x="1335"/>
        <item x="1340"/>
        <item x="1343"/>
        <item x="1346"/>
        <item x="1342"/>
        <item x="1341"/>
        <item x="1336"/>
        <item x="1347"/>
        <item x="1350"/>
        <item x="1358"/>
        <item x="1367"/>
        <item x="1355"/>
        <item x="1351"/>
        <item x="1348"/>
        <item x="1369"/>
        <item x="1370"/>
        <item x="1337"/>
        <item x="1344"/>
        <item x="1368"/>
        <item x="1356"/>
        <item x="1361"/>
        <item x="1366"/>
        <item x="1372"/>
        <item x="1373"/>
        <item x="1374"/>
        <item x="1375"/>
        <item x="1383"/>
        <item x="1384"/>
        <item x="1385"/>
        <item x="1391"/>
        <item x="1392"/>
        <item x="1394"/>
        <item x="1397"/>
        <item x="1398"/>
        <item x="1400"/>
        <item x="1401"/>
        <item x="1404"/>
        <item x="1407"/>
        <item x="1408"/>
        <item x="1409"/>
        <item x="1410"/>
        <item x="1423"/>
        <item x="1426"/>
        <item x="1431"/>
        <item x="1435"/>
        <item x="1439"/>
        <item x="1441"/>
        <item x="1444"/>
        <item x="1445"/>
        <item x="1451"/>
        <item x="1452"/>
        <item x="1453"/>
        <item x="1454"/>
        <item x="1462"/>
        <item x="1466"/>
        <item x="1402"/>
        <item x="1403"/>
        <item x="1421"/>
        <item x="1422"/>
        <item x="1427"/>
        <item x="1376"/>
        <item x="1377"/>
        <item x="1432"/>
        <item x="1437"/>
        <item x="1442"/>
        <item x="316"/>
        <item x="882"/>
        <item x="1279"/>
        <item x="1280"/>
        <item x="1285"/>
        <item x="1286"/>
        <item x="1288"/>
        <item x="1289"/>
        <item x="1290"/>
        <item x="1291"/>
        <item x="1295"/>
        <item x="1296"/>
        <item x="1298"/>
        <item x="1299"/>
        <item x="1300"/>
        <item x="1301"/>
        <item x="1302"/>
        <item x="1303"/>
        <item x="1307"/>
        <item x="1308"/>
        <item x="1309"/>
        <item x="1310"/>
        <item x="1311"/>
        <item x="1312"/>
        <item x="1313"/>
        <item x="1314"/>
        <item x="1315"/>
        <item x="1316"/>
        <item x="1318"/>
        <item x="1319"/>
        <item x="1320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62"/>
        <item x="1363"/>
        <item x="1364"/>
        <item x="1371"/>
        <item x="1378"/>
        <item x="1379"/>
        <item x="1380"/>
        <item x="1381"/>
        <item x="1382"/>
        <item x="1386"/>
        <item x="1387"/>
        <item x="1388"/>
        <item x="1389"/>
        <item x="1390"/>
        <item x="1393"/>
        <item x="1395"/>
        <item x="1396"/>
        <item x="1399"/>
        <item x="1405"/>
        <item x="1406"/>
        <item x="1411"/>
        <item x="1412"/>
        <item x="1413"/>
        <item x="1414"/>
        <item x="1415"/>
        <item x="1416"/>
        <item x="1417"/>
        <item x="1418"/>
        <item x="1419"/>
        <item x="1420"/>
        <item x="1424"/>
        <item x="1425"/>
        <item x="1428"/>
        <item x="1430"/>
        <item x="1433"/>
        <item x="1434"/>
        <item x="1436"/>
        <item x="1438"/>
        <item x="1440"/>
        <item x="1443"/>
        <item x="1446"/>
        <item x="1447"/>
        <item x="1448"/>
        <item x="1449"/>
        <item x="1450"/>
        <item x="1455"/>
        <item x="1456"/>
        <item x="1457"/>
        <item x="1458"/>
        <item x="1459"/>
        <item x="1460"/>
        <item x="1461"/>
        <item x="1463"/>
        <item x="1464"/>
        <item x="1465"/>
        <item x="1467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9"/>
        <item x="1510"/>
        <item x="1511"/>
        <item x="1513"/>
        <item x="1514"/>
        <item x="1516"/>
        <item x="1517"/>
        <item x="1518"/>
        <item x="1519"/>
        <item x="1520"/>
        <item x="1521"/>
        <item x="1522"/>
        <item x="1523"/>
        <item x="1525"/>
        <item x="1527"/>
        <item x="1528"/>
        <item x="1529"/>
        <item x="1530"/>
        <item x="1531"/>
        <item x="1532"/>
        <item x="1535"/>
        <item x="1536"/>
        <item x="1537"/>
        <item x="1538"/>
        <item x="1540"/>
        <item x="1541"/>
        <item x="1543"/>
        <item x="1545"/>
        <item x="1547"/>
        <item x="1548"/>
        <item x="1551"/>
        <item x="1552"/>
        <item x="1553"/>
        <item x="1555"/>
        <item x="1556"/>
        <item x="1557"/>
        <item x="1561"/>
        <item x="1562"/>
        <item x="1563"/>
        <item x="1564"/>
        <item x="1566"/>
        <item x="1568"/>
        <item x="1569"/>
        <item x="1571"/>
        <item x="1572"/>
        <item x="1576"/>
        <item x="1579"/>
        <item x="1582"/>
        <item x="1317"/>
        <item x="1524"/>
        <item x="1583"/>
        <item x="1584"/>
        <item x="1559"/>
        <item x="1592"/>
        <item x="1596"/>
        <item x="1599"/>
        <item x="1600"/>
        <item x="1601"/>
        <item x="1608"/>
        <item x="1611"/>
        <item x="1614"/>
        <item x="1615"/>
        <item x="1593"/>
        <item x="1589"/>
        <item x="1594"/>
        <item x="1602"/>
        <item x="1603"/>
        <item x="1613"/>
        <item x="1544"/>
        <item x="1546"/>
        <item x="1558"/>
        <item x="1565"/>
        <item x="1581"/>
        <item x="1542"/>
        <item x="1580"/>
        <item x="1585"/>
        <item x="1586"/>
        <item x="1588"/>
        <item x="1590"/>
        <item x="1595"/>
        <item x="1597"/>
        <item x="1598"/>
        <item x="1604"/>
        <item x="1605"/>
        <item x="1612"/>
        <item x="1638"/>
        <item x="1633"/>
        <item x="1628"/>
        <item x="1625"/>
        <item x="1512"/>
        <item x="1515"/>
        <item x="1526"/>
        <item x="1533"/>
        <item x="1534"/>
        <item x="1560"/>
        <item x="1573"/>
        <item x="1577"/>
        <item x="1587"/>
        <item x="1591"/>
        <item x="1606"/>
        <item x="1609"/>
        <item x="1617"/>
        <item x="1618"/>
        <item x="1620"/>
        <item x="1621"/>
        <item x="1622"/>
        <item x="1623"/>
        <item x="1624"/>
        <item x="1626"/>
        <item x="1627"/>
        <item x="1629"/>
        <item x="1630"/>
        <item x="1631"/>
        <item x="1632"/>
        <item x="1634"/>
        <item x="1635"/>
        <item x="1636"/>
        <item x="1637"/>
        <item x="1639"/>
        <item x="1640"/>
        <item x="1508"/>
        <item x="1643"/>
        <item x="1645"/>
        <item x="1646"/>
        <item x="1647"/>
        <item x="1648"/>
        <item x="1650"/>
        <item x="1651"/>
        <item x="1653"/>
        <item x="1654"/>
        <item x="1655"/>
        <item x="1657"/>
        <item x="1660"/>
        <item x="1673"/>
        <item x="1683"/>
        <item x="1684"/>
        <item x="1685"/>
        <item x="1686"/>
        <item x="1687"/>
        <item x="1688"/>
        <item x="1692"/>
        <item x="1695"/>
        <item x="1680"/>
        <item x="1689"/>
        <item x="1697"/>
        <item x="1698"/>
        <item x="1678"/>
        <item x="1681"/>
        <item x="1682"/>
        <item x="1679"/>
        <item x="1693"/>
        <item x="1696"/>
        <item x="1700"/>
        <item x="1701"/>
        <item x="1702"/>
        <item x="1707"/>
        <item x="1694"/>
        <item x="1690"/>
        <item x="1549"/>
        <item x="1550"/>
        <item x="1554"/>
        <item x="1567"/>
        <item x="1570"/>
        <item x="1574"/>
        <item x="1575"/>
        <item x="1578"/>
        <item x="1607"/>
        <item x="1610"/>
        <item x="1616"/>
        <item x="1619"/>
        <item x="1641"/>
        <item x="1642"/>
        <item x="1644"/>
        <item x="1649"/>
        <item x="1652"/>
        <item x="1656"/>
        <item x="1658"/>
        <item x="1659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4"/>
        <item x="1675"/>
        <item x="1676"/>
        <item x="1677"/>
        <item x="1691"/>
        <item x="1708"/>
        <item x="1709"/>
        <item x="1710"/>
        <item x="1711"/>
        <item x="1338"/>
        <item x="1699"/>
        <item x="1703"/>
        <item x="1704"/>
        <item x="642"/>
        <item x="737"/>
        <item x="1255"/>
        <item x="1539"/>
        <item x="738"/>
        <item x="741"/>
        <item x="1256"/>
        <item x="1257"/>
        <item x="1429"/>
        <item x="1468"/>
        <item x="1705"/>
        <item x="1706"/>
        <item x="1716"/>
        <item x="1712"/>
        <item x="1713"/>
        <item x="1714"/>
        <item x="1715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</items>
    </pivotField>
    <pivotField axis="axisPage" multipleItemSelectionAllowed="1" showAll="0" defaultSubtotal="0">
      <items count="1047">
        <item h="1" x="75"/>
        <item x="833"/>
        <item h="1" x="40"/>
        <item h="1" x="41"/>
        <item h="1" x="43"/>
        <item h="1" x="44"/>
        <item h="1" x="45"/>
        <item h="1" x="46"/>
        <item h="1" x="47"/>
        <item h="1" x="48"/>
        <item h="1" x="50"/>
        <item h="1" x="49"/>
        <item h="1" x="51"/>
        <item h="1" x="54"/>
        <item h="1" x="55"/>
        <item h="1" x="57"/>
        <item h="1" x="58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8"/>
        <item h="1" x="39"/>
        <item h="1" x="42"/>
        <item h="1" x="56"/>
        <item h="1" x="59"/>
        <item h="1" x="60"/>
        <item h="1" x="61"/>
        <item h="1" x="62"/>
        <item h="1" x="63"/>
        <item h="1" x="65"/>
        <item h="1" x="52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6"/>
        <item h="1" x="77"/>
        <item h="1" x="78"/>
        <item h="1" x="80"/>
        <item h="1" x="82"/>
        <item h="1" x="53"/>
        <item h="1" x="79"/>
        <item h="1" x="83"/>
        <item h="1" x="84"/>
        <item h="1" x="86"/>
        <item h="1" x="87"/>
        <item h="1" x="88"/>
        <item h="1" x="90"/>
        <item h="1" x="91"/>
        <item h="1" x="89"/>
        <item h="1" x="85"/>
        <item h="1" x="92"/>
        <item h="1" x="94"/>
        <item h="1" x="95"/>
        <item h="1" x="102"/>
        <item h="1" x="105"/>
        <item h="1" x="103"/>
        <item h="1" x="99"/>
        <item h="1" x="100"/>
        <item h="1" x="93"/>
        <item h="1" x="96"/>
        <item h="1" x="101"/>
        <item h="1" x="106"/>
        <item h="1" x="108"/>
        <item h="1" x="109"/>
        <item h="1" x="110"/>
        <item h="1" x="111"/>
        <item h="1" x="112"/>
        <item h="1" x="113"/>
        <item h="1" x="114"/>
        <item h="1" x="104"/>
        <item h="1" x="116"/>
        <item h="1" x="115"/>
        <item h="1" x="117"/>
        <item h="1" x="119"/>
        <item h="1" x="120"/>
        <item h="1" x="121"/>
        <item h="1" x="118"/>
        <item h="1" x="123"/>
        <item h="1" x="124"/>
        <item h="1" x="127"/>
        <item h="1" x="128"/>
        <item h="1" x="132"/>
        <item h="1" x="130"/>
        <item h="1" x="135"/>
        <item h="1" x="138"/>
        <item h="1" x="139"/>
        <item h="1" x="140"/>
        <item h="1" x="141"/>
        <item h="1" x="142"/>
        <item h="1" x="145"/>
        <item h="1" x="146"/>
        <item h="1" x="147"/>
        <item h="1" x="148"/>
        <item h="1" x="149"/>
        <item h="1" x="134"/>
        <item h="1" x="122"/>
        <item h="1" x="131"/>
        <item h="1" x="136"/>
        <item h="1" x="137"/>
        <item h="1" x="107"/>
        <item h="1" x="144"/>
        <item h="1" x="151"/>
        <item h="1" x="152"/>
        <item h="1" x="153"/>
        <item h="1" x="154"/>
        <item h="1" x="143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50"/>
        <item h="1" x="171"/>
        <item h="1" x="172"/>
        <item h="1" x="173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7"/>
        <item h="1" x="189"/>
        <item h="1" x="190"/>
        <item h="1" x="185"/>
        <item h="1" x="186"/>
        <item h="1" x="188"/>
        <item h="1" x="192"/>
        <item h="1" x="195"/>
        <item h="1" x="191"/>
        <item h="1" x="193"/>
        <item h="1" x="196"/>
        <item h="1" x="197"/>
        <item h="1" x="201"/>
        <item h="1" x="200"/>
        <item h="1" x="202"/>
        <item h="1" x="204"/>
        <item h="1" x="174"/>
        <item h="1" x="206"/>
        <item h="1" x="207"/>
        <item h="1" x="209"/>
        <item h="1" x="210"/>
        <item h="1" x="199"/>
        <item h="1" x="211"/>
        <item h="1" x="213"/>
        <item h="1" x="205"/>
        <item h="1" x="198"/>
        <item h="1" x="208"/>
        <item h="1" x="203"/>
        <item h="1" x="212"/>
        <item h="1" x="64"/>
        <item h="1" x="214"/>
        <item h="1" x="215"/>
        <item h="1" x="216"/>
        <item h="1" x="217"/>
        <item h="1" x="218"/>
        <item h="1" x="219"/>
        <item h="1" x="220"/>
        <item h="1" x="223"/>
        <item h="1" x="222"/>
        <item h="1" x="224"/>
        <item h="1" x="225"/>
        <item h="1" x="227"/>
        <item h="1" x="226"/>
        <item h="1" x="228"/>
        <item h="1" x="229"/>
        <item h="1" x="230"/>
        <item h="1" x="231"/>
        <item h="1" x="232"/>
        <item h="1" x="233"/>
        <item h="1" x="236"/>
        <item h="1" x="234"/>
        <item h="1" x="239"/>
        <item h="1" x="237"/>
        <item h="1" x="238"/>
        <item h="1" x="241"/>
        <item h="1" x="242"/>
        <item h="1" x="243"/>
        <item h="1" x="245"/>
        <item h="1" x="246"/>
        <item h="1" x="244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0"/>
        <item h="1" x="37"/>
        <item h="1" x="256"/>
        <item h="1" x="257"/>
        <item h="1" x="259"/>
        <item h="1" x="260"/>
        <item h="1" x="261"/>
        <item h="1" x="262"/>
        <item h="1" x="264"/>
        <item h="1" x="81"/>
        <item h="1" x="97"/>
        <item h="1" x="98"/>
        <item h="1" x="125"/>
        <item h="1" x="126"/>
        <item h="1" x="129"/>
        <item h="1" x="221"/>
        <item h="1" x="235"/>
        <item h="1" x="258"/>
        <item h="1" x="265"/>
        <item h="1" x="266"/>
        <item h="1" x="268"/>
        <item h="1" x="267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40"/>
        <item h="1" x="280"/>
        <item h="1" x="281"/>
        <item h="1" x="282"/>
        <item h="1" x="294"/>
        <item h="1" x="288"/>
        <item h="1" x="295"/>
        <item h="1" x="194"/>
        <item h="1" x="283"/>
        <item h="1" x="284"/>
        <item h="1" x="285"/>
        <item h="1" x="286"/>
        <item h="1" x="287"/>
        <item h="1" x="289"/>
        <item h="1" x="290"/>
        <item h="1" x="291"/>
        <item h="1" x="292"/>
        <item h="1" x="293"/>
        <item h="1" x="296"/>
        <item h="1" x="298"/>
        <item h="1" x="133"/>
        <item h="1" x="299"/>
        <item h="1" x="300"/>
        <item h="1" x="303"/>
        <item h="1" x="304"/>
        <item h="1" x="301"/>
        <item h="1" x="305"/>
        <item h="1" x="306"/>
        <item h="1" x="307"/>
        <item h="1" x="308"/>
        <item h="1" x="311"/>
        <item h="1" x="263"/>
        <item h="1" x="309"/>
        <item h="1" x="310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5"/>
        <item h="1" x="338"/>
        <item h="1" x="339"/>
        <item h="1" x="340"/>
        <item h="1" x="342"/>
        <item h="1" x="343"/>
        <item h="1" x="337"/>
        <item h="1" x="344"/>
        <item h="1" x="345"/>
        <item h="1" x="346"/>
        <item h="1" x="347"/>
        <item h="1" x="348"/>
        <item h="1" x="349"/>
        <item h="1" x="351"/>
        <item h="1" x="352"/>
        <item h="1" x="353"/>
        <item h="1" x="350"/>
        <item h="1" x="333"/>
        <item h="1" x="334"/>
        <item h="1" x="336"/>
        <item h="1" x="354"/>
        <item h="1" x="355"/>
        <item h="1" x="356"/>
        <item h="1" x="358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74"/>
        <item h="1" x="377"/>
        <item h="1" x="378"/>
        <item h="1" x="369"/>
        <item h="1" x="370"/>
        <item h="1" x="371"/>
        <item h="1" x="372"/>
        <item h="1" x="373"/>
        <item h="1" x="375"/>
        <item h="1" x="379"/>
        <item h="1" x="380"/>
        <item h="1" x="381"/>
        <item h="1" x="382"/>
        <item h="1" x="383"/>
        <item h="1" x="384"/>
        <item h="1" x="385"/>
        <item h="1" x="297"/>
        <item h="1" x="376"/>
        <item h="1" x="386"/>
        <item h="1" x="387"/>
        <item h="1" x="388"/>
        <item h="1" x="389"/>
        <item h="1" x="392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6"/>
        <item h="1" x="408"/>
        <item h="1" x="390"/>
        <item h="1" x="391"/>
        <item h="1" x="393"/>
        <item h="1" x="405"/>
        <item h="1" x="407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9"/>
        <item h="1" x="430"/>
        <item h="1" x="431"/>
        <item h="1" x="433"/>
        <item h="1" x="434"/>
        <item h="1" x="436"/>
        <item h="1" x="437"/>
        <item h="1" x="438"/>
        <item h="1" x="439"/>
        <item h="1" x="441"/>
        <item h="1" x="442"/>
        <item h="1" x="443"/>
        <item h="1" x="444"/>
        <item h="1" x="428"/>
        <item h="1" x="432"/>
        <item h="1" x="440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35"/>
        <item h="1" x="456"/>
        <item h="1" x="457"/>
        <item h="1" x="460"/>
        <item h="1" x="467"/>
        <item h="1" x="468"/>
        <item h="1" x="461"/>
        <item h="1" x="462"/>
        <item h="1" x="463"/>
        <item h="1" x="464"/>
        <item h="1" x="465"/>
        <item h="1" x="469"/>
        <item h="1" x="459"/>
        <item h="1" x="471"/>
        <item h="1" x="472"/>
        <item h="1" x="473"/>
        <item h="1" x="474"/>
        <item h="1" x="475"/>
        <item h="1" x="341"/>
        <item h="1" x="476"/>
        <item h="1" x="477"/>
        <item h="1" x="478"/>
        <item h="1" x="479"/>
        <item h="1" x="480"/>
        <item h="1" x="482"/>
        <item h="1" x="486"/>
        <item h="1" x="481"/>
        <item h="1" x="490"/>
        <item h="1" x="483"/>
        <item h="1" x="484"/>
        <item h="1" x="485"/>
        <item h="1" x="491"/>
        <item h="1" x="487"/>
        <item h="1" x="488"/>
        <item h="1" x="493"/>
        <item h="1" x="495"/>
        <item h="1" x="489"/>
        <item h="1" x="497"/>
        <item h="1" x="500"/>
        <item h="1" x="492"/>
        <item h="1" x="501"/>
        <item h="1" x="494"/>
        <item h="1" x="496"/>
        <item h="1" x="498"/>
        <item h="1" x="499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466"/>
        <item h="1" x="470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h="1" x="541"/>
        <item h="1" x="542"/>
        <item h="1" x="543"/>
        <item h="1" x="544"/>
        <item h="1" x="545"/>
        <item h="1" x="546"/>
        <item h="1" x="547"/>
        <item h="1" x="548"/>
        <item h="1" x="549"/>
        <item h="1" x="550"/>
        <item h="1" x="551"/>
        <item h="1" x="552"/>
        <item h="1" x="553"/>
        <item h="1" x="554"/>
        <item h="1" x="555"/>
        <item h="1" x="556"/>
        <item h="1" x="558"/>
        <item h="1" x="559"/>
        <item h="1" x="560"/>
        <item h="1" x="561"/>
        <item h="1" x="562"/>
        <item h="1" x="564"/>
        <item h="1" x="565"/>
        <item h="1" x="566"/>
        <item h="1" x="567"/>
        <item h="1" x="568"/>
        <item h="1" x="569"/>
        <item h="1" x="570"/>
        <item h="1" x="571"/>
        <item h="1" x="573"/>
        <item h="1" x="563"/>
        <item h="1" x="572"/>
        <item h="1" x="577"/>
        <item h="1" x="575"/>
        <item h="1" x="574"/>
        <item h="1" x="576"/>
        <item h="1" x="578"/>
        <item h="1" x="579"/>
        <item h="1" x="583"/>
        <item h="1" x="585"/>
        <item h="1" x="587"/>
        <item h="1" x="589"/>
        <item h="1" x="581"/>
        <item h="1" x="582"/>
        <item h="1" x="584"/>
        <item h="1" x="586"/>
        <item h="1" x="588"/>
        <item h="1" x="590"/>
        <item h="1" x="591"/>
        <item h="1" x="593"/>
        <item h="1" x="595"/>
        <item h="1" x="596"/>
        <item h="1" x="597"/>
        <item h="1" x="598"/>
        <item h="1" x="599"/>
        <item h="1" x="594"/>
        <item h="1" x="580"/>
        <item h="1" x="592"/>
        <item h="1" x="609"/>
        <item h="1" x="610"/>
        <item h="1" x="611"/>
        <item h="1" x="612"/>
        <item h="1" x="602"/>
        <item h="1" x="601"/>
        <item h="1" x="608"/>
        <item h="1" x="606"/>
        <item h="1" x="605"/>
        <item h="1" x="603"/>
        <item h="1" x="617"/>
        <item h="1" x="313"/>
        <item h="1" x="619"/>
        <item h="1" x="620"/>
        <item h="1" x="625"/>
        <item h="1" x="621"/>
        <item h="1" x="622"/>
        <item h="1" x="623"/>
        <item h="1" x="627"/>
        <item h="1" x="626"/>
        <item h="1" x="624"/>
        <item h="1" x="630"/>
        <item h="1" x="618"/>
        <item h="1" x="628"/>
        <item h="1" x="631"/>
        <item h="1" x="632"/>
        <item h="1" x="633"/>
        <item h="1" x="607"/>
        <item h="1" x="613"/>
        <item h="1" x="629"/>
        <item h="1" x="635"/>
        <item h="1" x="655"/>
        <item h="1" x="652"/>
        <item h="1" x="648"/>
        <item h="1" x="646"/>
        <item h="1" x="639"/>
        <item h="1" x="642"/>
        <item h="1" x="649"/>
        <item h="1" x="641"/>
        <item h="1" x="643"/>
        <item h="1" x="644"/>
        <item h="1" x="645"/>
        <item h="1" x="640"/>
        <item h="1" x="650"/>
        <item h="1" x="654"/>
        <item h="1" x="653"/>
        <item h="1" x="647"/>
        <item h="1" x="651"/>
        <item h="1" x="656"/>
        <item h="1" x="657"/>
        <item h="1" x="659"/>
        <item h="1" x="662"/>
        <item h="1" x="663"/>
        <item h="1" x="664"/>
        <item h="1" x="666"/>
        <item h="1" x="668"/>
        <item h="1" x="669"/>
        <item h="1" x="670"/>
        <item h="1" x="674"/>
        <item h="1" x="676"/>
        <item h="1" x="679"/>
        <item h="1" x="315"/>
        <item h="1" x="683"/>
        <item h="1" x="660"/>
        <item h="1" x="684"/>
        <item h="1" x="688"/>
        <item h="1" x="689"/>
        <item h="1" x="690"/>
        <item h="1" x="673"/>
        <item h="1" x="675"/>
        <item h="1" x="677"/>
        <item h="1" x="661"/>
        <item h="1" x="680"/>
        <item h="1" x="682"/>
        <item h="1" x="458"/>
        <item h="1" x="634"/>
        <item h="1" x="636"/>
        <item h="1" x="637"/>
        <item h="1" x="638"/>
        <item h="1" x="658"/>
        <item h="1" x="665"/>
        <item h="1" x="667"/>
        <item h="1" x="671"/>
        <item h="1" x="672"/>
        <item h="1" x="681"/>
        <item h="1" x="685"/>
        <item h="1" x="686"/>
        <item h="1" x="687"/>
        <item h="1" x="691"/>
        <item h="1" x="692"/>
        <item h="1" x="693"/>
        <item h="1" x="694"/>
        <item h="1" x="695"/>
        <item h="1" x="696"/>
        <item h="1" x="697"/>
        <item h="1" x="698"/>
        <item h="1" x="699"/>
        <item h="1" x="700"/>
        <item h="1" x="701"/>
        <item h="1" x="702"/>
        <item h="1" x="703"/>
        <item h="1" x="704"/>
        <item h="1" x="705"/>
        <item h="1" x="706"/>
        <item h="1" x="707"/>
        <item h="1" x="708"/>
        <item h="1" x="709"/>
        <item h="1" x="710"/>
        <item h="1" x="711"/>
        <item h="1" x="712"/>
        <item h="1" x="713"/>
        <item h="1" x="714"/>
        <item h="1" x="715"/>
        <item h="1" x="716"/>
        <item h="1" x="717"/>
        <item h="1" x="720"/>
        <item h="1" x="721"/>
        <item h="1" x="718"/>
        <item h="1" x="722"/>
        <item h="1" x="723"/>
        <item h="1" x="724"/>
        <item h="1" x="725"/>
        <item h="1" x="727"/>
        <item h="1" x="728"/>
        <item h="1" x="729"/>
        <item h="1" x="731"/>
        <item h="1" x="732"/>
        <item h="1" x="733"/>
        <item h="1" x="735"/>
        <item h="1" x="736"/>
        <item h="1" x="737"/>
        <item h="1" x="738"/>
        <item h="1" x="739"/>
        <item h="1" x="740"/>
        <item h="1" x="741"/>
        <item h="1" x="742"/>
        <item h="1" x="746"/>
        <item h="1" x="745"/>
        <item h="1" x="726"/>
        <item h="1" x="743"/>
        <item h="1" x="747"/>
        <item h="1" x="734"/>
        <item h="1" x="730"/>
        <item h="1" x="719"/>
        <item h="1" x="744"/>
        <item h="1" x="753"/>
        <item h="1" x="759"/>
        <item h="1" x="757"/>
        <item h="1" x="748"/>
        <item h="1" x="749"/>
        <item h="1" x="751"/>
        <item h="1" x="752"/>
        <item h="1" x="754"/>
        <item h="1" x="755"/>
        <item h="1" x="756"/>
        <item h="1" x="758"/>
        <item h="1" x="760"/>
        <item h="1" x="761"/>
        <item h="1" x="762"/>
        <item h="1" x="764"/>
        <item h="1" x="766"/>
        <item h="1" x="767"/>
        <item h="1" x="768"/>
        <item h="1" x="769"/>
        <item h="1" x="770"/>
        <item h="1" x="771"/>
        <item h="1" x="773"/>
        <item h="1" x="791"/>
        <item h="1" x="795"/>
        <item h="1" x="796"/>
        <item h="1" x="798"/>
        <item h="1" x="799"/>
        <item h="1" x="800"/>
        <item h="1" x="801"/>
        <item h="1" x="793"/>
        <item h="1" x="797"/>
        <item h="1" x="804"/>
        <item h="1" x="790"/>
        <item h="1" x="794"/>
        <item h="1" x="792"/>
        <item h="1" x="802"/>
        <item h="1" x="805"/>
        <item h="1" x="806"/>
        <item h="1" x="807"/>
        <item h="1" x="808"/>
        <item h="1" x="750"/>
        <item h="1" x="763"/>
        <item h="1" x="765"/>
        <item h="1" x="772"/>
        <item h="1" x="774"/>
        <item h="1" x="775"/>
        <item h="1" x="776"/>
        <item h="1" x="777"/>
        <item h="1" x="778"/>
        <item h="1" x="779"/>
        <item h="1" x="780"/>
        <item h="1" x="781"/>
        <item h="1" x="782"/>
        <item h="1" x="783"/>
        <item h="1" x="784"/>
        <item h="1" x="785"/>
        <item h="1" x="786"/>
        <item h="1" x="787"/>
        <item h="1" x="788"/>
        <item h="1" x="811"/>
        <item h="1" x="812"/>
        <item h="1" x="813"/>
        <item h="1" x="815"/>
        <item h="1" x="816"/>
        <item h="1" x="803"/>
        <item h="1" x="302"/>
        <item h="1" x="557"/>
        <item h="1" x="614"/>
        <item h="1" x="789"/>
        <item h="1" x="357"/>
        <item h="1" x="359"/>
        <item h="1" x="604"/>
        <item h="1" x="615"/>
        <item h="1" x="616"/>
        <item h="1" x="678"/>
        <item h="1" x="316"/>
        <item h="1" x="600"/>
        <item h="1" x="809"/>
        <item h="1" x="810"/>
        <item h="1" x="814"/>
        <item h="1" x="817"/>
        <item h="1" x="818"/>
        <item h="1" x="819"/>
        <item h="1" x="820"/>
        <item h="1" x="821"/>
        <item h="1" x="822"/>
        <item h="1" x="823"/>
        <item h="1" x="824"/>
        <item h="1" x="825"/>
        <item h="1" x="826"/>
        <item h="1" x="827"/>
        <item h="1" x="828"/>
        <item h="1" x="829"/>
        <item h="1" x="830"/>
        <item h="1" x="831"/>
        <item h="1" x="832"/>
        <item h="1" x="835"/>
        <item h="1" x="836"/>
        <item h="1" x="837"/>
        <item h="1" x="838"/>
        <item h="1" x="839"/>
        <item h="1" x="840"/>
        <item h="1" x="841"/>
        <item h="1" x="842"/>
        <item h="1" x="843"/>
        <item h="1" x="845"/>
        <item h="1" x="846"/>
        <item h="1" x="847"/>
        <item h="1" x="848"/>
        <item h="1" x="849"/>
        <item h="1" x="850"/>
        <item h="1" x="851"/>
        <item h="1" x="852"/>
        <item h="1" x="853"/>
        <item h="1" x="854"/>
        <item h="1" x="855"/>
        <item h="1" x="856"/>
        <item h="1" x="857"/>
        <item h="1" x="858"/>
        <item h="1" x="859"/>
        <item h="1" x="860"/>
        <item h="1" x="861"/>
        <item h="1" x="862"/>
        <item h="1" x="863"/>
        <item h="1" x="864"/>
        <item h="1" x="844"/>
        <item h="1" x="312"/>
        <item h="1" x="314"/>
        <item h="1" x="317"/>
        <item h="1" x="834"/>
        <item h="1" x="865"/>
        <item h="1" x="866"/>
        <item h="1" x="867"/>
        <item h="1" x="868"/>
        <item h="1" x="869"/>
        <item h="1" x="870"/>
        <item h="1" x="871"/>
        <item h="1" x="872"/>
        <item h="1" x="873"/>
        <item h="1" x="874"/>
        <item h="1" x="875"/>
        <item h="1" x="876"/>
        <item h="1" x="877"/>
        <item h="1" x="878"/>
        <item h="1" x="879"/>
        <item h="1" x="880"/>
        <item h="1" x="881"/>
        <item h="1" x="882"/>
        <item h="1" x="883"/>
        <item h="1" x="884"/>
        <item h="1" x="885"/>
        <item h="1" x="886"/>
        <item h="1" x="887"/>
        <item h="1" x="888"/>
        <item h="1" x="889"/>
        <item h="1" x="890"/>
        <item h="1" x="891"/>
        <item h="1" x="892"/>
        <item h="1" x="893"/>
        <item h="1" x="894"/>
        <item h="1" x="895"/>
        <item h="1" x="896"/>
        <item h="1" x="897"/>
        <item h="1" x="898"/>
        <item h="1" x="899"/>
        <item h="1" x="900"/>
        <item h="1" x="901"/>
        <item h="1" x="902"/>
        <item h="1" x="903"/>
        <item h="1" x="904"/>
        <item h="1" x="905"/>
        <item h="1" x="906"/>
        <item h="1" x="907"/>
        <item h="1" x="908"/>
        <item h="1" x="909"/>
        <item h="1" x="910"/>
        <item h="1" x="911"/>
        <item h="1" x="912"/>
        <item h="1" x="913"/>
        <item h="1" x="914"/>
        <item h="1" x="915"/>
        <item h="1" x="916"/>
        <item h="1" x="917"/>
        <item h="1" x="918"/>
        <item h="1" x="919"/>
        <item h="1" x="920"/>
        <item h="1" x="921"/>
        <item h="1" x="922"/>
        <item h="1" x="923"/>
        <item h="1" x="924"/>
        <item h="1" x="925"/>
        <item h="1" x="926"/>
        <item h="1" x="927"/>
        <item h="1" x="928"/>
        <item h="1" x="929"/>
        <item h="1" x="930"/>
        <item h="1" x="931"/>
        <item h="1" x="932"/>
        <item h="1" x="933"/>
        <item h="1" x="934"/>
        <item h="1" x="935"/>
        <item h="1" x="936"/>
        <item h="1" x="937"/>
        <item h="1" x="938"/>
        <item h="1" x="939"/>
        <item h="1" x="940"/>
        <item h="1" x="941"/>
        <item h="1" x="942"/>
        <item h="1" x="943"/>
        <item h="1" x="944"/>
        <item h="1" x="945"/>
        <item h="1" x="946"/>
        <item h="1" x="947"/>
        <item h="1" x="948"/>
        <item h="1" x="949"/>
        <item h="1" x="950"/>
        <item h="1" x="951"/>
        <item h="1" x="952"/>
        <item h="1" x="953"/>
        <item h="1" x="954"/>
        <item h="1" x="955"/>
        <item h="1" x="956"/>
        <item h="1" x="957"/>
        <item h="1" x="958"/>
        <item h="1" x="959"/>
        <item h="1" x="960"/>
        <item h="1" x="961"/>
        <item h="1" x="962"/>
        <item h="1" x="963"/>
        <item h="1" x="964"/>
        <item h="1" x="965"/>
        <item h="1" x="966"/>
        <item h="1" x="967"/>
        <item h="1" x="968"/>
        <item h="1" x="969"/>
        <item h="1" x="970"/>
        <item h="1" x="971"/>
        <item h="1" x="972"/>
        <item h="1" x="973"/>
        <item h="1" x="974"/>
        <item h="1" x="975"/>
        <item h="1" x="976"/>
        <item h="1" x="977"/>
        <item h="1" x="978"/>
        <item h="1" x="979"/>
        <item h="1" x="980"/>
        <item h="1" x="981"/>
        <item h="1" x="982"/>
        <item h="1" x="983"/>
        <item h="1" x="984"/>
        <item h="1" x="985"/>
        <item h="1" x="986"/>
        <item h="1" x="987"/>
        <item h="1" x="988"/>
        <item h="1" x="989"/>
        <item h="1" x="990"/>
        <item h="1" x="991"/>
        <item h="1" x="992"/>
        <item h="1" x="993"/>
        <item h="1" x="994"/>
        <item h="1" x="995"/>
        <item h="1" x="996"/>
        <item h="1" x="997"/>
        <item h="1" x="998"/>
        <item h="1" x="999"/>
        <item h="1" x="1000"/>
        <item h="1" x="1001"/>
        <item h="1" x="1002"/>
        <item h="1" x="1003"/>
        <item h="1" x="1004"/>
        <item h="1" x="1005"/>
        <item h="1" x="1006"/>
        <item h="1" x="1007"/>
        <item h="1" x="1008"/>
        <item h="1" x="1009"/>
        <item h="1" x="1010"/>
        <item h="1" x="1011"/>
        <item h="1" x="1012"/>
        <item h="1" x="1013"/>
        <item h="1" x="1014"/>
        <item h="1" x="1015"/>
        <item h="1" x="1016"/>
        <item h="1" x="1017"/>
        <item h="1" x="1018"/>
        <item h="1" x="1019"/>
        <item h="1" x="1020"/>
        <item h="1" x="1021"/>
        <item h="1" x="1022"/>
        <item h="1" x="1023"/>
        <item h="1" x="1024"/>
        <item h="1" x="1025"/>
        <item h="1" x="1026"/>
        <item h="1" x="1027"/>
        <item h="1" x="1028"/>
        <item h="1" x="1029"/>
        <item h="1" x="1030"/>
        <item h="1" x="1031"/>
        <item h="1" x="1032"/>
        <item h="1" x="1033"/>
        <item h="1" x="1034"/>
        <item h="1" x="1035"/>
        <item h="1" x="1036"/>
        <item h="1" x="1037"/>
        <item h="1" x="1038"/>
        <item h="1" x="1039"/>
        <item h="1" x="1040"/>
        <item h="1" x="1041"/>
        <item h="1" x="1042"/>
        <item h="1" x="1043"/>
        <item h="1" x="1044"/>
        <item h="1" x="1045"/>
        <item h="1" x="1046"/>
      </items>
    </pivotField>
    <pivotField axis="axisRow" showAll="0" defaultSubtotal="0">
      <items count="140">
        <item x="22"/>
        <item x="41"/>
        <item x="45"/>
        <item x="43"/>
        <item x="70"/>
        <item x="61"/>
        <item x="16"/>
        <item x="71"/>
        <item x="57"/>
        <item x="56"/>
        <item x="65"/>
        <item x="60"/>
        <item x="66"/>
        <item x="59"/>
        <item x="0"/>
        <item x="17"/>
        <item x="1"/>
        <item x="11"/>
        <item x="10"/>
        <item x="54"/>
        <item x="13"/>
        <item x="33"/>
        <item x="35"/>
        <item x="29"/>
        <item x="12"/>
        <item x="3"/>
        <item x="48"/>
        <item x="40"/>
        <item x="6"/>
        <item x="38"/>
        <item x="14"/>
        <item x="64"/>
        <item x="7"/>
        <item x="37"/>
        <item x="19"/>
        <item x="9"/>
        <item x="25"/>
        <item x="32"/>
        <item x="53"/>
        <item x="31"/>
        <item x="20"/>
        <item x="30"/>
        <item x="36"/>
        <item x="34"/>
        <item x="2"/>
        <item x="21"/>
        <item x="42"/>
        <item x="55"/>
        <item x="4"/>
        <item x="8"/>
        <item x="63"/>
        <item x="51"/>
        <item x="52"/>
        <item x="58"/>
        <item x="50"/>
        <item x="23"/>
        <item x="49"/>
        <item x="47"/>
        <item x="39"/>
        <item x="15"/>
        <item x="5"/>
        <item x="44"/>
        <item x="28"/>
        <item x="46"/>
        <item x="26"/>
        <item x="27"/>
        <item x="24"/>
        <item x="18"/>
        <item x="62"/>
        <item x="72"/>
        <item x="73"/>
        <item x="74"/>
        <item x="76"/>
        <item x="77"/>
        <item x="78"/>
        <item x="81"/>
        <item x="82"/>
        <item x="79"/>
        <item x="80"/>
        <item x="83"/>
        <item x="84"/>
        <item x="68"/>
        <item x="85"/>
        <item x="90"/>
        <item x="88"/>
        <item x="91"/>
        <item x="92"/>
        <item x="89"/>
        <item x="67"/>
        <item x="69"/>
        <item x="75"/>
        <item x="86"/>
        <item x="94"/>
        <item x="95"/>
        <item x="87"/>
        <item x="93"/>
        <item x="99"/>
        <item x="100"/>
        <item x="105"/>
        <item x="104"/>
        <item x="96"/>
        <item x="97"/>
        <item x="98"/>
        <item x="101"/>
        <item x="103"/>
        <item x="106"/>
        <item x="108"/>
        <item x="102"/>
        <item x="109"/>
        <item x="110"/>
        <item x="107"/>
        <item x="111"/>
        <item x="112"/>
        <item x="113"/>
        <item x="114"/>
        <item x="115"/>
        <item x="116"/>
        <item x="117"/>
        <item x="118"/>
        <item x="120"/>
        <item x="119"/>
        <item x="122"/>
        <item x="121"/>
        <item x="125"/>
        <item x="124"/>
        <item x="123"/>
        <item x="128"/>
        <item x="126"/>
        <item x="127"/>
        <item x="129"/>
        <item x="130"/>
        <item x="131"/>
        <item x="133"/>
        <item x="134"/>
        <item x="135"/>
        <item x="136"/>
        <item x="132"/>
        <item x="137"/>
        <item x="138"/>
        <item x="139"/>
      </items>
    </pivotField>
    <pivotField subtotalTop="0" showAll="0" defaultSubtotal="0"/>
    <pivotField subtotalTop="0" showAll="0" defaultSubtotal="0"/>
    <pivotField subtotalTop="0" showAll="0" defaultSubtotal="0"/>
    <pivotField subtotalTop="0" showAll="0" defaultSubtotal="0"/>
  </pivotFields>
  <rowFields count="6">
    <field x="0"/>
    <field x="2"/>
    <field x="3"/>
    <field x="7"/>
    <field x="9"/>
    <field x="11"/>
  </rowFields>
  <rowItems count="4">
    <i>
      <x v="834"/>
      <x v="3"/>
      <x v="37"/>
      <x v="1424"/>
      <x v="1713"/>
      <x v="137"/>
    </i>
    <i>
      <x v="860"/>
      <x v="1"/>
      <x v="9"/>
      <x v="1427"/>
      <x v="1716"/>
      <x v="139"/>
    </i>
    <i>
      <x v="936"/>
      <x v="3"/>
      <x v="15"/>
      <x v="555"/>
      <x v="124"/>
      <x v="67"/>
    </i>
    <i>
      <x v="983"/>
      <x v="3"/>
      <x v="15"/>
      <x v="555"/>
      <x v="124"/>
      <x v="67"/>
    </i>
  </rowItems>
  <colItems count="1">
    <i/>
  </colItems>
  <pageFields count="1">
    <pageField fld="10" hier="-1"/>
  </pageFields>
  <formats count="76">
    <format dxfId="146">
      <pivotArea field="0" type="button" dataOnly="0" labelOnly="1" outline="0" axis="axisRow" fieldPosition="0"/>
    </format>
    <format dxfId="145">
      <pivotArea field="2" type="button" dataOnly="0" labelOnly="1" outline="0" axis="axisRow" fieldPosition="1"/>
    </format>
    <format dxfId="144">
      <pivotArea field="3" type="button" dataOnly="0" labelOnly="1" outline="0" axis="axisRow" fieldPosition="2"/>
    </format>
    <format dxfId="143">
      <pivotArea field="7" type="button" dataOnly="0" labelOnly="1" outline="0" axis="axisRow" fieldPosition="3"/>
    </format>
    <format dxfId="142">
      <pivotArea field="9" type="button" dataOnly="0" labelOnly="1" outline="0" axis="axisRow" fieldPosition="4"/>
    </format>
    <format dxfId="141">
      <pivotArea field="11" type="button" dataOnly="0" labelOnly="1" outline="0" axis="axisRow" fieldPosition="5"/>
    </format>
    <format dxfId="140">
      <pivotArea type="all" dataOnly="0" outline="0" fieldPosition="0"/>
    </format>
    <format dxfId="139">
      <pivotArea field="0" type="button" dataOnly="0" labelOnly="1" outline="0" axis="axisRow" fieldPosition="0"/>
    </format>
    <format dxfId="138">
      <pivotArea field="2" type="button" dataOnly="0" labelOnly="1" outline="0" axis="axisRow" fieldPosition="1"/>
    </format>
    <format dxfId="137">
      <pivotArea field="3" type="button" dataOnly="0" labelOnly="1" outline="0" axis="axisRow" fieldPosition="2"/>
    </format>
    <format dxfId="136">
      <pivotArea field="7" type="button" dataOnly="0" labelOnly="1" outline="0" axis="axisRow" fieldPosition="3"/>
    </format>
    <format dxfId="135">
      <pivotArea field="9" type="button" dataOnly="0" labelOnly="1" outline="0" axis="axisRow" fieldPosition="4"/>
    </format>
    <format dxfId="134">
      <pivotArea field="11" type="button" dataOnly="0" labelOnly="1" outline="0" axis="axisRow" fieldPosition="5"/>
    </format>
    <format dxfId="133">
      <pivotArea dataOnly="0" labelOnly="1" fieldPosition="0">
        <references count="1">
          <reference field="0" count="7">
            <x v="315"/>
            <x v="433"/>
            <x v="516"/>
            <x v="561"/>
            <x v="578"/>
            <x v="612"/>
            <x v="614"/>
          </reference>
        </references>
      </pivotArea>
    </format>
    <format dxfId="132">
      <pivotArea dataOnly="0" labelOnly="1" fieldPosition="0">
        <references count="2">
          <reference field="0" count="1" selected="0">
            <x v="315"/>
          </reference>
          <reference field="2" count="1">
            <x v="6"/>
          </reference>
        </references>
      </pivotArea>
    </format>
    <format dxfId="131">
      <pivotArea dataOnly="0" labelOnly="1" fieldPosition="0">
        <references count="2">
          <reference field="0" count="1" selected="0">
            <x v="516"/>
          </reference>
          <reference field="2" count="1">
            <x v="1"/>
          </reference>
        </references>
      </pivotArea>
    </format>
    <format dxfId="130">
      <pivotArea dataOnly="0" labelOnly="1" fieldPosition="0">
        <references count="2">
          <reference field="0" count="1" selected="0">
            <x v="561"/>
          </reference>
          <reference field="2" count="1">
            <x v="8"/>
          </reference>
        </references>
      </pivotArea>
    </format>
    <format dxfId="129">
      <pivotArea dataOnly="0" labelOnly="1" fieldPosition="0">
        <references count="2">
          <reference field="0" count="1" selected="0">
            <x v="578"/>
          </reference>
          <reference field="2" count="1">
            <x v="3"/>
          </reference>
        </references>
      </pivotArea>
    </format>
    <format dxfId="128">
      <pivotArea dataOnly="0" labelOnly="1" fieldPosition="0">
        <references count="2">
          <reference field="0" count="1" selected="0">
            <x v="612"/>
          </reference>
          <reference field="2" count="1">
            <x v="1"/>
          </reference>
        </references>
      </pivotArea>
    </format>
    <format dxfId="127">
      <pivotArea dataOnly="0" labelOnly="1" fieldPosition="0">
        <references count="2">
          <reference field="0" count="1" selected="0">
            <x v="614"/>
          </reference>
          <reference field="2" count="1">
            <x v="6"/>
          </reference>
        </references>
      </pivotArea>
    </format>
    <format dxfId="126">
      <pivotArea dataOnly="0" labelOnly="1" fieldPosition="0">
        <references count="3">
          <reference field="0" count="1" selected="0">
            <x v="315"/>
          </reference>
          <reference field="2" count="1" selected="0">
            <x v="6"/>
          </reference>
          <reference field="3" count="1">
            <x v="7"/>
          </reference>
        </references>
      </pivotArea>
    </format>
    <format dxfId="125">
      <pivotArea dataOnly="0" labelOnly="1" fieldPosition="0">
        <references count="3">
          <reference field="0" count="1" selected="0">
            <x v="433"/>
          </reference>
          <reference field="2" count="1" selected="0">
            <x v="6"/>
          </reference>
          <reference field="3" count="1">
            <x v="5"/>
          </reference>
        </references>
      </pivotArea>
    </format>
    <format dxfId="124">
      <pivotArea dataOnly="0" labelOnly="1" fieldPosition="0">
        <references count="3">
          <reference field="0" count="1" selected="0">
            <x v="516"/>
          </reference>
          <reference field="2" count="1" selected="0">
            <x v="1"/>
          </reference>
          <reference field="3" count="1">
            <x v="8"/>
          </reference>
        </references>
      </pivotArea>
    </format>
    <format dxfId="123">
      <pivotArea dataOnly="0" labelOnly="1" fieldPosition="0">
        <references count="3">
          <reference field="0" count="1" selected="0">
            <x v="561"/>
          </reference>
          <reference field="2" count="1" selected="0">
            <x v="8"/>
          </reference>
          <reference field="3" count="1">
            <x v="38"/>
          </reference>
        </references>
      </pivotArea>
    </format>
    <format dxfId="122">
      <pivotArea dataOnly="0" labelOnly="1" fieldPosition="0">
        <references count="3">
          <reference field="0" count="1" selected="0">
            <x v="578"/>
          </reference>
          <reference field="2" count="1" selected="0">
            <x v="3"/>
          </reference>
          <reference field="3" count="1">
            <x v="13"/>
          </reference>
        </references>
      </pivotArea>
    </format>
    <format dxfId="121">
      <pivotArea dataOnly="0" labelOnly="1" fieldPosition="0">
        <references count="3">
          <reference field="0" count="1" selected="0">
            <x v="612"/>
          </reference>
          <reference field="2" count="1" selected="0">
            <x v="1"/>
          </reference>
          <reference field="3" count="1">
            <x v="9"/>
          </reference>
        </references>
      </pivotArea>
    </format>
    <format dxfId="120">
      <pivotArea dataOnly="0" labelOnly="1" fieldPosition="0">
        <references count="3">
          <reference field="0" count="1" selected="0">
            <x v="614"/>
          </reference>
          <reference field="2" count="1" selected="0">
            <x v="6"/>
          </reference>
          <reference field="3" count="1">
            <x v="32"/>
          </reference>
        </references>
      </pivotArea>
    </format>
    <format dxfId="119">
      <pivotArea dataOnly="0" labelOnly="1" fieldPosition="0">
        <references count="4">
          <reference field="0" count="1" selected="0">
            <x v="315"/>
          </reference>
          <reference field="2" count="1" selected="0">
            <x v="6"/>
          </reference>
          <reference field="3" count="1" selected="0">
            <x v="7"/>
          </reference>
          <reference field="7" count="1">
            <x v="51"/>
          </reference>
        </references>
      </pivotArea>
    </format>
    <format dxfId="118">
      <pivotArea dataOnly="0" labelOnly="1" fieldPosition="0">
        <references count="4">
          <reference field="0" count="1" selected="0">
            <x v="433"/>
          </reference>
          <reference field="2" count="1" selected="0">
            <x v="6"/>
          </reference>
          <reference field="3" count="1" selected="0">
            <x v="5"/>
          </reference>
          <reference field="7" count="1">
            <x v="645"/>
          </reference>
        </references>
      </pivotArea>
    </format>
    <format dxfId="117">
      <pivotArea dataOnly="0" labelOnly="1" fieldPosition="0">
        <references count="4">
          <reference field="0" count="1" selected="0">
            <x v="516"/>
          </reference>
          <reference field="2" count="1" selected="0">
            <x v="1"/>
          </reference>
          <reference field="3" count="1" selected="0">
            <x v="8"/>
          </reference>
          <reference field="7" count="1">
            <x v="797"/>
          </reference>
        </references>
      </pivotArea>
    </format>
    <format dxfId="116">
      <pivotArea dataOnly="0" labelOnly="1" fieldPosition="0">
        <references count="4">
          <reference field="0" count="1" selected="0">
            <x v="578"/>
          </reference>
          <reference field="2" count="1" selected="0">
            <x v="3"/>
          </reference>
          <reference field="3" count="1" selected="0">
            <x v="13"/>
          </reference>
          <reference field="7" count="1">
            <x v="555"/>
          </reference>
        </references>
      </pivotArea>
    </format>
    <format dxfId="115">
      <pivotArea dataOnly="0" labelOnly="1" fieldPosition="0">
        <references count="4">
          <reference field="0" count="1" selected="0">
            <x v="612"/>
          </reference>
          <reference field="2" count="1" selected="0">
            <x v="1"/>
          </reference>
          <reference field="3" count="1" selected="0">
            <x v="9"/>
          </reference>
          <reference field="7" count="1">
            <x v="1009"/>
          </reference>
        </references>
      </pivotArea>
    </format>
    <format dxfId="114">
      <pivotArea dataOnly="0" labelOnly="1" fieldPosition="0">
        <references count="4">
          <reference field="0" count="1" selected="0">
            <x v="614"/>
          </reference>
          <reference field="2" count="1" selected="0">
            <x v="6"/>
          </reference>
          <reference field="3" count="1" selected="0">
            <x v="32"/>
          </reference>
          <reference field="7" count="1">
            <x v="1012"/>
          </reference>
        </references>
      </pivotArea>
    </format>
    <format dxfId="113">
      <pivotArea dataOnly="0" labelOnly="1" fieldPosition="0">
        <references count="5">
          <reference field="0" count="1" selected="0">
            <x v="315"/>
          </reference>
          <reference field="2" count="1" selected="0">
            <x v="6"/>
          </reference>
          <reference field="3" count="1" selected="0">
            <x v="7"/>
          </reference>
          <reference field="7" count="1" selected="0">
            <x v="51"/>
          </reference>
          <reference field="9" count="1">
            <x v="672"/>
          </reference>
        </references>
      </pivotArea>
    </format>
    <format dxfId="112">
      <pivotArea dataOnly="0" labelOnly="1" fieldPosition="0">
        <references count="5">
          <reference field="0" count="1" selected="0">
            <x v="516"/>
          </reference>
          <reference field="2" count="1" selected="0">
            <x v="1"/>
          </reference>
          <reference field="3" count="1" selected="0">
            <x v="8"/>
          </reference>
          <reference field="7" count="1" selected="0">
            <x v="797"/>
          </reference>
          <reference field="9" count="1">
            <x v="1035"/>
          </reference>
        </references>
      </pivotArea>
    </format>
    <format dxfId="111">
      <pivotArea dataOnly="0" labelOnly="1" fieldPosition="0">
        <references count="5">
          <reference field="0" count="1" selected="0">
            <x v="578"/>
          </reference>
          <reference field="2" count="1" selected="0">
            <x v="3"/>
          </reference>
          <reference field="3" count="1" selected="0">
            <x v="13"/>
          </reference>
          <reference field="7" count="1" selected="0">
            <x v="555"/>
          </reference>
          <reference field="9" count="1">
            <x v="124"/>
          </reference>
        </references>
      </pivotArea>
    </format>
    <format dxfId="110">
      <pivotArea dataOnly="0" labelOnly="1" fieldPosition="0">
        <references count="5">
          <reference field="0" count="1" selected="0">
            <x v="614"/>
          </reference>
          <reference field="2" count="1" selected="0">
            <x v="6"/>
          </reference>
          <reference field="3" count="1" selected="0">
            <x v="32"/>
          </reference>
          <reference field="7" count="1" selected="0">
            <x v="1012"/>
          </reference>
          <reference field="9" count="1">
            <x v="278"/>
          </reference>
        </references>
      </pivotArea>
    </format>
    <format dxfId="109">
      <pivotArea dataOnly="0" labelOnly="1" fieldPosition="0">
        <references count="6">
          <reference field="0" count="1" selected="0">
            <x v="315"/>
          </reference>
          <reference field="2" count="1" selected="0">
            <x v="6"/>
          </reference>
          <reference field="3" count="1" selected="0">
            <x v="7"/>
          </reference>
          <reference field="7" count="1" selected="0">
            <x v="51"/>
          </reference>
          <reference field="9" count="1" selected="0">
            <x v="672"/>
          </reference>
          <reference field="11" count="1">
            <x v="115"/>
          </reference>
        </references>
      </pivotArea>
    </format>
    <format dxfId="108">
      <pivotArea dataOnly="0" labelOnly="1" fieldPosition="0">
        <references count="6">
          <reference field="0" count="1" selected="0">
            <x v="516"/>
          </reference>
          <reference field="2" count="1" selected="0">
            <x v="1"/>
          </reference>
          <reference field="3" count="1" selected="0">
            <x v="8"/>
          </reference>
          <reference field="7" count="1" selected="0">
            <x v="797"/>
          </reference>
          <reference field="9" count="1" selected="0">
            <x v="1035"/>
          </reference>
          <reference field="11" count="1">
            <x v="67"/>
          </reference>
        </references>
      </pivotArea>
    </format>
    <format dxfId="107">
      <pivotArea dataOnly="0" labelOnly="1" fieldPosition="0">
        <references count="6">
          <reference field="0" count="1" selected="0">
            <x v="578"/>
          </reference>
          <reference field="2" count="1" selected="0">
            <x v="3"/>
          </reference>
          <reference field="3" count="1" selected="0">
            <x v="13"/>
          </reference>
          <reference field="7" count="1" selected="0">
            <x v="555"/>
          </reference>
          <reference field="9" count="1" selected="0">
            <x v="124"/>
          </reference>
          <reference field="11" count="1">
            <x v="67"/>
          </reference>
        </references>
      </pivotArea>
    </format>
    <format dxfId="106">
      <pivotArea dataOnly="0" labelOnly="1" fieldPosition="0">
        <references count="6">
          <reference field="0" count="1" selected="0">
            <x v="614"/>
          </reference>
          <reference field="2" count="1" selected="0">
            <x v="6"/>
          </reference>
          <reference field="3" count="1" selected="0">
            <x v="32"/>
          </reference>
          <reference field="7" count="1" selected="0">
            <x v="1012"/>
          </reference>
          <reference field="9" count="1" selected="0">
            <x v="278"/>
          </reference>
          <reference field="11" count="1">
            <x v="67"/>
          </reference>
        </references>
      </pivotArea>
    </format>
    <format dxfId="105">
      <pivotArea type="all" dataOnly="0" outline="0" fieldPosition="0"/>
    </format>
    <format dxfId="104">
      <pivotArea field="0" type="button" dataOnly="0" labelOnly="1" outline="0" axis="axisRow" fieldPosition="0"/>
    </format>
    <format dxfId="103">
      <pivotArea field="2" type="button" dataOnly="0" labelOnly="1" outline="0" axis="axisRow" fieldPosition="1"/>
    </format>
    <format dxfId="102">
      <pivotArea field="3" type="button" dataOnly="0" labelOnly="1" outline="0" axis="axisRow" fieldPosition="2"/>
    </format>
    <format dxfId="101">
      <pivotArea field="7" type="button" dataOnly="0" labelOnly="1" outline="0" axis="axisRow" fieldPosition="3"/>
    </format>
    <format dxfId="100">
      <pivotArea field="9" type="button" dataOnly="0" labelOnly="1" outline="0" axis="axisRow" fieldPosition="4"/>
    </format>
    <format dxfId="99">
      <pivotArea field="11" type="button" dataOnly="0" labelOnly="1" outline="0" axis="axisRow" fieldPosition="5"/>
    </format>
    <format dxfId="98">
      <pivotArea dataOnly="0" labelOnly="1" fieldPosition="0">
        <references count="1">
          <reference field="0" count="7">
            <x v="315"/>
            <x v="433"/>
            <x v="516"/>
            <x v="561"/>
            <x v="578"/>
            <x v="612"/>
            <x v="614"/>
          </reference>
        </references>
      </pivotArea>
    </format>
    <format dxfId="97">
      <pivotArea dataOnly="0" labelOnly="1" fieldPosition="0">
        <references count="2">
          <reference field="0" count="1" selected="0">
            <x v="315"/>
          </reference>
          <reference field="2" count="1">
            <x v="6"/>
          </reference>
        </references>
      </pivotArea>
    </format>
    <format dxfId="96">
      <pivotArea dataOnly="0" labelOnly="1" fieldPosition="0">
        <references count="2">
          <reference field="0" count="1" selected="0">
            <x v="516"/>
          </reference>
          <reference field="2" count="1">
            <x v="1"/>
          </reference>
        </references>
      </pivotArea>
    </format>
    <format dxfId="95">
      <pivotArea dataOnly="0" labelOnly="1" fieldPosition="0">
        <references count="2">
          <reference field="0" count="1" selected="0">
            <x v="561"/>
          </reference>
          <reference field="2" count="1">
            <x v="8"/>
          </reference>
        </references>
      </pivotArea>
    </format>
    <format dxfId="94">
      <pivotArea dataOnly="0" labelOnly="1" fieldPosition="0">
        <references count="2">
          <reference field="0" count="1" selected="0">
            <x v="578"/>
          </reference>
          <reference field="2" count="1">
            <x v="3"/>
          </reference>
        </references>
      </pivotArea>
    </format>
    <format dxfId="93">
      <pivotArea dataOnly="0" labelOnly="1" fieldPosition="0">
        <references count="2">
          <reference field="0" count="1" selected="0">
            <x v="612"/>
          </reference>
          <reference field="2" count="1">
            <x v="1"/>
          </reference>
        </references>
      </pivotArea>
    </format>
    <format dxfId="92">
      <pivotArea dataOnly="0" labelOnly="1" fieldPosition="0">
        <references count="2">
          <reference field="0" count="1" selected="0">
            <x v="614"/>
          </reference>
          <reference field="2" count="1">
            <x v="6"/>
          </reference>
        </references>
      </pivotArea>
    </format>
    <format dxfId="91">
      <pivotArea dataOnly="0" labelOnly="1" fieldPosition="0">
        <references count="3">
          <reference field="0" count="1" selected="0">
            <x v="315"/>
          </reference>
          <reference field="2" count="1" selected="0">
            <x v="6"/>
          </reference>
          <reference field="3" count="1">
            <x v="7"/>
          </reference>
        </references>
      </pivotArea>
    </format>
    <format dxfId="90">
      <pivotArea dataOnly="0" labelOnly="1" fieldPosition="0">
        <references count="3">
          <reference field="0" count="1" selected="0">
            <x v="433"/>
          </reference>
          <reference field="2" count="1" selected="0">
            <x v="6"/>
          </reference>
          <reference field="3" count="1">
            <x v="5"/>
          </reference>
        </references>
      </pivotArea>
    </format>
    <format dxfId="89">
      <pivotArea dataOnly="0" labelOnly="1" fieldPosition="0">
        <references count="3">
          <reference field="0" count="1" selected="0">
            <x v="516"/>
          </reference>
          <reference field="2" count="1" selected="0">
            <x v="1"/>
          </reference>
          <reference field="3" count="1">
            <x v="8"/>
          </reference>
        </references>
      </pivotArea>
    </format>
    <format dxfId="88">
      <pivotArea dataOnly="0" labelOnly="1" fieldPosition="0">
        <references count="3">
          <reference field="0" count="1" selected="0">
            <x v="561"/>
          </reference>
          <reference field="2" count="1" selected="0">
            <x v="8"/>
          </reference>
          <reference field="3" count="1">
            <x v="38"/>
          </reference>
        </references>
      </pivotArea>
    </format>
    <format dxfId="87">
      <pivotArea dataOnly="0" labelOnly="1" fieldPosition="0">
        <references count="3">
          <reference field="0" count="1" selected="0">
            <x v="578"/>
          </reference>
          <reference field="2" count="1" selected="0">
            <x v="3"/>
          </reference>
          <reference field="3" count="1">
            <x v="13"/>
          </reference>
        </references>
      </pivotArea>
    </format>
    <format dxfId="86">
      <pivotArea dataOnly="0" labelOnly="1" fieldPosition="0">
        <references count="3">
          <reference field="0" count="1" selected="0">
            <x v="612"/>
          </reference>
          <reference field="2" count="1" selected="0">
            <x v="1"/>
          </reference>
          <reference field="3" count="1">
            <x v="9"/>
          </reference>
        </references>
      </pivotArea>
    </format>
    <format dxfId="85">
      <pivotArea dataOnly="0" labelOnly="1" fieldPosition="0">
        <references count="3">
          <reference field="0" count="1" selected="0">
            <x v="614"/>
          </reference>
          <reference field="2" count="1" selected="0">
            <x v="6"/>
          </reference>
          <reference field="3" count="1">
            <x v="32"/>
          </reference>
        </references>
      </pivotArea>
    </format>
    <format dxfId="84">
      <pivotArea dataOnly="0" labelOnly="1" fieldPosition="0">
        <references count="4">
          <reference field="0" count="1" selected="0">
            <x v="315"/>
          </reference>
          <reference field="2" count="1" selected="0">
            <x v="6"/>
          </reference>
          <reference field="3" count="1" selected="0">
            <x v="7"/>
          </reference>
          <reference field="7" count="1">
            <x v="51"/>
          </reference>
        </references>
      </pivotArea>
    </format>
    <format dxfId="83">
      <pivotArea dataOnly="0" labelOnly="1" fieldPosition="0">
        <references count="4">
          <reference field="0" count="1" selected="0">
            <x v="433"/>
          </reference>
          <reference field="2" count="1" selected="0">
            <x v="6"/>
          </reference>
          <reference field="3" count="1" selected="0">
            <x v="5"/>
          </reference>
          <reference field="7" count="1">
            <x v="645"/>
          </reference>
        </references>
      </pivotArea>
    </format>
    <format dxfId="82">
      <pivotArea dataOnly="0" labelOnly="1" fieldPosition="0">
        <references count="4">
          <reference field="0" count="1" selected="0">
            <x v="516"/>
          </reference>
          <reference field="2" count="1" selected="0">
            <x v="1"/>
          </reference>
          <reference field="3" count="1" selected="0">
            <x v="8"/>
          </reference>
          <reference field="7" count="1">
            <x v="797"/>
          </reference>
        </references>
      </pivotArea>
    </format>
    <format dxfId="81">
      <pivotArea dataOnly="0" labelOnly="1" fieldPosition="0">
        <references count="4">
          <reference field="0" count="1" selected="0">
            <x v="578"/>
          </reference>
          <reference field="2" count="1" selected="0">
            <x v="3"/>
          </reference>
          <reference field="3" count="1" selected="0">
            <x v="13"/>
          </reference>
          <reference field="7" count="1">
            <x v="555"/>
          </reference>
        </references>
      </pivotArea>
    </format>
    <format dxfId="80">
      <pivotArea dataOnly="0" labelOnly="1" fieldPosition="0">
        <references count="4">
          <reference field="0" count="1" selected="0">
            <x v="612"/>
          </reference>
          <reference field="2" count="1" selected="0">
            <x v="1"/>
          </reference>
          <reference field="3" count="1" selected="0">
            <x v="9"/>
          </reference>
          <reference field="7" count="1">
            <x v="1009"/>
          </reference>
        </references>
      </pivotArea>
    </format>
    <format dxfId="79">
      <pivotArea dataOnly="0" labelOnly="1" fieldPosition="0">
        <references count="4">
          <reference field="0" count="1" selected="0">
            <x v="614"/>
          </reference>
          <reference field="2" count="1" selected="0">
            <x v="6"/>
          </reference>
          <reference field="3" count="1" selected="0">
            <x v="32"/>
          </reference>
          <reference field="7" count="1">
            <x v="1012"/>
          </reference>
        </references>
      </pivotArea>
    </format>
    <format dxfId="78">
      <pivotArea dataOnly="0" labelOnly="1" fieldPosition="0">
        <references count="5">
          <reference field="0" count="1" selected="0">
            <x v="315"/>
          </reference>
          <reference field="2" count="1" selected="0">
            <x v="6"/>
          </reference>
          <reference field="3" count="1" selected="0">
            <x v="7"/>
          </reference>
          <reference field="7" count="1" selected="0">
            <x v="51"/>
          </reference>
          <reference field="9" count="1">
            <x v="672"/>
          </reference>
        </references>
      </pivotArea>
    </format>
    <format dxfId="77">
      <pivotArea dataOnly="0" labelOnly="1" fieldPosition="0">
        <references count="5">
          <reference field="0" count="1" selected="0">
            <x v="516"/>
          </reference>
          <reference field="2" count="1" selected="0">
            <x v="1"/>
          </reference>
          <reference field="3" count="1" selected="0">
            <x v="8"/>
          </reference>
          <reference field="7" count="1" selected="0">
            <x v="797"/>
          </reference>
          <reference field="9" count="1">
            <x v="1035"/>
          </reference>
        </references>
      </pivotArea>
    </format>
    <format dxfId="76">
      <pivotArea dataOnly="0" labelOnly="1" fieldPosition="0">
        <references count="5">
          <reference field="0" count="1" selected="0">
            <x v="578"/>
          </reference>
          <reference field="2" count="1" selected="0">
            <x v="3"/>
          </reference>
          <reference field="3" count="1" selected="0">
            <x v="13"/>
          </reference>
          <reference field="7" count="1" selected="0">
            <x v="555"/>
          </reference>
          <reference field="9" count="1">
            <x v="124"/>
          </reference>
        </references>
      </pivotArea>
    </format>
    <format dxfId="75">
      <pivotArea dataOnly="0" labelOnly="1" fieldPosition="0">
        <references count="5">
          <reference field="0" count="1" selected="0">
            <x v="614"/>
          </reference>
          <reference field="2" count="1" selected="0">
            <x v="6"/>
          </reference>
          <reference field="3" count="1" selected="0">
            <x v="32"/>
          </reference>
          <reference field="7" count="1" selected="0">
            <x v="1012"/>
          </reference>
          <reference field="9" count="1">
            <x v="278"/>
          </reference>
        </references>
      </pivotArea>
    </format>
    <format dxfId="74">
      <pivotArea dataOnly="0" labelOnly="1" fieldPosition="0">
        <references count="6">
          <reference field="0" count="1" selected="0">
            <x v="315"/>
          </reference>
          <reference field="2" count="1" selected="0">
            <x v="6"/>
          </reference>
          <reference field="3" count="1" selected="0">
            <x v="7"/>
          </reference>
          <reference field="7" count="1" selected="0">
            <x v="51"/>
          </reference>
          <reference field="9" count="1" selected="0">
            <x v="672"/>
          </reference>
          <reference field="11" count="1">
            <x v="115"/>
          </reference>
        </references>
      </pivotArea>
    </format>
    <format dxfId="73">
      <pivotArea dataOnly="0" labelOnly="1" fieldPosition="0">
        <references count="6">
          <reference field="0" count="1" selected="0">
            <x v="516"/>
          </reference>
          <reference field="2" count="1" selected="0">
            <x v="1"/>
          </reference>
          <reference field="3" count="1" selected="0">
            <x v="8"/>
          </reference>
          <reference field="7" count="1" selected="0">
            <x v="797"/>
          </reference>
          <reference field="9" count="1" selected="0">
            <x v="1035"/>
          </reference>
          <reference field="11" count="1">
            <x v="67"/>
          </reference>
        </references>
      </pivotArea>
    </format>
    <format dxfId="72">
      <pivotArea dataOnly="0" labelOnly="1" fieldPosition="0">
        <references count="6">
          <reference field="0" count="1" selected="0">
            <x v="578"/>
          </reference>
          <reference field="2" count="1" selected="0">
            <x v="3"/>
          </reference>
          <reference field="3" count="1" selected="0">
            <x v="13"/>
          </reference>
          <reference field="7" count="1" selected="0">
            <x v="555"/>
          </reference>
          <reference field="9" count="1" selected="0">
            <x v="124"/>
          </reference>
          <reference field="11" count="1">
            <x v="67"/>
          </reference>
        </references>
      </pivotArea>
    </format>
    <format dxfId="71">
      <pivotArea dataOnly="0" labelOnly="1" fieldPosition="0">
        <references count="6">
          <reference field="0" count="1" selected="0">
            <x v="614"/>
          </reference>
          <reference field="2" count="1" selected="0">
            <x v="6"/>
          </reference>
          <reference field="3" count="1" selected="0">
            <x v="32"/>
          </reference>
          <reference field="7" count="1" selected="0">
            <x v="1012"/>
          </reference>
          <reference field="9" count="1" selected="0">
            <x v="278"/>
          </reference>
          <reference field="11" count="1">
            <x v="67"/>
          </reference>
        </references>
      </pivotArea>
    </format>
  </formats>
  <pivotTableStyleInfo name="PivotStyleMedium9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eau croisé dynamique1" cacheId="0" applyNumberFormats="0" applyBorderFormats="0" applyFontFormats="0" applyPatternFormats="0" applyAlignmentFormats="0" applyWidthHeightFormats="1" dataCaption="Valeurs" updatedVersion="8" minRefreshableVersion="3" showDrill="0" rowGrandTotals="0" colGrandTotals="0" itemPrintTitles="1" createdVersion="4" indent="0" outline="1" outlineData="1" multipleFieldFilters="0" rowHeaderCaption="Dates interventions">
  <location ref="A4:F7" firstHeaderRow="1" firstDataRow="1" firstDataCol="6" rowPageCount="1" colPageCount="1"/>
  <pivotFields count="16">
    <pivotField axis="axisRow" numFmtId="14" outline="0" showAll="0" sortType="ascending" defaultSubtotal="0">
      <items count="10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1028"/>
        <item x="1019"/>
        <item x="1022"/>
        <item x="1023"/>
        <item x="1020"/>
        <item x="989"/>
        <item x="1025"/>
        <item x="1024"/>
        <item x="990"/>
        <item x="991"/>
        <item x="1026"/>
        <item x="992"/>
        <item x="1027"/>
        <item x="1013"/>
        <item x="1029"/>
        <item x="1012"/>
        <item x="1030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14"/>
        <item x="1004"/>
        <item x="1005"/>
        <item x="1006"/>
        <item x="1007"/>
        <item x="1008"/>
        <item x="1009"/>
        <item x="1010"/>
        <item x="1011"/>
        <item x="1015"/>
        <item x="1016"/>
        <item x="1017"/>
        <item x="1018"/>
        <item x="1031"/>
        <item x="1032"/>
        <item x="1033"/>
        <item x="1034"/>
        <item x="1036"/>
        <item x="1037"/>
        <item x="1035"/>
        <item x="1021"/>
      </items>
    </pivotField>
    <pivotField showAll="0" defaultSubtotal="0"/>
    <pivotField axis="axisRow" outline="0" showAll="0" defaultSubtotal="0">
      <items count="11">
        <item x="6"/>
        <item x="1"/>
        <item x="2"/>
        <item x="0"/>
        <item x="3"/>
        <item x="5"/>
        <item x="4"/>
        <item x="8"/>
        <item x="9"/>
        <item x="7"/>
        <item x="10"/>
      </items>
    </pivotField>
    <pivotField axis="axisRow" outline="0" showAll="0" defaultSubtotal="0">
      <items count="42">
        <item x="5"/>
        <item x="4"/>
        <item x="7"/>
        <item x="21"/>
        <item x="23"/>
        <item x="24"/>
        <item x="14"/>
        <item x="8"/>
        <item x="3"/>
        <item x="2"/>
        <item x="0"/>
        <item x="16"/>
        <item x="11"/>
        <item x="10"/>
        <item x="1"/>
        <item x="20"/>
        <item x="22"/>
        <item x="25"/>
        <item x="19"/>
        <item x="26"/>
        <item x="28"/>
        <item x="29"/>
        <item x="30"/>
        <item x="6"/>
        <item x="9"/>
        <item x="15"/>
        <item x="32"/>
        <item x="34"/>
        <item x="35"/>
        <item x="36"/>
        <item x="37"/>
        <item x="33"/>
        <item x="18"/>
        <item x="31"/>
        <item x="27"/>
        <item x="12"/>
        <item x="13"/>
        <item x="17"/>
        <item x="38"/>
        <item x="39"/>
        <item x="40"/>
        <item x="41"/>
      </items>
    </pivotField>
    <pivotField subtotalTop="0" showAll="0" defaultSubtotal="0"/>
    <pivotField outline="0" showAll="0" defaultSubtotal="0"/>
    <pivotField showAll="0" defaultSubtotal="0"/>
    <pivotField axis="axisRow" outline="0" showAll="0" defaultSubtotal="0">
      <items count="1592">
        <item x="398"/>
        <item x="124"/>
        <item x="516"/>
        <item x="552"/>
        <item x="459"/>
        <item x="201"/>
        <item x="68"/>
        <item x="153"/>
        <item x="226"/>
        <item x="18"/>
        <item x="289"/>
        <item x="284"/>
        <item x="365"/>
        <item x="579"/>
        <item x="292"/>
        <item x="349"/>
        <item x="354"/>
        <item x="169"/>
        <item x="190"/>
        <item x="483"/>
        <item x="95"/>
        <item x="256"/>
        <item x="321"/>
        <item x="314"/>
        <item x="525"/>
        <item x="184"/>
        <item x="384"/>
        <item x="416"/>
        <item x="136"/>
        <item x="268"/>
        <item x="460"/>
        <item x="352"/>
        <item x="532"/>
        <item x="319"/>
        <item x="224"/>
        <item x="312"/>
        <item x="393"/>
        <item x="502"/>
        <item x="92"/>
        <item x="41"/>
        <item x="326"/>
        <item x="524"/>
        <item x="374"/>
        <item x="383"/>
        <item x="255"/>
        <item x="142"/>
        <item x="330"/>
        <item x="211"/>
        <item x="174"/>
        <item x="243"/>
        <item x="215"/>
        <item x="196"/>
        <item x="29"/>
        <item x="493"/>
        <item x="335"/>
        <item x="42"/>
        <item x="144"/>
        <item x="258"/>
        <item x="375"/>
        <item x="246"/>
        <item x="197"/>
        <item x="231"/>
        <item x="539"/>
        <item x="54"/>
        <item x="302"/>
        <item x="541"/>
        <item x="198"/>
        <item x="272"/>
        <item x="316"/>
        <item x="503"/>
        <item x="327"/>
        <item x="55"/>
        <item x="168"/>
        <item x="517"/>
        <item x="67"/>
        <item x="30"/>
        <item x="240"/>
        <item x="147"/>
        <item x="19"/>
        <item x="219"/>
        <item x="133"/>
        <item x="279"/>
        <item x="186"/>
        <item x="195"/>
        <item x="123"/>
        <item x="329"/>
        <item x="523"/>
        <item x="446"/>
        <item x="318"/>
        <item x="76"/>
        <item x="261"/>
        <item x="36"/>
        <item x="391"/>
        <item x="70"/>
        <item x="521"/>
        <item x="220"/>
        <item x="252"/>
        <item x="315"/>
        <item x="372"/>
        <item x="442"/>
        <item x="313"/>
        <item x="262"/>
        <item x="188"/>
        <item x="427"/>
        <item x="379"/>
        <item x="530"/>
        <item x="249"/>
        <item x="254"/>
        <item x="199"/>
        <item x="72"/>
        <item x="311"/>
        <item x="122"/>
        <item x="57"/>
        <item x="270"/>
        <item x="309"/>
        <item x="99"/>
        <item x="431"/>
        <item x="376"/>
        <item x="340"/>
        <item x="380"/>
        <item x="233"/>
        <item x="362"/>
        <item x="426"/>
        <item x="214"/>
        <item x="135"/>
        <item x="538"/>
        <item x="276"/>
        <item x="264"/>
        <item x="479"/>
        <item x="235"/>
        <item x="405"/>
        <item x="553"/>
        <item x="477"/>
        <item x="554"/>
        <item x="475"/>
        <item x="290"/>
        <item x="556"/>
        <item x="322"/>
        <item x="331"/>
        <item x="526"/>
        <item x="514"/>
        <item x="443"/>
        <item x="347"/>
        <item x="403"/>
        <item x="404"/>
        <item x="449"/>
        <item x="410"/>
        <item x="286"/>
        <item x="9"/>
        <item x="200"/>
        <item x="425"/>
        <item x="185"/>
        <item x="143"/>
        <item x="377"/>
        <item x="417"/>
        <item x="213"/>
        <item x="260"/>
        <item x="167"/>
        <item x="239"/>
        <item x="245"/>
        <item x="250"/>
        <item x="486"/>
        <item x="522"/>
        <item x="259"/>
        <item x="385"/>
        <item x="228"/>
        <item x="216"/>
        <item x="555"/>
        <item x="191"/>
        <item x="531"/>
        <item x="146"/>
        <item x="371"/>
        <item x="546"/>
        <item x="82"/>
        <item x="44"/>
        <item x="343"/>
        <item x="79"/>
        <item x="212"/>
        <item x="510"/>
        <item x="437"/>
        <item x="368"/>
        <item x="388"/>
        <item x="164"/>
        <item x="344"/>
        <item x="428"/>
        <item x="180"/>
        <item x="48"/>
        <item x="253"/>
        <item x="469"/>
        <item x="500"/>
        <item x="448"/>
        <item x="444"/>
        <item x="350"/>
        <item x="489"/>
        <item x="498"/>
        <item x="439"/>
        <item x="550"/>
        <item x="310"/>
        <item x="435"/>
        <item x="496"/>
        <item x="170"/>
        <item x="361"/>
        <item x="396"/>
        <item x="415"/>
        <item x="456"/>
        <item x="367"/>
        <item x="132"/>
        <item x="513"/>
        <item x="244"/>
        <item x="299"/>
        <item x="23"/>
        <item x="222"/>
        <item x="14"/>
        <item x="91"/>
        <item x="152"/>
        <item x="39"/>
        <item x="378"/>
        <item x="49"/>
        <item x="100"/>
        <item x="141"/>
        <item x="232"/>
        <item x="107"/>
        <item x="156"/>
        <item x="53"/>
        <item x="87"/>
        <item x="424"/>
        <item x="518"/>
        <item x="208"/>
        <item x="59"/>
        <item x="43"/>
        <item x="60"/>
        <item x="332"/>
        <item x="37"/>
        <item x="192"/>
        <item x="355"/>
        <item x="189"/>
        <item x="324"/>
        <item x="301"/>
        <item x="346"/>
        <item x="512"/>
        <item x="337"/>
        <item x="62"/>
        <item x="238"/>
        <item x="221"/>
        <item x="35"/>
        <item x="509"/>
        <item x="421"/>
        <item x="86"/>
        <item x="187"/>
        <item x="296"/>
        <item x="317"/>
        <item x="210"/>
        <item x="389"/>
        <item x="505"/>
        <item x="83"/>
        <item x="306"/>
        <item x="356"/>
        <item x="370"/>
        <item x="422"/>
        <item x="369"/>
        <item x="176"/>
        <item x="287"/>
        <item x="453"/>
        <item x="447"/>
        <item x="227"/>
        <item x="241"/>
        <item x="179"/>
        <item x="166"/>
        <item x="348"/>
        <item x="499"/>
        <item x="247"/>
        <item x="308"/>
        <item x="114"/>
        <item x="236"/>
        <item x="491"/>
        <item x="10"/>
        <item x="177"/>
        <item x="488"/>
        <item x="281"/>
        <item x="533"/>
        <item x="116"/>
        <item x="282"/>
        <item x="263"/>
        <item x="113"/>
        <item x="74"/>
        <item x="320"/>
        <item x="534"/>
        <item x="467"/>
        <item x="506"/>
        <item x="481"/>
        <item x="458"/>
        <item x="178"/>
        <item x="487"/>
        <item x="551"/>
        <item x="27"/>
        <item x="527"/>
        <item x="549"/>
        <item x="515"/>
        <item x="406"/>
        <item x="420"/>
        <item x="445"/>
        <item x="430"/>
        <item x="454"/>
        <item x="31"/>
        <item x="125"/>
        <item x="412"/>
        <item x="451"/>
        <item x="230"/>
        <item x="108"/>
        <item x="102"/>
        <item x="545"/>
        <item x="93"/>
        <item x="536"/>
        <item x="508"/>
        <item x="183"/>
        <item x="206"/>
        <item x="248"/>
        <item x="160"/>
        <item x="407"/>
        <item x="353"/>
        <item x="182"/>
        <item x="225"/>
        <item x="271"/>
        <item x="257"/>
        <item x="433"/>
        <item x="434"/>
        <item x="129"/>
        <item x="32"/>
        <item x="293"/>
        <item x="482"/>
        <item x="468"/>
        <item x="366"/>
        <item x="478"/>
        <item x="450"/>
        <item x="151"/>
        <item x="409"/>
        <item x="519"/>
        <item x="537"/>
        <item x="359"/>
        <item x="26"/>
        <item x="436"/>
        <item x="535"/>
        <item x="297"/>
        <item x="520"/>
        <item x="495"/>
        <item x="40"/>
        <item x="4"/>
        <item x="112"/>
        <item x="131"/>
        <item x="24"/>
        <item x="418"/>
        <item x="269"/>
        <item x="130"/>
        <item x="97"/>
        <item x="203"/>
        <item x="172"/>
        <item x="61"/>
        <item x="111"/>
        <item x="119"/>
        <item x="56"/>
        <item x="65"/>
        <item x="94"/>
        <item x="6"/>
        <item x="544"/>
        <item x="104"/>
        <item x="66"/>
        <item x="109"/>
        <item x="34"/>
        <item x="120"/>
        <item x="557"/>
        <item x="96"/>
        <item x="38"/>
        <item x="85"/>
        <item x="2"/>
        <item x="471"/>
        <item x="121"/>
        <item x="283"/>
        <item x="105"/>
        <item x="161"/>
        <item x="202"/>
        <item x="47"/>
        <item x="7"/>
        <item x="194"/>
        <item x="173"/>
        <item x="363"/>
        <item x="64"/>
        <item x="381"/>
        <item x="373"/>
        <item x="358"/>
        <item x="33"/>
        <item x="73"/>
        <item x="452"/>
        <item x="386"/>
        <item x="441"/>
        <item x="360"/>
        <item x="103"/>
        <item x="159"/>
        <item x="333"/>
        <item x="401"/>
        <item x="338"/>
        <item x="80"/>
        <item x="193"/>
        <item x="22"/>
        <item x="51"/>
        <item x="294"/>
        <item x="138"/>
        <item x="50"/>
        <item x="345"/>
        <item x="110"/>
        <item x="204"/>
        <item x="46"/>
        <item x="126"/>
        <item x="399"/>
        <item x="58"/>
        <item x="81"/>
        <item x="128"/>
        <item x="16"/>
        <item x="413"/>
        <item x="474"/>
        <item x="394"/>
        <item x="455"/>
        <item x="465"/>
        <item x="387"/>
        <item x="288"/>
        <item x="88"/>
        <item x="328"/>
        <item x="547"/>
        <item x="237"/>
        <item x="490"/>
        <item x="149"/>
        <item x="305"/>
        <item x="364"/>
        <item x="137"/>
        <item x="274"/>
        <item x="504"/>
        <item x="325"/>
        <item x="542"/>
        <item x="414"/>
        <item x="411"/>
        <item x="205"/>
        <item x="17"/>
        <item x="155"/>
        <item x="466"/>
        <item x="117"/>
        <item x="20"/>
        <item x="12"/>
        <item x="1"/>
        <item x="339"/>
        <item x="21"/>
        <item x="15"/>
        <item x="115"/>
        <item x="303"/>
        <item x="397"/>
        <item x="140"/>
        <item x="494"/>
        <item x="408"/>
        <item x="90"/>
        <item x="242"/>
        <item x="440"/>
        <item x="300"/>
        <item x="98"/>
        <item x="267"/>
        <item x="89"/>
        <item x="470"/>
        <item x="52"/>
        <item x="543"/>
        <item x="528"/>
        <item x="134"/>
        <item x="390"/>
        <item x="165"/>
        <item x="181"/>
        <item x="285"/>
        <item x="341"/>
        <item x="511"/>
        <item x="106"/>
        <item x="217"/>
        <item x="307"/>
        <item x="11"/>
        <item x="139"/>
        <item x="295"/>
        <item x="209"/>
        <item x="158"/>
        <item x="392"/>
        <item x="395"/>
        <item x="540"/>
        <item x="84"/>
        <item x="484"/>
        <item x="429"/>
        <item x="207"/>
        <item x="336"/>
        <item x="148"/>
        <item x="419"/>
        <item x="462"/>
        <item x="485"/>
        <item x="464"/>
        <item x="463"/>
        <item x="473"/>
        <item x="423"/>
        <item x="25"/>
        <item x="71"/>
        <item x="69"/>
        <item x="461"/>
        <item x="5"/>
        <item x="334"/>
        <item x="223"/>
        <item x="77"/>
        <item x="273"/>
        <item x="251"/>
        <item x="266"/>
        <item x="101"/>
        <item x="492"/>
        <item x="501"/>
        <item x="157"/>
        <item x="278"/>
        <item x="175"/>
        <item x="480"/>
        <item x="162"/>
        <item x="118"/>
        <item x="229"/>
        <item x="171"/>
        <item x="323"/>
        <item x="28"/>
        <item x="457"/>
        <item x="13"/>
        <item x="507"/>
        <item x="8"/>
        <item x="75"/>
        <item x="45"/>
        <item x="351"/>
        <item x="497"/>
        <item x="304"/>
        <item x="382"/>
        <item x="145"/>
        <item x="529"/>
        <item x="438"/>
        <item x="291"/>
        <item x="163"/>
        <item x="432"/>
        <item x="265"/>
        <item x="150"/>
        <item x="78"/>
        <item x="154"/>
        <item x="402"/>
        <item x="400"/>
        <item x="342"/>
        <item x="476"/>
        <item x="234"/>
        <item x="218"/>
        <item x="3"/>
        <item x="280"/>
        <item x="357"/>
        <item x="275"/>
        <item x="277"/>
        <item x="298"/>
        <item x="63"/>
        <item x="0"/>
        <item x="580"/>
        <item x="12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81"/>
        <item x="582"/>
        <item x="583"/>
        <item x="584"/>
        <item x="585"/>
        <item x="588"/>
        <item x="589"/>
        <item x="590"/>
        <item x="591"/>
        <item x="592"/>
        <item x="593"/>
        <item x="594"/>
        <item x="595"/>
        <item x="597"/>
        <item x="598"/>
        <item x="578"/>
        <item x="586"/>
        <item x="587"/>
        <item x="596"/>
        <item x="599"/>
        <item x="600"/>
        <item x="601"/>
        <item x="607"/>
        <item x="611"/>
        <item x="612"/>
        <item x="616"/>
        <item x="617"/>
        <item x="619"/>
        <item x="614"/>
        <item x="621"/>
        <item x="623"/>
        <item x="624"/>
        <item x="625"/>
        <item x="626"/>
        <item x="629"/>
        <item x="602"/>
        <item x="603"/>
        <item x="604"/>
        <item x="605"/>
        <item x="606"/>
        <item x="608"/>
        <item x="609"/>
        <item x="610"/>
        <item x="613"/>
        <item x="615"/>
        <item x="618"/>
        <item x="620"/>
        <item x="622"/>
        <item x="627"/>
        <item x="628"/>
        <item x="633"/>
        <item x="634"/>
        <item x="639"/>
        <item x="640"/>
        <item x="641"/>
        <item x="642"/>
        <item x="630"/>
        <item x="631"/>
        <item x="632"/>
        <item x="635"/>
        <item x="637"/>
        <item x="638"/>
        <item x="643"/>
        <item x="644"/>
        <item x="645"/>
        <item x="646"/>
        <item x="647"/>
        <item x="636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9"/>
        <item x="670"/>
        <item x="671"/>
        <item x="679"/>
        <item x="680"/>
        <item x="673"/>
        <item x="675"/>
        <item x="676"/>
        <item x="681"/>
        <item x="683"/>
        <item x="684"/>
        <item x="686"/>
        <item x="687"/>
        <item x="693"/>
        <item x="696"/>
        <item x="697"/>
        <item x="698"/>
        <item x="699"/>
        <item x="708"/>
        <item x="700"/>
        <item x="701"/>
        <item x="702"/>
        <item x="703"/>
        <item x="704"/>
        <item x="707"/>
        <item x="709"/>
        <item x="719"/>
        <item x="710"/>
        <item x="711"/>
        <item x="712"/>
        <item x="685"/>
        <item x="713"/>
        <item x="721"/>
        <item x="714"/>
        <item x="715"/>
        <item x="722"/>
        <item x="729"/>
        <item x="717"/>
        <item x="738"/>
        <item x="718"/>
        <item x="720"/>
        <item x="723"/>
        <item x="747"/>
        <item x="753"/>
        <item x="724"/>
        <item x="725"/>
        <item x="726"/>
        <item x="727"/>
        <item x="754"/>
        <item x="730"/>
        <item x="731"/>
        <item x="732"/>
        <item x="733"/>
        <item x="734"/>
        <item x="735"/>
        <item x="736"/>
        <item x="737"/>
        <item x="758"/>
        <item x="739"/>
        <item x="740"/>
        <item x="705"/>
        <item x="741"/>
        <item x="743"/>
        <item x="744"/>
        <item x="742"/>
        <item x="745"/>
        <item x="748"/>
        <item x="749"/>
        <item x="750"/>
        <item x="751"/>
        <item x="752"/>
        <item x="755"/>
        <item x="756"/>
        <item x="759"/>
        <item x="706"/>
        <item x="716"/>
        <item x="757"/>
        <item x="797"/>
        <item x="761"/>
        <item x="762"/>
        <item x="763"/>
        <item x="728"/>
        <item x="746"/>
        <item x="760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672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674"/>
        <item x="677"/>
        <item x="678"/>
        <item x="682"/>
        <item x="690"/>
        <item x="689"/>
        <item x="688"/>
        <item x="691"/>
        <item x="692"/>
        <item x="695"/>
        <item x="694"/>
        <item x="798"/>
        <item x="796"/>
        <item x="799"/>
        <item x="800"/>
        <item x="801"/>
        <item x="803"/>
        <item x="802"/>
        <item x="804"/>
        <item x="806"/>
        <item x="805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5"/>
        <item x="836"/>
        <item x="837"/>
        <item x="838"/>
        <item x="839"/>
        <item x="840"/>
        <item x="841"/>
        <item x="842"/>
        <item x="843"/>
        <item x="548"/>
        <item x="834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3"/>
        <item x="954"/>
        <item x="952"/>
        <item x="955"/>
        <item x="956"/>
        <item x="957"/>
        <item x="959"/>
        <item x="958"/>
        <item x="960"/>
        <item x="961"/>
        <item x="962"/>
        <item x="963"/>
        <item x="964"/>
        <item x="965"/>
        <item x="966"/>
        <item x="967"/>
        <item x="968"/>
        <item x="977"/>
        <item x="983"/>
        <item x="988"/>
        <item x="991"/>
        <item x="992"/>
        <item x="969"/>
        <item x="970"/>
        <item x="972"/>
        <item x="974"/>
        <item x="975"/>
        <item x="976"/>
        <item x="980"/>
        <item x="981"/>
        <item x="985"/>
        <item x="989"/>
        <item x="993"/>
        <item x="994"/>
        <item x="982"/>
        <item x="978"/>
        <item x="986"/>
        <item x="987"/>
        <item x="971"/>
        <item x="973"/>
        <item x="979"/>
        <item x="984"/>
        <item x="990"/>
        <item x="995"/>
        <item x="997"/>
        <item x="998"/>
        <item x="1001"/>
        <item x="1002"/>
        <item x="1003"/>
        <item x="1004"/>
        <item x="1005"/>
        <item x="1007"/>
        <item x="1008"/>
        <item x="999"/>
        <item x="996"/>
        <item x="1000"/>
        <item x="1014"/>
        <item x="1015"/>
        <item x="1016"/>
        <item x="1009"/>
        <item x="1017"/>
        <item x="1018"/>
        <item x="1019"/>
        <item x="1006"/>
        <item x="1011"/>
        <item x="1013"/>
        <item x="1010"/>
        <item x="1021"/>
        <item x="1023"/>
        <item x="1022"/>
        <item x="1025"/>
        <item x="1026"/>
        <item x="1027"/>
        <item x="1031"/>
        <item x="1028"/>
        <item x="1033"/>
        <item x="1024"/>
        <item x="1029"/>
        <item x="1032"/>
        <item x="1038"/>
        <item x="1020"/>
        <item x="1040"/>
        <item x="1034"/>
        <item x="1030"/>
        <item x="1046"/>
        <item x="1041"/>
        <item x="1047"/>
        <item x="1058"/>
        <item x="1059"/>
        <item x="1012"/>
        <item x="1102"/>
        <item x="1035"/>
        <item x="1060"/>
        <item x="1042"/>
        <item x="1061"/>
        <item x="1062"/>
        <item x="1051"/>
        <item x="1075"/>
        <item x="1110"/>
        <item x="1106"/>
        <item x="1101"/>
        <item x="1087"/>
        <item x="1103"/>
        <item x="1107"/>
        <item x="1104"/>
        <item x="1093"/>
        <item x="1088"/>
        <item x="1089"/>
        <item x="1096"/>
        <item x="1097"/>
        <item x="1098"/>
        <item x="1094"/>
        <item x="1095"/>
        <item x="1090"/>
        <item x="1099"/>
        <item x="1105"/>
        <item x="1112"/>
        <item x="1100"/>
        <item x="1114"/>
        <item x="1115"/>
        <item x="1091"/>
        <item x="1113"/>
        <item x="1111"/>
        <item x="1117"/>
        <item x="1118"/>
        <item x="1119"/>
        <item x="1120"/>
        <item x="1128"/>
        <item x="1129"/>
        <item x="1130"/>
        <item x="1136"/>
        <item x="1137"/>
        <item x="1139"/>
        <item x="1140"/>
        <item x="1143"/>
        <item x="1144"/>
        <item x="1146"/>
        <item x="1150"/>
        <item x="1151"/>
        <item x="1152"/>
        <item x="1165"/>
        <item x="1168"/>
        <item x="1172"/>
        <item x="1176"/>
        <item x="1179"/>
        <item x="1180"/>
        <item x="1184"/>
        <item x="1186"/>
        <item x="1187"/>
        <item x="1188"/>
        <item x="1194"/>
        <item x="1195"/>
        <item x="1196"/>
        <item x="1203"/>
        <item x="1206"/>
        <item x="1208"/>
        <item x="1147"/>
        <item x="1163"/>
        <item x="1164"/>
        <item x="1170"/>
        <item x="1121"/>
        <item x="1122"/>
        <item x="1173"/>
        <item x="1185"/>
        <item x="1181"/>
        <item x="668"/>
        <item x="1036"/>
        <item x="1037"/>
        <item x="1039"/>
        <item x="1043"/>
        <item x="1044"/>
        <item x="1045"/>
        <item x="1048"/>
        <item x="1049"/>
        <item x="1050"/>
        <item x="1052"/>
        <item x="1053"/>
        <item x="1054"/>
        <item x="1055"/>
        <item x="1056"/>
        <item x="1057"/>
        <item x="1063"/>
        <item x="1064"/>
        <item x="1065"/>
        <item x="1066"/>
        <item x="1067"/>
        <item x="1068"/>
        <item x="1069"/>
        <item x="1070"/>
        <item x="1071"/>
        <item x="1073"/>
        <item x="1074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108"/>
        <item x="1109"/>
        <item x="1116"/>
        <item x="1123"/>
        <item x="1124"/>
        <item x="1125"/>
        <item x="1126"/>
        <item x="1127"/>
        <item x="1131"/>
        <item x="1132"/>
        <item x="1133"/>
        <item x="1134"/>
        <item x="1135"/>
        <item x="1138"/>
        <item x="1141"/>
        <item x="1142"/>
        <item x="1145"/>
        <item x="1148"/>
        <item x="1149"/>
        <item x="1153"/>
        <item x="1154"/>
        <item x="1155"/>
        <item x="1156"/>
        <item x="1157"/>
        <item x="1158"/>
        <item x="1159"/>
        <item x="1160"/>
        <item x="1161"/>
        <item x="1162"/>
        <item x="1166"/>
        <item x="1167"/>
        <item x="1169"/>
        <item x="1171"/>
        <item x="1174"/>
        <item x="1175"/>
        <item x="1177"/>
        <item x="1178"/>
        <item x="1182"/>
        <item x="1183"/>
        <item x="1189"/>
        <item x="1190"/>
        <item x="1191"/>
        <item x="1192"/>
        <item x="1193"/>
        <item x="1197"/>
        <item x="1198"/>
        <item x="1199"/>
        <item x="1200"/>
        <item x="1201"/>
        <item x="1202"/>
        <item x="1204"/>
        <item x="1205"/>
        <item x="1207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8"/>
        <item x="1249"/>
        <item x="1251"/>
        <item x="1252"/>
        <item x="1254"/>
        <item x="1255"/>
        <item x="1256"/>
        <item x="1257"/>
        <item x="1258"/>
        <item x="1259"/>
        <item x="1260"/>
        <item x="1261"/>
        <item x="1263"/>
        <item x="1265"/>
        <item x="1266"/>
        <item x="1267"/>
        <item x="1268"/>
        <item x="1269"/>
        <item x="1270"/>
        <item x="1273"/>
        <item x="1274"/>
        <item x="1275"/>
        <item x="1276"/>
        <item x="1277"/>
        <item x="1278"/>
        <item x="1280"/>
        <item x="1282"/>
        <item x="1284"/>
        <item x="1285"/>
        <item x="1287"/>
        <item x="1288"/>
        <item x="1289"/>
        <item x="1291"/>
        <item x="1292"/>
        <item x="1293"/>
        <item x="1298"/>
        <item x="1299"/>
        <item x="1300"/>
        <item x="1302"/>
        <item x="1304"/>
        <item x="1305"/>
        <item x="1307"/>
        <item x="1311"/>
        <item x="1314"/>
        <item x="1315"/>
        <item x="1317"/>
        <item x="1072"/>
        <item x="1262"/>
        <item x="1318"/>
        <item x="1319"/>
        <item x="1322"/>
        <item x="1324"/>
        <item x="1327"/>
        <item x="1332"/>
        <item x="1333"/>
        <item x="1341"/>
        <item x="1342"/>
        <item x="1345"/>
        <item x="1328"/>
        <item x="1329"/>
        <item x="1325"/>
        <item x="1330"/>
        <item x="1334"/>
        <item x="1344"/>
        <item x="1281"/>
        <item x="1283"/>
        <item x="1294"/>
        <item x="1295"/>
        <item x="1301"/>
        <item x="1316"/>
        <item x="1320"/>
        <item x="1279"/>
        <item x="1323"/>
        <item x="1331"/>
        <item x="1335"/>
        <item x="1336"/>
        <item x="1337"/>
        <item x="1343"/>
        <item x="1366"/>
        <item x="1358"/>
        <item x="1353"/>
        <item x="1250"/>
        <item x="1253"/>
        <item x="1264"/>
        <item x="1271"/>
        <item x="1272"/>
        <item x="1296"/>
        <item x="1297"/>
        <item x="1308"/>
        <item x="1312"/>
        <item x="1321"/>
        <item x="1326"/>
        <item x="1338"/>
        <item x="1347"/>
        <item x="1348"/>
        <item x="1349"/>
        <item x="1350"/>
        <item x="1351"/>
        <item x="1352"/>
        <item x="1354"/>
        <item x="1355"/>
        <item x="1356"/>
        <item x="1357"/>
        <item x="1359"/>
        <item x="1360"/>
        <item x="1361"/>
        <item x="1362"/>
        <item x="1363"/>
        <item x="1364"/>
        <item x="1365"/>
        <item x="1367"/>
        <item x="1368"/>
        <item x="1247"/>
        <item x="1371"/>
        <item x="1373"/>
        <item x="1374"/>
        <item x="1375"/>
        <item x="1376"/>
        <item x="1378"/>
        <item x="1380"/>
        <item x="1381"/>
        <item x="1385"/>
        <item x="1395"/>
        <item x="1392"/>
        <item x="1402"/>
        <item x="1406"/>
        <item x="1396"/>
        <item x="1399"/>
        <item x="1401"/>
        <item x="1403"/>
        <item x="1411"/>
        <item x="1397"/>
        <item x="1398"/>
        <item x="1400"/>
        <item x="1407"/>
        <item x="1409"/>
        <item x="1413"/>
        <item x="1414"/>
        <item x="1418"/>
        <item x="1408"/>
        <item x="1404"/>
        <item x="1286"/>
        <item x="1290"/>
        <item x="1303"/>
        <item x="1306"/>
        <item x="1309"/>
        <item x="1310"/>
        <item x="1313"/>
        <item x="1339"/>
        <item x="1340"/>
        <item x="1346"/>
        <item x="1369"/>
        <item x="1370"/>
        <item x="1372"/>
        <item x="1377"/>
        <item x="1379"/>
        <item x="1382"/>
        <item x="1383"/>
        <item x="1384"/>
        <item x="1386"/>
        <item x="1387"/>
        <item x="1388"/>
        <item x="1389"/>
        <item x="1390"/>
        <item x="1391"/>
        <item x="1393"/>
        <item x="1394"/>
        <item x="1405"/>
        <item x="1419"/>
        <item x="1420"/>
        <item x="1421"/>
        <item x="1422"/>
        <item x="1092"/>
        <item x="1410"/>
        <item x="1412"/>
        <item x="1415"/>
        <item x="472"/>
        <item x="1416"/>
        <item x="1417"/>
        <item x="1427"/>
        <item x="1423"/>
        <item x="1424"/>
        <item x="1425"/>
        <item x="1426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</items>
    </pivotField>
    <pivotField subtotalTop="0" showAll="0" defaultSubtotal="0"/>
    <pivotField axis="axisRow" outline="0" showAll="0" defaultSubtotal="0">
      <items count="1915">
        <item x="126"/>
        <item x="122"/>
        <item x="119"/>
        <item x="97"/>
        <item x="106"/>
        <item x="74"/>
        <item x="94"/>
        <item x="79"/>
        <item x="31"/>
        <item x="17"/>
        <item x="89"/>
        <item x="72"/>
        <item x="96"/>
        <item x="71"/>
        <item x="128"/>
        <item x="35"/>
        <item x="104"/>
        <item x="18"/>
        <item x="46"/>
        <item x="24"/>
        <item x="39"/>
        <item x="127"/>
        <item x="32"/>
        <item x="75"/>
        <item x="95"/>
        <item x="82"/>
        <item x="49"/>
        <item x="86"/>
        <item x="129"/>
        <item x="125"/>
        <item x="43"/>
        <item x="83"/>
        <item x="115"/>
        <item x="59"/>
        <item x="93"/>
        <item x="9"/>
        <item x="61"/>
        <item x="57"/>
        <item x="77"/>
        <item x="13"/>
        <item x="34"/>
        <item x="30"/>
        <item x="73"/>
        <item x="108"/>
        <item x="47"/>
        <item x="117"/>
        <item x="68"/>
        <item x="60"/>
        <item x="132"/>
        <item x="27"/>
        <item x="26"/>
        <item x="28"/>
        <item x="41"/>
        <item x="8"/>
        <item x="4"/>
        <item x="23"/>
        <item x="78"/>
        <item x="64"/>
        <item x="114"/>
        <item x="16"/>
        <item x="51"/>
        <item x="110"/>
        <item x="107"/>
        <item x="81"/>
        <item x="3"/>
        <item x="6"/>
        <item x="21"/>
        <item x="58"/>
        <item x="112"/>
        <item x="19"/>
        <item x="7"/>
        <item x="63"/>
        <item x="54"/>
        <item x="80"/>
        <item x="29"/>
        <item x="67"/>
        <item x="123"/>
        <item x="38"/>
        <item x="124"/>
        <item x="42"/>
        <item x="56"/>
        <item x="70"/>
        <item x="120"/>
        <item x="65"/>
        <item x="36"/>
        <item x="15"/>
        <item x="22"/>
        <item x="48"/>
        <item x="121"/>
        <item x="84"/>
        <item x="102"/>
        <item x="87"/>
        <item x="1"/>
        <item x="103"/>
        <item x="100"/>
        <item x="37"/>
        <item x="33"/>
        <item x="62"/>
        <item x="52"/>
        <item x="44"/>
        <item x="2"/>
        <item x="55"/>
        <item x="12"/>
        <item x="50"/>
        <item x="76"/>
        <item x="69"/>
        <item x="0"/>
        <item x="85"/>
        <item x="20"/>
        <item x="66"/>
        <item x="91"/>
        <item x="45"/>
        <item x="25"/>
        <item x="92"/>
        <item x="130"/>
        <item x="88"/>
        <item x="111"/>
        <item x="53"/>
        <item x="40"/>
        <item x="101"/>
        <item x="11"/>
        <item x="10"/>
        <item x="14"/>
        <item x="5"/>
        <item x="99"/>
        <item x="133"/>
        <item x="134"/>
        <item x="135"/>
        <item x="137"/>
        <item x="138"/>
        <item x="139"/>
        <item x="140"/>
        <item x="141"/>
        <item x="142"/>
        <item x="144"/>
        <item x="145"/>
        <item x="147"/>
        <item x="148"/>
        <item x="146"/>
        <item x="149"/>
        <item x="152"/>
        <item x="153"/>
        <item x="160"/>
        <item x="136"/>
        <item x="154"/>
        <item x="155"/>
        <item x="156"/>
        <item x="98"/>
        <item x="157"/>
        <item x="158"/>
        <item x="159"/>
        <item x="161"/>
        <item x="162"/>
        <item x="90"/>
        <item x="163"/>
        <item x="164"/>
        <item x="165"/>
        <item x="166"/>
        <item x="167"/>
        <item x="168"/>
        <item x="170"/>
        <item x="171"/>
        <item x="172"/>
        <item x="150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sd="0" x="189"/>
        <item x="190"/>
        <item x="192"/>
        <item x="193"/>
        <item x="194"/>
        <item x="195"/>
        <item x="196"/>
        <item x="197"/>
        <item x="198"/>
        <item x="202"/>
        <item x="203"/>
        <item x="204"/>
        <item x="151"/>
        <item x="116"/>
        <item x="191"/>
        <item x="199"/>
        <item x="200"/>
        <item x="201"/>
        <item x="205"/>
        <item x="206"/>
        <item x="208"/>
        <item x="209"/>
        <item x="210"/>
        <item x="211"/>
        <item x="212"/>
        <item x="213"/>
        <item x="214"/>
        <item x="216"/>
        <item x="220"/>
        <item x="221"/>
        <item x="223"/>
        <item x="217"/>
        <item x="218"/>
        <item x="207"/>
        <item x="224"/>
        <item x="105"/>
        <item x="215"/>
        <item x="225"/>
        <item x="226"/>
        <item x="227"/>
        <item x="228"/>
        <item x="230"/>
        <item x="231"/>
        <item x="240"/>
        <item x="245"/>
        <item x="242"/>
        <item x="238"/>
        <item x="243"/>
        <item x="169"/>
        <item x="219"/>
        <item x="222"/>
        <item x="229"/>
        <item x="232"/>
        <item x="233"/>
        <item x="234"/>
        <item x="235"/>
        <item x="236"/>
        <item x="237"/>
        <item x="239"/>
        <item x="241"/>
        <item x="246"/>
        <item x="247"/>
        <item x="249"/>
        <item x="250"/>
        <item x="251"/>
        <item x="248"/>
        <item x="244"/>
        <item x="252"/>
        <item x="253"/>
        <item x="255"/>
        <item x="256"/>
        <item x="259"/>
        <item x="257"/>
        <item x="258"/>
        <item x="260"/>
        <item x="254"/>
        <item x="263"/>
        <item x="264"/>
        <item x="261"/>
        <item x="262"/>
        <item x="276"/>
        <item x="279"/>
        <item x="265"/>
        <item x="266"/>
        <item x="267"/>
        <item x="268"/>
        <item x="269"/>
        <item x="270"/>
        <item x="271"/>
        <item x="272"/>
        <item x="275"/>
        <item x="274"/>
        <item x="277"/>
        <item x="280"/>
        <item x="278"/>
        <item x="118"/>
        <item x="282"/>
        <item x="283"/>
        <item x="284"/>
        <item x="287"/>
        <item x="288"/>
        <item x="289"/>
        <item x="131"/>
        <item x="294"/>
        <item x="290"/>
        <item x="297"/>
        <item x="302"/>
        <item x="305"/>
        <item x="308"/>
        <item x="143"/>
        <item x="311"/>
        <item x="314"/>
        <item x="113"/>
        <item x="320"/>
        <item x="322"/>
        <item x="325"/>
        <item x="315"/>
        <item x="318"/>
        <item x="321"/>
        <item x="312"/>
        <item x="323"/>
        <item x="328"/>
        <item x="273"/>
        <item x="329"/>
        <item x="298"/>
        <item x="296"/>
        <item x="281"/>
        <item x="285"/>
        <item x="286"/>
        <item x="291"/>
        <item x="292"/>
        <item x="293"/>
        <item x="295"/>
        <item x="299"/>
        <item x="300"/>
        <item x="301"/>
        <item x="303"/>
        <item x="304"/>
        <item x="306"/>
        <item x="307"/>
        <item x="309"/>
        <item x="310"/>
        <item x="313"/>
        <item x="317"/>
        <item x="319"/>
        <item x="324"/>
        <item x="326"/>
        <item x="327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50"/>
        <item x="349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1"/>
        <item x="372"/>
        <item x="373"/>
        <item x="374"/>
        <item x="375"/>
        <item x="376"/>
        <item x="370"/>
        <item x="377"/>
        <item x="378"/>
        <item x="379"/>
        <item x="380"/>
        <item x="381"/>
        <item x="382"/>
        <item x="383"/>
        <item x="384"/>
        <item x="109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3"/>
        <item x="407"/>
        <item x="409"/>
        <item x="411"/>
        <item x="410"/>
        <item x="412"/>
        <item x="419"/>
        <item x="421"/>
        <item x="422"/>
        <item x="423"/>
        <item x="404"/>
        <item x="415"/>
        <item x="416"/>
        <item x="418"/>
        <item x="420"/>
        <item x="432"/>
        <item x="430"/>
        <item x="402"/>
        <item x="405"/>
        <item x="406"/>
        <item x="408"/>
        <item x="413"/>
        <item x="414"/>
        <item x="417"/>
        <item x="424"/>
        <item x="425"/>
        <item x="426"/>
        <item x="427"/>
        <item x="434"/>
        <item x="438"/>
        <item x="428"/>
        <item x="433"/>
        <item x="437"/>
        <item x="429"/>
        <item x="431"/>
        <item x="436"/>
        <item x="439"/>
        <item x="440"/>
        <item x="441"/>
        <item x="442"/>
        <item x="443"/>
        <item x="445"/>
        <item x="446"/>
        <item x="447"/>
        <item x="450"/>
        <item x="459"/>
        <item x="464"/>
        <item x="467"/>
        <item x="468"/>
        <item x="470"/>
        <item x="471"/>
        <item x="448"/>
        <item x="454"/>
        <item x="465"/>
        <item x="449"/>
        <item x="451"/>
        <item x="452"/>
        <item x="455"/>
        <item x="457"/>
        <item x="458"/>
        <item x="460"/>
        <item x="461"/>
        <item x="462"/>
        <item x="463"/>
        <item x="472"/>
        <item x="473"/>
        <item x="474"/>
        <item x="466"/>
        <item x="469"/>
        <item x="435"/>
        <item x="444"/>
        <item x="456"/>
        <item x="453"/>
        <item x="477"/>
        <item x="479"/>
        <item x="480"/>
        <item x="475"/>
        <item x="476"/>
        <item x="478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7"/>
        <item x="498"/>
        <item x="499"/>
        <item x="496"/>
        <item x="500"/>
        <item x="501"/>
        <item x="503"/>
        <item x="506"/>
        <item x="502"/>
        <item x="504"/>
        <item x="505"/>
        <item x="507"/>
        <item x="508"/>
        <item x="509"/>
        <item x="512"/>
        <item x="513"/>
        <item x="514"/>
        <item x="510"/>
        <item x="515"/>
        <item x="516"/>
        <item x="517"/>
        <item x="518"/>
        <item x="519"/>
        <item x="520"/>
        <item x="521"/>
        <item x="522"/>
        <item x="523"/>
        <item x="524"/>
        <item x="528"/>
        <item x="529"/>
        <item x="511"/>
        <item x="525"/>
        <item x="526"/>
        <item x="527"/>
        <item x="530"/>
        <item x="531"/>
        <item x="534"/>
        <item x="532"/>
        <item x="533"/>
        <item x="536"/>
        <item x="538"/>
        <item x="539"/>
        <item x="545"/>
        <item x="547"/>
        <item x="548"/>
        <item x="553"/>
        <item x="557"/>
        <item x="537"/>
        <item x="540"/>
        <item x="541"/>
        <item x="542"/>
        <item x="543"/>
        <item x="544"/>
        <item x="546"/>
        <item x="549"/>
        <item x="550"/>
        <item x="551"/>
        <item x="552"/>
        <item x="554"/>
        <item x="555"/>
        <item x="558"/>
        <item x="559"/>
        <item x="560"/>
        <item x="561"/>
        <item x="562"/>
        <item x="556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2"/>
        <item x="585"/>
        <item x="586"/>
        <item x="588"/>
        <item x="593"/>
        <item x="594"/>
        <item x="601"/>
        <item x="602"/>
        <item x="607"/>
        <item x="608"/>
        <item x="610"/>
        <item x="580"/>
        <item x="581"/>
        <item x="583"/>
        <item x="584"/>
        <item x="587"/>
        <item x="589"/>
        <item x="590"/>
        <item x="591"/>
        <item x="592"/>
        <item x="595"/>
        <item x="596"/>
        <item x="597"/>
        <item x="598"/>
        <item x="599"/>
        <item x="603"/>
        <item x="600"/>
        <item x="604"/>
        <item x="605"/>
        <item x="609"/>
        <item x="611"/>
        <item x="612"/>
        <item x="614"/>
        <item x="617"/>
        <item x="618"/>
        <item x="535"/>
        <item x="613"/>
        <item x="615"/>
        <item x="616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2"/>
        <item x="633"/>
        <item x="637"/>
        <item x="652"/>
        <item x="645"/>
        <item x="631"/>
        <item x="634"/>
        <item x="635"/>
        <item x="636"/>
        <item x="638"/>
        <item x="639"/>
        <item x="640"/>
        <item x="641"/>
        <item x="643"/>
        <item x="644"/>
        <item x="646"/>
        <item x="647"/>
        <item x="648"/>
        <item x="649"/>
        <item x="650"/>
        <item x="651"/>
        <item x="653"/>
        <item x="655"/>
        <item x="657"/>
        <item x="654"/>
        <item x="658"/>
        <item x="659"/>
        <item x="660"/>
        <item x="661"/>
        <item x="662"/>
        <item x="664"/>
        <item x="663"/>
        <item x="665"/>
        <item x="666"/>
        <item x="667"/>
        <item x="668"/>
        <item x="669"/>
        <item x="670"/>
        <item x="671"/>
        <item x="656"/>
        <item x="672"/>
        <item x="673"/>
        <item x="674"/>
        <item x="675"/>
        <item x="606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10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826"/>
        <item x="726"/>
        <item x="728"/>
        <item x="729"/>
        <item x="730"/>
        <item x="731"/>
        <item x="727"/>
        <item x="725"/>
        <item x="708"/>
        <item x="709"/>
        <item x="711"/>
        <item x="733"/>
        <item x="734"/>
        <item x="735"/>
        <item x="736"/>
        <item x="739"/>
        <item x="740"/>
        <item x="742"/>
        <item x="743"/>
        <item x="744"/>
        <item x="745"/>
        <item x="746"/>
        <item x="747"/>
        <item x="748"/>
        <item x="749"/>
        <item x="768"/>
        <item x="774"/>
        <item x="775"/>
        <item x="776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9"/>
        <item x="770"/>
        <item x="771"/>
        <item x="772"/>
        <item x="773"/>
        <item x="777"/>
        <item x="778"/>
        <item x="779"/>
        <item x="780"/>
        <item x="781"/>
        <item x="782"/>
        <item x="784"/>
        <item x="785"/>
        <item x="786"/>
        <item x="787"/>
        <item x="788"/>
        <item x="789"/>
        <item x="790"/>
        <item x="791"/>
        <item x="792"/>
        <item x="794"/>
        <item x="795"/>
        <item x="783"/>
        <item x="793"/>
        <item x="796"/>
        <item x="797"/>
        <item x="798"/>
        <item x="802"/>
        <item x="807"/>
        <item x="808"/>
        <item x="811"/>
        <item x="812"/>
        <item x="813"/>
        <item x="809"/>
        <item x="815"/>
        <item x="817"/>
        <item x="818"/>
        <item x="819"/>
        <item x="820"/>
        <item x="822"/>
        <item x="825"/>
        <item x="799"/>
        <item x="800"/>
        <item x="801"/>
        <item x="803"/>
        <item x="804"/>
        <item x="805"/>
        <item x="806"/>
        <item x="810"/>
        <item x="814"/>
        <item x="816"/>
        <item x="821"/>
        <item x="823"/>
        <item x="824"/>
        <item x="829"/>
        <item x="831"/>
        <item x="834"/>
        <item x="835"/>
        <item x="836"/>
        <item x="841"/>
        <item x="842"/>
        <item x="845"/>
        <item x="846"/>
        <item x="827"/>
        <item x="828"/>
        <item x="830"/>
        <item x="832"/>
        <item x="833"/>
        <item x="837"/>
        <item x="838"/>
        <item x="839"/>
        <item x="840"/>
        <item x="843"/>
        <item x="844"/>
        <item x="847"/>
        <item x="848"/>
        <item x="849"/>
        <item x="850"/>
        <item x="851"/>
        <item x="852"/>
        <item x="853"/>
        <item x="854"/>
        <item x="855"/>
        <item x="856"/>
        <item x="858"/>
        <item x="857"/>
        <item x="859"/>
        <item x="860"/>
        <item x="861"/>
        <item x="862"/>
        <item x="863"/>
        <item x="864"/>
        <item x="865"/>
        <item x="724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3"/>
        <item x="884"/>
        <item x="900"/>
        <item x="899"/>
        <item x="901"/>
        <item x="902"/>
        <item x="886"/>
        <item x="890"/>
        <item x="893"/>
        <item x="891"/>
        <item x="892"/>
        <item x="895"/>
        <item x="896"/>
        <item x="897"/>
        <item x="904"/>
        <item x="905"/>
        <item x="907"/>
        <item x="908"/>
        <item x="909"/>
        <item x="910"/>
        <item x="914"/>
        <item x="916"/>
        <item x="917"/>
        <item x="921"/>
        <item x="923"/>
        <item x="925"/>
        <item x="926"/>
        <item x="927"/>
        <item x="928"/>
        <item x="929"/>
        <item x="940"/>
        <item x="930"/>
        <item x="931"/>
        <item x="932"/>
        <item x="933"/>
        <item x="934"/>
        <item x="937"/>
        <item x="938"/>
        <item x="939"/>
        <item x="941"/>
        <item x="942"/>
        <item x="943"/>
        <item x="944"/>
        <item x="887"/>
        <item x="945"/>
        <item x="946"/>
        <item x="947"/>
        <item x="958"/>
        <item x="948"/>
        <item x="949"/>
        <item x="959"/>
        <item x="951"/>
        <item x="965"/>
        <item x="952"/>
        <item x="974"/>
        <item x="954"/>
        <item x="956"/>
        <item x="957"/>
        <item x="984"/>
        <item x="960"/>
        <item x="961"/>
        <item x="986"/>
        <item x="962"/>
        <item x="963"/>
        <item x="993"/>
        <item x="966"/>
        <item x="967"/>
        <item x="997"/>
        <item x="968"/>
        <item x="970"/>
        <item x="971"/>
        <item x="972"/>
        <item x="973"/>
        <item x="998"/>
        <item x="975"/>
        <item x="976"/>
        <item x="935"/>
        <item x="977"/>
        <item x="978"/>
        <item x="964"/>
        <item x="980"/>
        <item x="981"/>
        <item x="982"/>
        <item x="979"/>
        <item x="983"/>
        <item x="985"/>
        <item x="987"/>
        <item x="988"/>
        <item x="989"/>
        <item x="990"/>
        <item x="991"/>
        <item x="994"/>
        <item x="995"/>
        <item x="999"/>
        <item x="936"/>
        <item x="950"/>
        <item x="996"/>
        <item x="953"/>
        <item x="955"/>
        <item x="96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885"/>
        <item x="889"/>
        <item x="888"/>
        <item x="894"/>
        <item x="898"/>
        <item x="903"/>
        <item x="906"/>
        <item x="912"/>
        <item x="911"/>
        <item x="913"/>
        <item x="915"/>
        <item x="992"/>
        <item x="920"/>
        <item x="918"/>
        <item x="919"/>
        <item x="922"/>
        <item x="924"/>
        <item x="1040"/>
        <item x="1041"/>
        <item x="1042"/>
        <item x="1043"/>
        <item x="1046"/>
        <item x="1044"/>
        <item x="1045"/>
        <item x="1048"/>
        <item x="1049"/>
        <item x="1047"/>
        <item x="1050"/>
        <item x="1052"/>
        <item x="1051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2"/>
        <item x="1083"/>
        <item x="1084"/>
        <item x="1085"/>
        <item x="1086"/>
        <item x="1087"/>
        <item x="1081"/>
        <item x="1088"/>
        <item x="1089"/>
        <item x="1090"/>
        <item x="1091"/>
        <item x="1092"/>
        <item x="1093"/>
        <item x="732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3"/>
        <item x="1174"/>
        <item x="1175"/>
        <item x="1176"/>
        <item x="1177"/>
        <item x="1178"/>
        <item x="1179"/>
        <item x="1180"/>
        <item x="1181"/>
        <item x="1182"/>
        <item x="1185"/>
        <item x="1186"/>
        <item x="1172"/>
        <item x="1184"/>
        <item x="1183"/>
        <item x="1187"/>
        <item x="1192"/>
        <item x="1188"/>
        <item x="1189"/>
        <item x="1190"/>
        <item x="1191"/>
        <item x="1193"/>
        <item x="1194"/>
        <item x="1195"/>
        <item x="1196"/>
        <item x="1197"/>
        <item x="1198"/>
        <item x="1199"/>
        <item x="1209"/>
        <item x="1215"/>
        <item x="1219"/>
        <item x="1220"/>
        <item x="1224"/>
        <item x="1217"/>
        <item x="1200"/>
        <item x="1201"/>
        <item x="1204"/>
        <item x="1206"/>
        <item x="1207"/>
        <item x="1208"/>
        <item x="1212"/>
        <item x="1213"/>
        <item x="1221"/>
        <item x="1222"/>
        <item x="1218"/>
        <item x="1225"/>
        <item x="1214"/>
        <item x="1210"/>
        <item x="1202"/>
        <item x="1205"/>
        <item x="1211"/>
        <item x="1216"/>
        <item x="1223"/>
        <item x="1226"/>
        <item x="1228"/>
        <item x="1229"/>
        <item x="1234"/>
        <item x="1235"/>
        <item x="1236"/>
        <item x="1237"/>
        <item x="1238"/>
        <item x="1240"/>
        <item x="1233"/>
        <item x="1203"/>
        <item x="1231"/>
        <item x="1227"/>
        <item x="1232"/>
        <item x="1248"/>
        <item x="1249"/>
        <item x="1250"/>
        <item x="1252"/>
        <item x="1253"/>
        <item x="1230"/>
        <item x="1239"/>
        <item x="1242"/>
        <item x="1247"/>
        <item x="1245"/>
        <item x="1244"/>
        <item x="1243"/>
        <item x="1258"/>
        <item x="1267"/>
        <item x="1260"/>
        <item x="1261"/>
        <item x="1264"/>
        <item x="1265"/>
        <item x="1268"/>
        <item x="1266"/>
        <item x="1275"/>
        <item x="1273"/>
        <item x="1269"/>
        <item x="1276"/>
        <item x="1262"/>
        <item x="1271"/>
        <item x="1270"/>
        <item x="1272"/>
        <item x="1263"/>
        <item x="1274"/>
        <item x="1281"/>
        <item x="1282"/>
        <item x="1283"/>
        <item x="1284"/>
        <item x="1259"/>
        <item x="1292"/>
        <item x="1297"/>
        <item x="1287"/>
        <item x="1293"/>
        <item x="1304"/>
        <item x="1246"/>
        <item x="1251"/>
        <item x="1254"/>
        <item x="1241"/>
        <item x="1305"/>
        <item x="1352"/>
        <item x="1277"/>
        <item x="1278"/>
        <item x="1294"/>
        <item x="1306"/>
        <item x="1321"/>
        <item x="1365"/>
        <item x="1359"/>
        <item x="1353"/>
        <item x="1354"/>
        <item x="1349"/>
        <item x="1333"/>
        <item x="1360"/>
        <item x="1345"/>
        <item x="1357"/>
        <item x="1339"/>
        <item x="1334"/>
        <item x="1335"/>
        <item x="1340"/>
        <item x="1343"/>
        <item x="1346"/>
        <item x="1342"/>
        <item x="1341"/>
        <item x="1336"/>
        <item x="1347"/>
        <item x="1350"/>
        <item x="1358"/>
        <item x="1367"/>
        <item x="1355"/>
        <item x="1351"/>
        <item x="1348"/>
        <item x="1369"/>
        <item x="1370"/>
        <item x="1337"/>
        <item x="1344"/>
        <item x="1368"/>
        <item x="1356"/>
        <item x="1361"/>
        <item x="1366"/>
        <item x="1372"/>
        <item x="1373"/>
        <item x="1374"/>
        <item x="1375"/>
        <item x="1383"/>
        <item x="1384"/>
        <item x="1385"/>
        <item x="1391"/>
        <item x="1392"/>
        <item x="1394"/>
        <item x="1397"/>
        <item x="1398"/>
        <item x="1400"/>
        <item x="1401"/>
        <item x="1404"/>
        <item x="1407"/>
        <item x="1408"/>
        <item x="1409"/>
        <item x="1410"/>
        <item x="1423"/>
        <item x="1426"/>
        <item x="1431"/>
        <item x="1435"/>
        <item x="1439"/>
        <item x="1441"/>
        <item x="1444"/>
        <item x="1445"/>
        <item x="1451"/>
        <item x="1452"/>
        <item x="1453"/>
        <item x="1454"/>
        <item x="1462"/>
        <item x="1466"/>
        <item x="1402"/>
        <item x="1403"/>
        <item x="1421"/>
        <item x="1422"/>
        <item x="1427"/>
        <item x="1376"/>
        <item x="1377"/>
        <item x="1432"/>
        <item x="1437"/>
        <item x="1442"/>
        <item x="316"/>
        <item x="882"/>
        <item x="1279"/>
        <item x="1280"/>
        <item x="1285"/>
        <item x="1286"/>
        <item x="1288"/>
        <item x="1289"/>
        <item x="1290"/>
        <item x="1291"/>
        <item x="1295"/>
        <item x="1296"/>
        <item x="1298"/>
        <item x="1299"/>
        <item x="1300"/>
        <item x="1301"/>
        <item x="1302"/>
        <item x="1303"/>
        <item x="1307"/>
        <item x="1308"/>
        <item x="1309"/>
        <item x="1310"/>
        <item x="1311"/>
        <item x="1312"/>
        <item x="1313"/>
        <item x="1314"/>
        <item x="1315"/>
        <item x="1316"/>
        <item x="1318"/>
        <item x="1319"/>
        <item x="1320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62"/>
        <item x="1363"/>
        <item x="1364"/>
        <item x="1371"/>
        <item x="1378"/>
        <item x="1379"/>
        <item x="1380"/>
        <item x="1381"/>
        <item x="1382"/>
        <item x="1386"/>
        <item x="1387"/>
        <item x="1388"/>
        <item x="1389"/>
        <item x="1390"/>
        <item x="1393"/>
        <item x="1395"/>
        <item x="1396"/>
        <item x="1399"/>
        <item x="1405"/>
        <item x="1406"/>
        <item x="1411"/>
        <item x="1412"/>
        <item x="1413"/>
        <item x="1414"/>
        <item x="1415"/>
        <item x="1416"/>
        <item x="1417"/>
        <item x="1418"/>
        <item x="1419"/>
        <item x="1420"/>
        <item x="1424"/>
        <item x="1425"/>
        <item x="1428"/>
        <item x="1430"/>
        <item x="1433"/>
        <item x="1434"/>
        <item x="1436"/>
        <item x="1438"/>
        <item x="1440"/>
        <item x="1443"/>
        <item x="1446"/>
        <item x="1447"/>
        <item x="1448"/>
        <item x="1449"/>
        <item x="1450"/>
        <item x="1455"/>
        <item x="1456"/>
        <item x="1457"/>
        <item x="1458"/>
        <item x="1459"/>
        <item x="1460"/>
        <item x="1461"/>
        <item x="1463"/>
        <item x="1464"/>
        <item x="1465"/>
        <item x="1467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9"/>
        <item x="1510"/>
        <item x="1511"/>
        <item x="1513"/>
        <item x="1514"/>
        <item x="1516"/>
        <item x="1517"/>
        <item x="1518"/>
        <item x="1519"/>
        <item x="1520"/>
        <item x="1521"/>
        <item x="1522"/>
        <item x="1523"/>
        <item x="1525"/>
        <item x="1527"/>
        <item x="1528"/>
        <item x="1529"/>
        <item x="1530"/>
        <item x="1531"/>
        <item x="1532"/>
        <item x="1535"/>
        <item x="1536"/>
        <item x="1537"/>
        <item x="1538"/>
        <item x="1540"/>
        <item x="1541"/>
        <item x="1543"/>
        <item x="1545"/>
        <item x="1547"/>
        <item x="1548"/>
        <item x="1551"/>
        <item x="1552"/>
        <item x="1553"/>
        <item x="1555"/>
        <item x="1556"/>
        <item x="1557"/>
        <item x="1561"/>
        <item x="1562"/>
        <item x="1563"/>
        <item x="1564"/>
        <item x="1566"/>
        <item x="1568"/>
        <item x="1569"/>
        <item x="1571"/>
        <item x="1572"/>
        <item x="1576"/>
        <item x="1579"/>
        <item x="1582"/>
        <item x="1317"/>
        <item x="1524"/>
        <item x="1583"/>
        <item x="1584"/>
        <item x="1559"/>
        <item x="1592"/>
        <item x="1596"/>
        <item x="1599"/>
        <item x="1600"/>
        <item x="1601"/>
        <item x="1608"/>
        <item x="1611"/>
        <item x="1614"/>
        <item x="1615"/>
        <item x="1593"/>
        <item x="1589"/>
        <item x="1594"/>
        <item x="1602"/>
        <item x="1603"/>
        <item x="1613"/>
        <item x="1544"/>
        <item x="1546"/>
        <item x="1558"/>
        <item x="1565"/>
        <item x="1581"/>
        <item x="1542"/>
        <item x="1580"/>
        <item x="1585"/>
        <item x="1586"/>
        <item x="1588"/>
        <item x="1590"/>
        <item x="1595"/>
        <item x="1597"/>
        <item x="1598"/>
        <item x="1604"/>
        <item x="1605"/>
        <item x="1612"/>
        <item x="1638"/>
        <item x="1633"/>
        <item x="1628"/>
        <item x="1625"/>
        <item x="1512"/>
        <item x="1515"/>
        <item x="1526"/>
        <item x="1533"/>
        <item x="1534"/>
        <item x="1560"/>
        <item x="1573"/>
        <item x="1577"/>
        <item x="1587"/>
        <item x="1591"/>
        <item x="1606"/>
        <item x="1609"/>
        <item x="1617"/>
        <item x="1618"/>
        <item x="1620"/>
        <item x="1621"/>
        <item x="1622"/>
        <item x="1623"/>
        <item x="1624"/>
        <item x="1626"/>
        <item x="1627"/>
        <item x="1629"/>
        <item x="1630"/>
        <item x="1631"/>
        <item x="1632"/>
        <item x="1634"/>
        <item x="1635"/>
        <item x="1636"/>
        <item x="1637"/>
        <item x="1639"/>
        <item x="1640"/>
        <item x="1508"/>
        <item x="1643"/>
        <item x="1645"/>
        <item x="1646"/>
        <item x="1647"/>
        <item x="1648"/>
        <item x="1650"/>
        <item x="1651"/>
        <item x="1653"/>
        <item x="1654"/>
        <item x="1655"/>
        <item x="1657"/>
        <item x="1660"/>
        <item x="1673"/>
        <item x="1683"/>
        <item x="1684"/>
        <item x="1685"/>
        <item x="1686"/>
        <item x="1687"/>
        <item x="1688"/>
        <item x="1692"/>
        <item x="1695"/>
        <item x="1680"/>
        <item x="1689"/>
        <item x="1697"/>
        <item x="1698"/>
        <item x="1678"/>
        <item x="1681"/>
        <item x="1682"/>
        <item x="1679"/>
        <item x="1693"/>
        <item x="1696"/>
        <item x="1700"/>
        <item x="1701"/>
        <item x="1702"/>
        <item x="1707"/>
        <item x="1694"/>
        <item x="1690"/>
        <item x="1549"/>
        <item x="1550"/>
        <item x="1554"/>
        <item x="1567"/>
        <item x="1570"/>
        <item x="1574"/>
        <item x="1575"/>
        <item x="1578"/>
        <item x="1607"/>
        <item x="1610"/>
        <item x="1616"/>
        <item x="1619"/>
        <item x="1641"/>
        <item x="1642"/>
        <item x="1644"/>
        <item x="1649"/>
        <item x="1652"/>
        <item x="1656"/>
        <item x="1658"/>
        <item x="1659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4"/>
        <item x="1675"/>
        <item x="1676"/>
        <item x="1677"/>
        <item x="1691"/>
        <item x="1708"/>
        <item x="1709"/>
        <item x="1710"/>
        <item x="1711"/>
        <item x="1338"/>
        <item x="1699"/>
        <item x="1703"/>
        <item x="1704"/>
        <item x="642"/>
        <item x="737"/>
        <item x="1255"/>
        <item x="1539"/>
        <item x="738"/>
        <item x="741"/>
        <item x="1256"/>
        <item x="1257"/>
        <item x="1429"/>
        <item x="1468"/>
        <item x="1705"/>
        <item x="1706"/>
        <item x="1716"/>
        <item x="1712"/>
        <item x="1713"/>
        <item x="1714"/>
        <item x="1715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</items>
    </pivotField>
    <pivotField multipleItemSelectionAllowed="1" showAll="0" defaultSubtotal="0"/>
    <pivotField axis="axisRow" showAll="0" defaultSubtotal="0">
      <items count="140">
        <item x="22"/>
        <item x="41"/>
        <item x="45"/>
        <item x="43"/>
        <item x="70"/>
        <item x="61"/>
        <item x="16"/>
        <item x="71"/>
        <item x="57"/>
        <item x="56"/>
        <item x="65"/>
        <item x="60"/>
        <item x="66"/>
        <item x="59"/>
        <item x="0"/>
        <item x="17"/>
        <item x="1"/>
        <item x="11"/>
        <item x="10"/>
        <item x="54"/>
        <item x="13"/>
        <item x="33"/>
        <item x="35"/>
        <item x="29"/>
        <item x="12"/>
        <item x="3"/>
        <item x="48"/>
        <item x="40"/>
        <item x="6"/>
        <item x="38"/>
        <item x="14"/>
        <item x="64"/>
        <item x="7"/>
        <item x="37"/>
        <item x="19"/>
        <item x="9"/>
        <item x="25"/>
        <item x="32"/>
        <item x="53"/>
        <item x="31"/>
        <item x="20"/>
        <item x="30"/>
        <item x="36"/>
        <item x="34"/>
        <item x="2"/>
        <item x="21"/>
        <item x="42"/>
        <item x="55"/>
        <item x="4"/>
        <item x="8"/>
        <item x="63"/>
        <item x="51"/>
        <item x="52"/>
        <item x="58"/>
        <item x="50"/>
        <item x="23"/>
        <item x="49"/>
        <item x="47"/>
        <item x="39"/>
        <item x="15"/>
        <item x="5"/>
        <item x="44"/>
        <item x="28"/>
        <item x="46"/>
        <item x="26"/>
        <item x="27"/>
        <item x="24"/>
        <item x="18"/>
        <item x="62"/>
        <item x="72"/>
        <item x="73"/>
        <item x="74"/>
        <item x="76"/>
        <item x="77"/>
        <item x="78"/>
        <item x="81"/>
        <item x="82"/>
        <item x="79"/>
        <item x="80"/>
        <item x="83"/>
        <item x="84"/>
        <item x="68"/>
        <item x="85"/>
        <item x="90"/>
        <item x="88"/>
        <item x="91"/>
        <item x="92"/>
        <item x="89"/>
        <item x="67"/>
        <item x="69"/>
        <item x="75"/>
        <item x="86"/>
        <item x="94"/>
        <item x="95"/>
        <item x="87"/>
        <item x="93"/>
        <item x="99"/>
        <item x="100"/>
        <item x="105"/>
        <item x="104"/>
        <item x="96"/>
        <item x="97"/>
        <item x="98"/>
        <item x="101"/>
        <item x="103"/>
        <item x="106"/>
        <item x="108"/>
        <item x="102"/>
        <item x="109"/>
        <item x="110"/>
        <item x="107"/>
        <item x="111"/>
        <item x="112"/>
        <item x="113"/>
        <item x="114"/>
        <item x="115"/>
        <item x="116"/>
        <item x="117"/>
        <item x="118"/>
        <item x="120"/>
        <item x="119"/>
        <item x="122"/>
        <item x="121"/>
        <item x="125"/>
        <item x="124"/>
        <item x="123"/>
        <item x="128"/>
        <item x="126"/>
        <item x="127"/>
        <item x="129"/>
        <item x="130"/>
        <item x="131"/>
        <item x="133"/>
        <item x="134"/>
        <item x="135"/>
        <item x="136"/>
        <item x="132"/>
        <item x="137"/>
        <item x="138"/>
        <item x="139"/>
      </items>
    </pivotField>
    <pivotField subtotalTop="0" showAll="0" defaultSubtotal="0"/>
    <pivotField subtotalTop="0" showAll="0" defaultSubtotal="0"/>
    <pivotField subtotalTop="0" showAll="0" defaultSubtotal="0"/>
    <pivotField axis="axisPage" subtotalTop="0" showAll="0" defaultSubtotal="0">
      <items count="3">
        <item x="1"/>
        <item x="0"/>
        <item x="2"/>
      </items>
    </pivotField>
  </pivotFields>
  <rowFields count="6">
    <field x="0"/>
    <field x="2"/>
    <field x="3"/>
    <field x="7"/>
    <field x="9"/>
    <field x="11"/>
  </rowFields>
  <rowItems count="3">
    <i>
      <x v="671"/>
      <x v="1"/>
      <x v="9"/>
      <x v="63"/>
      <x v="270"/>
      <x v="136"/>
    </i>
    <i>
      <x v="784"/>
      <x v="1"/>
      <x v="8"/>
      <x v="1407"/>
      <x v="1683"/>
      <x v="135"/>
    </i>
    <i>
      <x v="835"/>
      <x v="3"/>
      <x v="1"/>
      <x v="1425"/>
      <x v="1714"/>
      <x v="138"/>
    </i>
  </rowItems>
  <colItems count="1">
    <i/>
  </colItems>
  <pageFields count="1">
    <pageField fld="15" item="0" hier="-1"/>
  </pageFields>
  <formats count="16">
    <format dxfId="70">
      <pivotArea type="all" dataOnly="0" outline="0" fieldPosition="0"/>
    </format>
    <format dxfId="69">
      <pivotArea field="0" type="button" dataOnly="0" labelOnly="1" outline="0" axis="axisRow" fieldPosition="0"/>
    </format>
    <format dxfId="68">
      <pivotArea field="2" type="button" dataOnly="0" labelOnly="1" outline="0" axis="axisRow" fieldPosition="1"/>
    </format>
    <format dxfId="67">
      <pivotArea field="3" type="button" dataOnly="0" labelOnly="1" outline="0" axis="axisRow" fieldPosition="2"/>
    </format>
    <format dxfId="66">
      <pivotArea field="7" type="button" dataOnly="0" labelOnly="1" outline="0" axis="axisRow" fieldPosition="3"/>
    </format>
    <format dxfId="65">
      <pivotArea field="9" type="button" dataOnly="0" labelOnly="1" outline="0" axis="axisRow" fieldPosition="4"/>
    </format>
    <format dxfId="64">
      <pivotArea field="11" type="button" dataOnly="0" labelOnly="1" outline="0" axis="axisRow" fieldPosition="5"/>
    </format>
    <format dxfId="63">
      <pivotArea dataOnly="0" labelOnly="1" fieldPosition="0">
        <references count="1">
          <reference field="0" count="3">
            <x v="597"/>
            <x v="603"/>
            <x v="612"/>
          </reference>
        </references>
      </pivotArea>
    </format>
    <format dxfId="62">
      <pivotArea dataOnly="0" labelOnly="1" fieldPosition="0">
        <references count="2">
          <reference field="0" count="1" selected="0">
            <x v="597"/>
          </reference>
          <reference field="2" count="1">
            <x v="1"/>
          </reference>
        </references>
      </pivotArea>
    </format>
    <format dxfId="61">
      <pivotArea dataOnly="0" labelOnly="1" fieldPosition="0">
        <references count="3">
          <reference field="0" count="1" selected="0">
            <x v="597"/>
          </reference>
          <reference field="2" count="1" selected="0">
            <x v="1"/>
          </reference>
          <reference field="3" count="1">
            <x v="9"/>
          </reference>
        </references>
      </pivotArea>
    </format>
    <format dxfId="60">
      <pivotArea dataOnly="0" labelOnly="1" fieldPosition="0">
        <references count="4">
          <reference field="0" count="1" selected="0">
            <x v="597"/>
          </reference>
          <reference field="2" count="1" selected="0">
            <x v="1"/>
          </reference>
          <reference field="3" count="1" selected="0">
            <x v="9"/>
          </reference>
          <reference field="7" count="1">
            <x v="998"/>
          </reference>
        </references>
      </pivotArea>
    </format>
    <format dxfId="59">
      <pivotArea dataOnly="0" labelOnly="1" fieldPosition="0">
        <references count="4">
          <reference field="0" count="1" selected="0">
            <x v="603"/>
          </reference>
          <reference field="2" count="1" selected="0">
            <x v="1"/>
          </reference>
          <reference field="3" count="1" selected="0">
            <x v="9"/>
          </reference>
          <reference field="7" count="1">
            <x v="1009"/>
          </reference>
        </references>
      </pivotArea>
    </format>
    <format dxfId="58">
      <pivotArea dataOnly="0" labelOnly="1" fieldPosition="0">
        <references count="5">
          <reference field="0" count="1" selected="0">
            <x v="597"/>
          </reference>
          <reference field="2" count="1" selected="0">
            <x v="1"/>
          </reference>
          <reference field="3" count="1" selected="0">
            <x v="9"/>
          </reference>
          <reference field="7" count="1" selected="0">
            <x v="998"/>
          </reference>
          <reference field="9" count="1">
            <x v="1223"/>
          </reference>
        </references>
      </pivotArea>
    </format>
    <format dxfId="57">
      <pivotArea dataOnly="0" labelOnly="1" fieldPosition="0">
        <references count="5">
          <reference field="0" count="1" selected="0">
            <x v="612"/>
          </reference>
          <reference field="2" count="1" selected="0">
            <x v="1"/>
          </reference>
          <reference field="3" count="1" selected="0">
            <x v="9"/>
          </reference>
          <reference field="7" count="1" selected="0">
            <x v="1009"/>
          </reference>
          <reference field="9" count="1">
            <x v="1274"/>
          </reference>
        </references>
      </pivotArea>
    </format>
    <format dxfId="56">
      <pivotArea dataOnly="0" labelOnly="1" fieldPosition="0">
        <references count="6">
          <reference field="0" count="1" selected="0">
            <x v="597"/>
          </reference>
          <reference field="2" count="1" selected="0">
            <x v="1"/>
          </reference>
          <reference field="3" count="1" selected="0">
            <x v="9"/>
          </reference>
          <reference field="7" count="1" selected="0">
            <x v="998"/>
          </reference>
          <reference field="9" count="1" selected="0">
            <x v="1223"/>
          </reference>
          <reference field="11" count="1">
            <x v="125"/>
          </reference>
        </references>
      </pivotArea>
    </format>
    <format dxfId="55">
      <pivotArea dataOnly="0" labelOnly="1" fieldPosition="0">
        <references count="6">
          <reference field="0" count="1" selected="0">
            <x v="612"/>
          </reference>
          <reference field="2" count="1" selected="0">
            <x v="1"/>
          </reference>
          <reference field="3" count="1" selected="0">
            <x v="9"/>
          </reference>
          <reference field="7" count="1" selected="0">
            <x v="1009"/>
          </reference>
          <reference field="9" count="1" selected="0">
            <x v="1274"/>
          </reference>
          <reference field="11" count="1">
            <x v="67"/>
          </reference>
        </references>
      </pivotArea>
    </format>
  </formats>
  <pivotTableStyleInfo name="PivotStyleMedium9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4" indent="0" outline="1" outlineData="1" multipleFieldFilters="0">
  <location ref="A4:B48" firstHeaderRow="1" firstDataRow="1" firstDataCol="2"/>
  <pivotFields count="16">
    <pivotField numFmtId="14" outline="0" showAll="0" defaultSubtotal="0"/>
    <pivotField showAll="0"/>
    <pivotField axis="axisRow" outline="0" showAll="0" defaultSubtotal="0">
      <items count="11">
        <item x="0"/>
        <item x="6"/>
        <item x="1"/>
        <item x="2"/>
        <item x="3"/>
        <item x="5"/>
        <item x="4"/>
        <item x="8"/>
        <item x="9"/>
        <item x="7"/>
        <item x="10"/>
      </items>
    </pivotField>
    <pivotField axis="axisRow" outline="0" multipleItemSelectionAllowed="1" showAll="0" defaultSubtotal="0">
      <items count="42">
        <item x="5"/>
        <item x="4"/>
        <item x="7"/>
        <item x="21"/>
        <item x="23"/>
        <item x="24"/>
        <item x="14"/>
        <item x="8"/>
        <item x="3"/>
        <item x="2"/>
        <item x="0"/>
        <item x="16"/>
        <item x="11"/>
        <item x="10"/>
        <item x="1"/>
        <item x="20"/>
        <item x="22"/>
        <item x="25"/>
        <item x="19"/>
        <item x="26"/>
        <item x="28"/>
        <item x="29"/>
        <item x="30"/>
        <item x="6"/>
        <item x="9"/>
        <item x="15"/>
        <item x="32"/>
        <item x="34"/>
        <item x="35"/>
        <item x="36"/>
        <item x="37"/>
        <item x="33"/>
        <item x="18"/>
        <item x="31"/>
        <item x="27"/>
        <item x="12"/>
        <item x="13"/>
        <item x="17"/>
        <item x="38"/>
        <item x="39"/>
        <item x="40"/>
        <item x="41"/>
      </items>
    </pivotField>
    <pivotField showAll="0"/>
    <pivotField showAll="0"/>
    <pivotField outline="0" showAll="0" defaultSubtotal="0"/>
    <pivotField showAll="0"/>
    <pivotField showAll="0"/>
    <pivotField outline="0" showAll="0" defaultSubtotal="0"/>
    <pivotField showAll="0"/>
    <pivotField showAll="0" defaultSubtotal="0"/>
    <pivotField showAll="0"/>
    <pivotField showAll="0"/>
    <pivotField showAll="0"/>
    <pivotField showAll="0"/>
  </pivotFields>
  <rowFields count="2">
    <field x="2"/>
    <field x="3"/>
  </rowFields>
  <rowItems count="44">
    <i>
      <x/>
      <x v="1"/>
    </i>
    <i r="1">
      <x v="2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7"/>
    </i>
    <i r="1">
      <x v="35"/>
    </i>
    <i r="1">
      <x v="36"/>
    </i>
    <i r="1">
      <x v="37"/>
    </i>
    <i r="1">
      <x v="41"/>
    </i>
    <i>
      <x v="1"/>
      <x v="4"/>
    </i>
    <i>
      <x v="2"/>
      <x v="8"/>
    </i>
    <i r="1">
      <x v="9"/>
    </i>
    <i>
      <x v="3"/>
      <x/>
    </i>
    <i r="1">
      <x v="34"/>
    </i>
    <i>
      <x v="4"/>
      <x v="22"/>
    </i>
    <i r="1">
      <x v="23"/>
    </i>
    <i r="1">
      <x v="31"/>
    </i>
    <i>
      <x v="5"/>
      <x v="24"/>
    </i>
    <i r="1">
      <x v="25"/>
    </i>
    <i>
      <x v="6"/>
      <x v="3"/>
    </i>
    <i r="1">
      <x v="4"/>
    </i>
    <i r="1">
      <x v="5"/>
    </i>
    <i r="1">
      <x v="6"/>
    </i>
    <i r="1">
      <x v="7"/>
    </i>
    <i r="1">
      <x v="21"/>
    </i>
    <i r="1">
      <x v="29"/>
    </i>
    <i r="1">
      <x v="32"/>
    </i>
    <i r="1">
      <x v="33"/>
    </i>
    <i>
      <x v="7"/>
      <x v="28"/>
    </i>
    <i r="1">
      <x v="30"/>
    </i>
    <i r="1">
      <x v="39"/>
    </i>
    <i>
      <x v="8"/>
      <x v="38"/>
    </i>
    <i>
      <x v="9"/>
      <x v="26"/>
    </i>
    <i>
      <x v="10"/>
      <x v="40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eau croisé dynamique1" cacheId="0" applyNumberFormats="0" applyBorderFormats="0" applyFontFormats="0" applyPatternFormats="0" applyAlignmentFormats="0" applyWidthHeightFormats="1" dataCaption="Valeurs" missingCaption="0" updatedVersion="8" minRefreshableVersion="3" showDrill="0" rowGrandTotals="0" colGrandTotals="0" itemPrintTitles="1" createdVersion="4" indent="0" compact="0" compactData="0" multipleFieldFilters="0" customListSort="0">
  <location ref="A12:F1051" firstHeaderRow="1" firstDataRow="1" firstDataCol="6"/>
  <pivotFields count="16">
    <pivotField axis="axisRow" compact="0" numFmtId="14" outline="0" showAll="0" defaultSubtotal="0">
      <items count="10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4"/>
        <item x="125"/>
        <item x="127"/>
        <item x="128"/>
        <item x="129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5"/>
        <item x="433"/>
        <item x="233"/>
        <item x="234"/>
        <item x="236"/>
        <item x="237"/>
        <item x="238"/>
        <item x="240"/>
        <item x="241"/>
        <item x="239"/>
        <item x="242"/>
        <item x="243"/>
        <item x="244"/>
        <item x="245"/>
        <item x="246"/>
        <item x="247"/>
        <item x="248"/>
        <item x="249"/>
        <item x="250"/>
        <item x="251"/>
        <item x="20"/>
        <item x="37"/>
        <item x="252"/>
        <item x="253"/>
        <item x="254"/>
        <item x="257"/>
        <item x="258"/>
        <item x="96"/>
        <item x="259"/>
        <item x="123"/>
        <item x="126"/>
        <item x="130"/>
        <item x="260"/>
        <item x="262"/>
        <item x="264"/>
        <item x="255"/>
        <item x="256"/>
        <item x="261"/>
        <item x="263"/>
        <item x="265"/>
        <item x="267"/>
        <item x="269"/>
        <item x="266"/>
        <item x="268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96"/>
        <item x="289"/>
        <item x="297"/>
        <item x="285"/>
        <item x="286"/>
        <item x="287"/>
        <item x="288"/>
        <item x="290"/>
        <item x="291"/>
        <item x="292"/>
        <item x="293"/>
        <item x="294"/>
        <item x="295"/>
        <item x="298"/>
        <item x="299"/>
        <item x="300"/>
        <item x="301"/>
        <item x="302"/>
        <item x="303"/>
        <item x="304"/>
        <item x="307"/>
        <item x="308"/>
        <item x="305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4"/>
        <item x="336"/>
        <item x="337"/>
        <item x="338"/>
        <item x="339"/>
        <item x="340"/>
        <item x="341"/>
        <item x="342"/>
        <item x="343"/>
        <item x="344"/>
        <item x="346"/>
        <item x="348"/>
        <item x="349"/>
        <item x="350"/>
        <item x="347"/>
        <item x="345"/>
        <item x="332"/>
        <item x="333"/>
        <item x="335"/>
        <item x="351"/>
        <item x="352"/>
        <item x="353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73"/>
        <item x="375"/>
        <item x="374"/>
        <item x="367"/>
        <item x="368"/>
        <item x="369"/>
        <item x="370"/>
        <item x="371"/>
        <item x="372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90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4"/>
        <item x="406"/>
        <item x="388"/>
        <item x="389"/>
        <item x="391"/>
        <item x="403"/>
        <item x="405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8"/>
        <item x="429"/>
        <item x="430"/>
        <item x="432"/>
        <item x="434"/>
        <item x="435"/>
        <item x="436"/>
        <item x="439"/>
        <item x="440"/>
        <item x="441"/>
        <item x="442"/>
        <item x="426"/>
        <item x="427"/>
        <item x="431"/>
        <item x="437"/>
        <item x="438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7"/>
        <item x="464"/>
        <item x="465"/>
        <item x="458"/>
        <item x="459"/>
        <item x="460"/>
        <item x="461"/>
        <item x="462"/>
        <item x="466"/>
        <item x="467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1"/>
        <item x="485"/>
        <item x="480"/>
        <item x="489"/>
        <item x="482"/>
        <item x="483"/>
        <item x="484"/>
        <item x="490"/>
        <item x="486"/>
        <item x="487"/>
        <item x="492"/>
        <item x="494"/>
        <item x="488"/>
        <item x="496"/>
        <item x="497"/>
        <item x="500"/>
        <item x="491"/>
        <item x="501"/>
        <item x="493"/>
        <item x="495"/>
        <item x="498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499"/>
        <item x="463"/>
        <item x="468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2"/>
        <item x="575"/>
        <item x="578"/>
        <item x="579"/>
        <item x="577"/>
        <item x="576"/>
        <item x="580"/>
        <item x="581"/>
        <item x="582"/>
        <item x="585"/>
        <item x="587"/>
        <item x="589"/>
        <item x="591"/>
        <item x="583"/>
        <item x="584"/>
        <item x="586"/>
        <item x="588"/>
        <item x="590"/>
        <item x="592"/>
        <item x="593"/>
        <item x="595"/>
        <item x="596"/>
        <item x="597"/>
        <item x="598"/>
        <item x="599"/>
        <item x="600"/>
        <item x="601"/>
        <item x="594"/>
        <item x="611"/>
        <item x="612"/>
        <item x="613"/>
        <item x="614"/>
        <item x="604"/>
        <item x="603"/>
        <item x="610"/>
        <item x="608"/>
        <item x="607"/>
        <item x="605"/>
        <item x="606"/>
        <item x="618"/>
        <item x="624"/>
        <item x="620"/>
        <item x="621"/>
        <item x="626"/>
        <item x="622"/>
        <item x="623"/>
        <item x="627"/>
        <item x="625"/>
        <item x="629"/>
        <item x="619"/>
        <item x="630"/>
        <item x="631"/>
        <item x="632"/>
        <item x="633"/>
        <item x="609"/>
        <item x="649"/>
        <item x="628"/>
        <item x="635"/>
        <item x="637"/>
        <item x="657"/>
        <item x="655"/>
        <item x="650"/>
        <item x="647"/>
        <item x="640"/>
        <item x="651"/>
        <item x="652"/>
        <item x="642"/>
        <item x="644"/>
        <item x="645"/>
        <item x="646"/>
        <item x="643"/>
        <item x="653"/>
        <item x="658"/>
        <item x="656"/>
        <item x="648"/>
        <item x="654"/>
        <item x="659"/>
        <item x="660"/>
        <item x="662"/>
        <item x="663"/>
        <item x="664"/>
        <item x="665"/>
        <item x="667"/>
        <item x="669"/>
        <item x="670"/>
        <item x="671"/>
        <item x="675"/>
        <item x="676"/>
        <item x="680"/>
        <item x="682"/>
        <item x="684"/>
        <item x="685"/>
        <item x="686"/>
        <item x="688"/>
        <item x="690"/>
        <item x="691"/>
        <item x="692"/>
        <item x="674"/>
        <item x="677"/>
        <item x="679"/>
        <item x="683"/>
        <item x="456"/>
        <item x="634"/>
        <item x="636"/>
        <item x="638"/>
        <item x="639"/>
        <item x="661"/>
        <item x="666"/>
        <item x="668"/>
        <item x="672"/>
        <item x="673"/>
        <item x="681"/>
        <item x="687"/>
        <item x="689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3"/>
        <item x="724"/>
        <item x="725"/>
        <item x="726"/>
        <item x="727"/>
        <item x="728"/>
        <item x="729"/>
        <item x="730"/>
        <item x="731"/>
        <item x="732"/>
        <item x="734"/>
        <item x="735"/>
        <item x="736"/>
        <item x="738"/>
        <item x="740"/>
        <item x="741"/>
        <item x="742"/>
        <item x="743"/>
        <item x="744"/>
        <item x="747"/>
        <item x="748"/>
        <item x="750"/>
        <item x="745"/>
        <item x="749"/>
        <item x="737"/>
        <item x="733"/>
        <item x="739"/>
        <item x="746"/>
        <item x="765"/>
        <item x="761"/>
        <item x="759"/>
        <item x="756"/>
        <item x="751"/>
        <item x="752"/>
        <item x="754"/>
        <item x="755"/>
        <item x="757"/>
        <item x="758"/>
        <item x="760"/>
        <item x="762"/>
        <item x="763"/>
        <item x="764"/>
        <item x="767"/>
        <item x="768"/>
        <item x="769"/>
        <item x="770"/>
        <item x="771"/>
        <item x="772"/>
        <item x="773"/>
        <item x="775"/>
        <item x="778"/>
        <item x="794"/>
        <item x="797"/>
        <item x="798"/>
        <item x="800"/>
        <item x="801"/>
        <item x="802"/>
        <item x="803"/>
        <item x="795"/>
        <item x="799"/>
        <item x="806"/>
        <item x="793"/>
        <item x="796"/>
        <item x="804"/>
        <item x="807"/>
        <item x="808"/>
        <item x="809"/>
        <item x="810"/>
        <item x="722"/>
        <item x="753"/>
        <item x="766"/>
        <item x="774"/>
        <item x="776"/>
        <item x="777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812"/>
        <item x="813"/>
        <item x="814"/>
        <item x="816"/>
        <item x="817"/>
        <item x="641"/>
        <item x="805"/>
        <item x="306"/>
        <item x="559"/>
        <item x="602"/>
        <item x="615"/>
        <item x="792"/>
        <item x="354"/>
        <item x="616"/>
        <item x="617"/>
        <item x="678"/>
        <item x="811"/>
        <item x="815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6"/>
        <item x="837"/>
        <item x="838"/>
        <item x="839"/>
        <item x="840"/>
        <item x="841"/>
        <item x="842"/>
        <item x="843"/>
        <item x="844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45"/>
        <item x="834"/>
        <item x="835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</items>
    </pivotField>
    <pivotField compact="0" outline="0" multipleItemSelectionAllowed="1" showAll="0" insertBlankRow="1" defaultSubtotal="0"/>
    <pivotField axis="axisRow" compact="0" outline="0" showAll="0" insertBlankRow="1" defaultSubtotal="0">
      <items count="11">
        <item h="1" x="0"/>
        <item h="1" sd="0" x="6"/>
        <item x="1"/>
        <item h="1" x="2"/>
        <item h="1" x="3"/>
        <item h="1" x="5"/>
        <item h="1" x="4"/>
        <item h="1" x="8"/>
        <item h="1" x="9"/>
        <item h="1" x="7"/>
        <item h="1" x="10"/>
      </items>
    </pivotField>
    <pivotField axis="axisRow" compact="0" outline="0" showAll="0" insertBlankRow="1" defaultSubtotal="0">
      <items count="42">
        <item h="1" x="15"/>
        <item h="1" x="5"/>
        <item h="1" x="32"/>
        <item h="1" x="4"/>
        <item h="1" x="7"/>
        <item h="1" x="26"/>
        <item h="1" x="9"/>
        <item h="1" x="6"/>
        <item h="1" x="28"/>
        <item h="1" x="30"/>
        <item h="1" x="21"/>
        <item h="1" x="23"/>
        <item h="1" x="29"/>
        <item h="1" x="24"/>
        <item h="1" x="14"/>
        <item h="1" x="8"/>
        <item x="3"/>
        <item h="1" x="2"/>
        <item h="1" x="0"/>
        <item h="1" x="16"/>
        <item h="1" x="11"/>
        <item h="1" x="10"/>
        <item h="1" x="1"/>
        <item h="1" x="20"/>
        <item h="1" x="22"/>
        <item h="1" x="25"/>
        <item h="1" x="19"/>
        <item h="1" x="34"/>
        <item h="1" x="35"/>
        <item h="1" x="36"/>
        <item h="1" x="37"/>
        <item h="1" x="33"/>
        <item h="1" x="18"/>
        <item h="1" x="31"/>
        <item h="1" x="27"/>
        <item h="1" x="12"/>
        <item h="1" x="13"/>
        <item h="1" x="17"/>
        <item h="1" x="38"/>
        <item h="1" x="39"/>
        <item h="1" x="40"/>
        <item h="1" x="41"/>
      </items>
    </pivotField>
    <pivotField compact="0" outline="0" showAll="0"/>
    <pivotField compact="0" outline="0" showAll="0" insertBlankRow="1" defaultSubtotal="0"/>
    <pivotField axis="axisRow" compact="0" outline="0" multipleItemSelectionAllowed="1" showAll="0" insertBlankRow="1" insertPageBreak="1" defaultSubtotal="0">
      <items count="618">
        <item x="28"/>
        <item x="10"/>
        <item sd="0" x="113"/>
        <item x="39"/>
        <item x="60"/>
        <item x="159"/>
        <item x="73"/>
        <item x="22"/>
        <item x="170"/>
        <item x="105"/>
        <item x="15"/>
        <item x="121"/>
        <item x="87"/>
        <item x="75"/>
        <item x="155"/>
        <item x="63"/>
        <item x="26"/>
        <item x="164"/>
        <item x="100"/>
        <item x="144"/>
        <item x="135"/>
        <item x="176"/>
        <item x="156"/>
        <item x="84"/>
        <item x="96"/>
        <item x="35"/>
        <item x="93"/>
        <item x="126"/>
        <item x="21"/>
        <item x="86"/>
        <item x="83"/>
        <item x="1"/>
        <item x="103"/>
        <item x="82"/>
        <item x="173"/>
        <item x="88"/>
        <item x="179"/>
        <item x="14"/>
        <item x="89"/>
        <item x="168"/>
        <item x="154"/>
        <item x="167"/>
        <item x="41"/>
        <item x="40"/>
        <item x="53"/>
        <item x="153"/>
        <item x="169"/>
        <item x="151"/>
        <item x="42"/>
        <item x="123"/>
        <item x="45"/>
        <item x="137"/>
        <item x="185"/>
        <item x="132"/>
        <item x="9"/>
        <item x="122"/>
        <item x="48"/>
        <item x="69"/>
        <item x="44"/>
        <item x="65"/>
        <item x="182"/>
        <item x="81"/>
        <item x="148"/>
        <item x="29"/>
        <item x="11"/>
        <item x="158"/>
        <item x="0"/>
        <item x="58"/>
        <item x="79"/>
        <item x="120"/>
        <item x="72"/>
        <item x="161"/>
        <item x="129"/>
        <item x="52"/>
        <item x="59"/>
        <item x="71"/>
        <item x="166"/>
        <item x="98"/>
        <item x="174"/>
        <item x="101"/>
        <item x="145"/>
        <item x="150"/>
        <item x="128"/>
        <item x="64"/>
        <item x="85"/>
        <item x="61"/>
        <item x="8"/>
        <item x="16"/>
        <item x="62"/>
        <item x="180"/>
        <item x="76"/>
        <item x="181"/>
        <item x="3"/>
        <item x="4"/>
        <item x="130"/>
        <item x="57"/>
        <item x="38"/>
        <item x="141"/>
        <item x="143"/>
        <item x="138"/>
        <item x="50"/>
        <item x="2"/>
        <item x="17"/>
        <item x="56"/>
        <item x="30"/>
        <item x="92"/>
        <item x="146"/>
        <item x="24"/>
        <item x="5"/>
        <item x="127"/>
        <item x="18"/>
        <item x="108"/>
        <item x="31"/>
        <item x="147"/>
        <item x="7"/>
        <item x="74"/>
        <item x="124"/>
        <item x="107"/>
        <item x="47"/>
        <item x="23"/>
        <item x="27"/>
        <item x="106"/>
        <item x="175"/>
        <item x="34"/>
        <item x="118"/>
        <item x="140"/>
        <item x="32"/>
        <item x="77"/>
        <item x="112"/>
        <item x="184"/>
        <item x="55"/>
        <item x="54"/>
        <item x="183"/>
        <item x="97"/>
        <item x="67"/>
        <item x="163"/>
        <item x="90"/>
        <item x="131"/>
        <item x="171"/>
        <item x="94"/>
        <item x="139"/>
        <item x="177"/>
        <item x="162"/>
        <item x="13"/>
        <item x="51"/>
        <item x="104"/>
        <item x="25"/>
        <item x="66"/>
        <item x="142"/>
        <item x="43"/>
        <item x="78"/>
        <item x="165"/>
        <item x="110"/>
        <item x="157"/>
        <item x="160"/>
        <item x="125"/>
        <item x="20"/>
        <item x="36"/>
        <item x="99"/>
        <item x="37"/>
        <item x="95"/>
        <item x="91"/>
        <item x="119"/>
        <item x="114"/>
        <item x="152"/>
        <item x="70"/>
        <item x="46"/>
        <item x="116"/>
        <item x="49"/>
        <item x="33"/>
        <item x="68"/>
        <item x="115"/>
        <item x="109"/>
        <item x="178"/>
        <item x="172"/>
        <item x="6"/>
        <item x="111"/>
        <item x="149"/>
        <item x="136"/>
        <item x="134"/>
        <item x="80"/>
        <item x="133"/>
        <item x="117"/>
        <item x="102"/>
        <item x="19"/>
        <item x="12"/>
        <item x="186"/>
        <item x="187"/>
        <item x="188"/>
        <item x="189"/>
        <item x="193"/>
        <item x="190"/>
        <item x="191"/>
        <item x="192"/>
        <item x="194"/>
        <item x="195"/>
        <item x="196"/>
        <item x="197"/>
        <item x="198"/>
        <item x="199"/>
        <item x="200"/>
        <item x="201"/>
        <item x="203"/>
        <item x="204"/>
        <item x="205"/>
        <item x="206"/>
        <item x="208"/>
        <item x="213"/>
        <item x="207"/>
        <item x="209"/>
        <item x="211"/>
        <item x="212"/>
        <item x="214"/>
        <item x="215"/>
        <item x="217"/>
        <item x="218"/>
        <item x="202"/>
        <item x="219"/>
        <item x="220"/>
        <item x="221"/>
        <item x="222"/>
        <item x="223"/>
        <item x="224"/>
        <item x="225"/>
        <item x="227"/>
        <item x="228"/>
        <item x="229"/>
        <item x="230"/>
        <item x="231"/>
        <item x="232"/>
        <item x="233"/>
        <item x="226"/>
        <item x="234"/>
        <item x="235"/>
        <item x="236"/>
        <item x="237"/>
        <item x="238"/>
        <item x="239"/>
        <item x="210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3"/>
        <item x="254"/>
        <item x="252"/>
        <item x="258"/>
        <item x="259"/>
        <item x="255"/>
        <item x="256"/>
        <item x="257"/>
        <item x="260"/>
        <item x="261"/>
        <item x="262"/>
        <item x="263"/>
        <item x="264"/>
        <item x="265"/>
        <item x="267"/>
        <item x="268"/>
        <item x="269"/>
        <item x="270"/>
        <item x="273"/>
        <item x="274"/>
        <item x="275"/>
        <item x="276"/>
        <item x="277"/>
        <item x="278"/>
        <item x="279"/>
        <item x="284"/>
        <item x="281"/>
        <item x="282"/>
        <item x="283"/>
        <item x="285"/>
        <item x="288"/>
        <item x="286"/>
        <item x="287"/>
        <item x="289"/>
        <item x="280"/>
        <item x="290"/>
        <item x="271"/>
        <item x="291"/>
        <item x="292"/>
        <item x="293"/>
        <item x="294"/>
        <item x="295"/>
        <item x="296"/>
        <item x="272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52"/>
        <item x="357"/>
        <item x="359"/>
        <item x="347"/>
        <item x="348"/>
        <item x="351"/>
        <item x="355"/>
        <item x="358"/>
        <item x="360"/>
        <item x="356"/>
        <item x="353"/>
        <item x="349"/>
        <item x="350"/>
        <item x="354"/>
        <item x="326"/>
        <item x="361"/>
        <item x="362"/>
        <item x="364"/>
        <item x="366"/>
        <item x="363"/>
        <item x="368"/>
        <item x="369"/>
        <item x="370"/>
        <item x="365"/>
        <item x="367"/>
        <item x="372"/>
        <item x="373"/>
        <item x="374"/>
        <item x="375"/>
        <item x="394"/>
        <item x="376"/>
        <item x="395"/>
        <item x="385"/>
        <item x="426"/>
        <item x="427"/>
        <item x="431"/>
        <item x="433"/>
        <item x="434"/>
        <item x="449"/>
        <item x="472"/>
        <item x="478"/>
        <item x="480"/>
        <item x="450"/>
        <item x="435"/>
        <item x="436"/>
        <item x="266"/>
        <item x="377"/>
        <item x="378"/>
        <item x="379"/>
        <item x="380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8"/>
        <item x="429"/>
        <item x="430"/>
        <item x="432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3"/>
        <item x="474"/>
        <item x="475"/>
        <item x="476"/>
        <item x="477"/>
        <item x="479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8"/>
        <item x="509"/>
        <item x="510"/>
        <item x="511"/>
        <item x="512"/>
        <item x="513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30"/>
        <item x="531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5"/>
        <item x="546"/>
        <item x="547"/>
        <item x="548"/>
        <item x="549"/>
        <item x="550"/>
        <item x="551"/>
        <item x="552"/>
        <item x="553"/>
        <item x="408"/>
        <item x="514"/>
        <item x="557"/>
        <item x="555"/>
        <item x="556"/>
        <item x="532"/>
        <item x="544"/>
        <item x="529"/>
        <item x="554"/>
        <item x="558"/>
        <item x="564"/>
        <item x="562"/>
        <item x="507"/>
        <item x="559"/>
        <item x="560"/>
        <item x="561"/>
        <item x="563"/>
        <item x="565"/>
        <item x="566"/>
        <item x="568"/>
        <item x="569"/>
        <item x="570"/>
        <item x="581"/>
        <item x="577"/>
        <item x="582"/>
        <item x="567"/>
        <item x="571"/>
        <item x="572"/>
        <item x="573"/>
        <item x="574"/>
        <item x="575"/>
        <item x="576"/>
        <item x="578"/>
        <item x="583"/>
        <item x="584"/>
        <item x="579"/>
        <item x="580"/>
        <item x="216"/>
        <item x="371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</items>
    </pivotField>
    <pivotField axis="axisRow" compact="0" outline="0" showAll="0" insertBlankRow="1" defaultSubtotal="0">
      <items count="1592">
        <item x="1058"/>
        <item x="926"/>
        <item x="398"/>
        <item x="915"/>
        <item x="958"/>
        <item x="719"/>
        <item x="904"/>
        <item x="840"/>
        <item x="943"/>
        <item x="703"/>
        <item x="124"/>
        <item x="516"/>
        <item x="552"/>
        <item x="592"/>
        <item x="459"/>
        <item x="757"/>
        <item x="1020"/>
        <item x="981"/>
        <item x="201"/>
        <item x="68"/>
        <item x="590"/>
        <item x="153"/>
        <item x="226"/>
        <item x="576"/>
        <item x="18"/>
        <item x="289"/>
        <item x="284"/>
        <item x="365"/>
        <item x="582"/>
        <item x="632"/>
        <item x="1041"/>
        <item x="639"/>
        <item x="579"/>
        <item x="957"/>
        <item x="292"/>
        <item x="349"/>
        <item x="354"/>
        <item x="169"/>
        <item x="190"/>
        <item x="483"/>
        <item x="95"/>
        <item x="918"/>
        <item x="866"/>
        <item x="922"/>
        <item x="599"/>
        <item x="256"/>
        <item x="321"/>
        <item x="613"/>
        <item x="314"/>
        <item x="525"/>
        <item x="184"/>
        <item x="610"/>
        <item x="384"/>
        <item x="416"/>
        <item x="997"/>
        <item x="709"/>
        <item x="880"/>
        <item x="779"/>
        <item x="136"/>
        <item x="587"/>
        <item x="623"/>
        <item x="621"/>
        <item x="644"/>
        <item x="268"/>
        <item x="460"/>
        <item x="617"/>
        <item x="352"/>
        <item x="532"/>
        <item x="319"/>
        <item x="558"/>
        <item x="721"/>
        <item x="224"/>
        <item x="312"/>
        <item x="875"/>
        <item x="393"/>
        <item x="817"/>
        <item x="502"/>
        <item x="92"/>
        <item x="41"/>
        <item x="607"/>
        <item x="730"/>
        <item x="886"/>
        <item x="326"/>
        <item x="524"/>
        <item x="374"/>
        <item x="383"/>
        <item x="570"/>
        <item x="647"/>
        <item x="255"/>
        <item x="142"/>
        <item x="330"/>
        <item x="211"/>
        <item x="174"/>
        <item x="243"/>
        <item x="215"/>
        <item x="196"/>
        <item x="29"/>
        <item x="493"/>
        <item x="687"/>
        <item x="335"/>
        <item x="42"/>
        <item x="144"/>
        <item x="258"/>
        <item x="835"/>
        <item x="925"/>
        <item x="616"/>
        <item x="375"/>
        <item x="1013"/>
        <item x="246"/>
        <item x="762"/>
        <item x="197"/>
        <item x="897"/>
        <item x="231"/>
        <item x="903"/>
        <item x="928"/>
        <item x="539"/>
        <item x="652"/>
        <item x="54"/>
        <item x="595"/>
        <item x="302"/>
        <item x="856"/>
        <item x="541"/>
        <item x="198"/>
        <item x="272"/>
        <item x="316"/>
        <item x="503"/>
        <item x="720"/>
        <item x="605"/>
        <item x="327"/>
        <item x="55"/>
        <item x="653"/>
        <item x="662"/>
        <item x="168"/>
        <item x="635"/>
        <item x="517"/>
        <item x="983"/>
        <item x="67"/>
        <item x="30"/>
        <item x="800"/>
        <item x="685"/>
        <item x="763"/>
        <item x="240"/>
        <item x="147"/>
        <item x="19"/>
        <item x="219"/>
        <item x="750"/>
        <item x="845"/>
        <item x="133"/>
        <item x="672"/>
        <item x="279"/>
        <item x="588"/>
        <item x="1030"/>
        <item x="572"/>
        <item x="186"/>
        <item x="847"/>
        <item x="861"/>
        <item x="615"/>
        <item x="919"/>
        <item x="195"/>
        <item x="123"/>
        <item x="329"/>
        <item x="608"/>
        <item x="624"/>
        <item x="629"/>
        <item x="523"/>
        <item x="446"/>
        <item x="318"/>
        <item x="995"/>
        <item x="76"/>
        <item x="261"/>
        <item x="778"/>
        <item x="36"/>
        <item x="796"/>
        <item x="794"/>
        <item x="725"/>
        <item x="767"/>
        <item x="766"/>
        <item x="883"/>
        <item x="604"/>
        <item x="713"/>
        <item x="874"/>
        <item x="791"/>
        <item x="391"/>
        <item x="751"/>
        <item x="737"/>
        <item x="712"/>
        <item x="681"/>
        <item x="839"/>
        <item x="752"/>
        <item x="755"/>
        <item x="782"/>
        <item x="1046"/>
        <item x="797"/>
        <item x="691"/>
        <item x="70"/>
        <item x="521"/>
        <item x="714"/>
        <item x="783"/>
        <item x="888"/>
        <item x="220"/>
        <item x="1025"/>
        <item x="1029"/>
        <item x="252"/>
        <item x="315"/>
        <item x="372"/>
        <item x="442"/>
        <item x="682"/>
        <item x="313"/>
        <item x="648"/>
        <item x="262"/>
        <item x="612"/>
        <item x="618"/>
        <item x="188"/>
        <item x="1032"/>
        <item x="427"/>
        <item x="379"/>
        <item x="530"/>
        <item x="775"/>
        <item x="567"/>
        <item x="249"/>
        <item x="871"/>
        <item x="906"/>
        <item x="912"/>
        <item x="254"/>
        <item x="199"/>
        <item x="870"/>
        <item x="72"/>
        <item x="931"/>
        <item x="127"/>
        <item x="311"/>
        <item x="936"/>
        <item x="798"/>
        <item x="122"/>
        <item x="57"/>
        <item x="270"/>
        <item x="309"/>
        <item x="942"/>
        <item x="99"/>
        <item x="431"/>
        <item x="376"/>
        <item x="340"/>
        <item x="637"/>
        <item x="380"/>
        <item x="233"/>
        <item x="362"/>
        <item x="426"/>
        <item x="214"/>
        <item x="986"/>
        <item x="678"/>
        <item x="591"/>
        <item x="135"/>
        <item x="586"/>
        <item x="538"/>
        <item x="276"/>
        <item x="804"/>
        <item x="890"/>
        <item x="972"/>
        <item x="748"/>
        <item x="832"/>
        <item x="583"/>
        <item x="854"/>
        <item x="597"/>
        <item x="598"/>
        <item x="1059"/>
        <item x="581"/>
        <item x="264"/>
        <item x="479"/>
        <item x="235"/>
        <item x="405"/>
        <item x="697"/>
        <item x="680"/>
        <item x="553"/>
        <item x="477"/>
        <item x="554"/>
        <item x="561"/>
        <item x="475"/>
        <item x="290"/>
        <item x="565"/>
        <item x="556"/>
        <item x="560"/>
        <item x="322"/>
        <item x="331"/>
        <item x="526"/>
        <item x="514"/>
        <item x="443"/>
        <item x="347"/>
        <item x="403"/>
        <item x="404"/>
        <item x="449"/>
        <item x="410"/>
        <item x="584"/>
        <item x="564"/>
        <item x="665"/>
        <item x="286"/>
        <item x="9"/>
        <item x="833"/>
        <item x="200"/>
        <item x="425"/>
        <item x="962"/>
        <item x="185"/>
        <item x="848"/>
        <item x="841"/>
        <item x="143"/>
        <item x="851"/>
        <item x="377"/>
        <item x="417"/>
        <item x="929"/>
        <item x="213"/>
        <item x="260"/>
        <item x="167"/>
        <item x="239"/>
        <item x="245"/>
        <item x="250"/>
        <item x="1038"/>
        <item x="864"/>
        <item x="486"/>
        <item x="522"/>
        <item x="785"/>
        <item x="993"/>
        <item x="987"/>
        <item x="679"/>
        <item x="259"/>
        <item x="385"/>
        <item x="1016"/>
        <item x="1027"/>
        <item x="1014"/>
        <item x="1026"/>
        <item x="873"/>
        <item x="228"/>
        <item x="216"/>
        <item x="555"/>
        <item x="670"/>
        <item x="738"/>
        <item x="191"/>
        <item x="531"/>
        <item x="146"/>
        <item x="371"/>
        <item x="760"/>
        <item x="546"/>
        <item x="82"/>
        <item x="882"/>
        <item x="44"/>
        <item x="343"/>
        <item x="949"/>
        <item x="656"/>
        <item x="79"/>
        <item x="212"/>
        <item x="559"/>
        <item x="510"/>
        <item x="437"/>
        <item x="773"/>
        <item x="368"/>
        <item x="388"/>
        <item x="568"/>
        <item x="1010"/>
        <item x="164"/>
        <item x="344"/>
        <item x="428"/>
        <item x="180"/>
        <item x="914"/>
        <item x="756"/>
        <item x="48"/>
        <item x="831"/>
        <item x="253"/>
        <item x="469"/>
        <item x="500"/>
        <item x="940"/>
        <item x="448"/>
        <item x="646"/>
        <item x="999"/>
        <item x="444"/>
        <item x="350"/>
        <item x="489"/>
        <item x="498"/>
        <item x="439"/>
        <item x="550"/>
        <item x="310"/>
        <item x="435"/>
        <item x="496"/>
        <item x="170"/>
        <item x="361"/>
        <item x="853"/>
        <item x="396"/>
        <item x="415"/>
        <item x="456"/>
        <item x="367"/>
        <item x="132"/>
        <item x="850"/>
        <item x="513"/>
        <item x="244"/>
        <item x="976"/>
        <item x="299"/>
        <item x="867"/>
        <item x="23"/>
        <item x="222"/>
        <item x="14"/>
        <item x="830"/>
        <item x="91"/>
        <item x="152"/>
        <item x="818"/>
        <item x="39"/>
        <item x="378"/>
        <item x="49"/>
        <item x="812"/>
        <item x="895"/>
        <item x="620"/>
        <item x="838"/>
        <item x="643"/>
        <item x="806"/>
        <item x="602"/>
        <item x="645"/>
        <item x="704"/>
        <item x="100"/>
        <item x="946"/>
        <item x="686"/>
        <item x="837"/>
        <item x="141"/>
        <item x="944"/>
        <item x="232"/>
        <item x="107"/>
        <item x="982"/>
        <item x="156"/>
        <item x="669"/>
        <item x="53"/>
        <item x="87"/>
        <item x="700"/>
        <item x="424"/>
        <item x="518"/>
        <item x="208"/>
        <item x="59"/>
        <item x="630"/>
        <item x="43"/>
        <item x="60"/>
        <item x="808"/>
        <item x="988"/>
        <item x="332"/>
        <item x="37"/>
        <item x="192"/>
        <item x="355"/>
        <item x="189"/>
        <item x="324"/>
        <item x="638"/>
        <item x="301"/>
        <item x="346"/>
        <item x="735"/>
        <item x="512"/>
        <item x="967"/>
        <item x="971"/>
        <item x="710"/>
        <item x="733"/>
        <item x="724"/>
        <item x="1018"/>
        <item x="337"/>
        <item x="727"/>
        <item x="657"/>
        <item x="62"/>
        <item x="238"/>
        <item x="221"/>
        <item x="35"/>
        <item x="509"/>
        <item x="421"/>
        <item x="855"/>
        <item x="908"/>
        <item x="787"/>
        <item x="86"/>
        <item x="187"/>
        <item x="296"/>
        <item x="978"/>
        <item x="699"/>
        <item x="1005"/>
        <item x="881"/>
        <item x="732"/>
        <item x="317"/>
        <item x="843"/>
        <item x="210"/>
        <item x="389"/>
        <item x="505"/>
        <item x="83"/>
        <item x="892"/>
        <item x="306"/>
        <item x="664"/>
        <item x="1017"/>
        <item x="772"/>
        <item x="749"/>
        <item x="640"/>
        <item x="356"/>
        <item x="370"/>
        <item x="671"/>
        <item x="422"/>
        <item x="369"/>
        <item x="176"/>
        <item x="980"/>
        <item x="628"/>
        <item x="603"/>
        <item x="1002"/>
        <item x="769"/>
        <item x="287"/>
        <item x="453"/>
        <item x="447"/>
        <item x="984"/>
        <item x="626"/>
        <item x="227"/>
        <item x="966"/>
        <item x="736"/>
        <item x="606"/>
        <item x="241"/>
        <item x="179"/>
        <item x="765"/>
        <item x="166"/>
        <item x="348"/>
        <item x="728"/>
        <item x="499"/>
        <item x="247"/>
        <item x="977"/>
        <item x="308"/>
        <item x="761"/>
        <item x="968"/>
        <item x="114"/>
        <item x="236"/>
        <item x="491"/>
        <item x="10"/>
        <item x="177"/>
        <item x="488"/>
        <item x="281"/>
        <item x="533"/>
        <item x="116"/>
        <item x="282"/>
        <item x="263"/>
        <item x="792"/>
        <item x="614"/>
        <item x="113"/>
        <item x="809"/>
        <item x="961"/>
        <item x="74"/>
        <item x="320"/>
        <item x="744"/>
        <item x="534"/>
        <item x="467"/>
        <item x="506"/>
        <item x="481"/>
        <item x="458"/>
        <item x="990"/>
        <item x="941"/>
        <item x="985"/>
        <item x="178"/>
        <item x="684"/>
        <item x="487"/>
        <item x="551"/>
        <item x="575"/>
        <item x="27"/>
        <item x="527"/>
        <item x="549"/>
        <item x="515"/>
        <item x="979"/>
        <item x="406"/>
        <item x="420"/>
        <item x="445"/>
        <item x="706"/>
        <item x="742"/>
        <item x="770"/>
        <item x="747"/>
        <item x="788"/>
        <item x="793"/>
        <item x="754"/>
        <item x="813"/>
        <item x="758"/>
        <item x="753"/>
        <item x="932"/>
        <item x="844"/>
        <item x="430"/>
        <item x="596"/>
        <item x="600"/>
        <item x="857"/>
        <item x="454"/>
        <item x="31"/>
        <item x="634"/>
        <item x="893"/>
        <item x="889"/>
        <item x="759"/>
        <item x="125"/>
        <item x="412"/>
        <item x="451"/>
        <item x="822"/>
        <item x="230"/>
        <item x="695"/>
        <item x="878"/>
        <item x="108"/>
        <item x="974"/>
        <item x="102"/>
        <item x="545"/>
        <item x="93"/>
        <item x="536"/>
        <item x="951"/>
        <item x="508"/>
        <item x="938"/>
        <item x="829"/>
        <item x="696"/>
        <item x="939"/>
        <item x="183"/>
        <item x="960"/>
        <item x="206"/>
        <item x="248"/>
        <item x="160"/>
        <item x="688"/>
        <item x="784"/>
        <item x="674"/>
        <item x="952"/>
        <item x="407"/>
        <item x="353"/>
        <item x="655"/>
        <item x="771"/>
        <item x="182"/>
        <item x="1022"/>
        <item x="225"/>
        <item x="271"/>
        <item x="257"/>
        <item x="433"/>
        <item x="434"/>
        <item x="877"/>
        <item x="872"/>
        <item x="920"/>
        <item x="899"/>
        <item x="723"/>
        <item x="722"/>
        <item x="129"/>
        <item x="32"/>
        <item x="911"/>
        <item x="293"/>
        <item x="562"/>
        <item x="676"/>
        <item x="917"/>
        <item x="860"/>
        <item x="482"/>
        <item x="468"/>
        <item x="366"/>
        <item x="953"/>
        <item x="478"/>
        <item x="705"/>
        <item x="726"/>
        <item x="815"/>
        <item x="450"/>
        <item x="816"/>
        <item x="1019"/>
        <item x="151"/>
        <item x="409"/>
        <item x="519"/>
        <item x="537"/>
        <item x="359"/>
        <item x="26"/>
        <item x="436"/>
        <item x="535"/>
        <item x="297"/>
        <item x="520"/>
        <item x="495"/>
        <item x="40"/>
        <item x="4"/>
        <item x="112"/>
        <item x="690"/>
        <item x="633"/>
        <item x="975"/>
        <item x="131"/>
        <item x="24"/>
        <item x="418"/>
        <item x="269"/>
        <item x="675"/>
        <item x="130"/>
        <item x="996"/>
        <item x="97"/>
        <item x="203"/>
        <item x="172"/>
        <item x="810"/>
        <item x="61"/>
        <item x="111"/>
        <item x="119"/>
        <item x="56"/>
        <item x="65"/>
        <item x="801"/>
        <item x="94"/>
        <item x="6"/>
        <item x="802"/>
        <item x="544"/>
        <item x="805"/>
        <item x="104"/>
        <item x="1033"/>
        <item x="66"/>
        <item x="109"/>
        <item x="34"/>
        <item x="120"/>
        <item x="557"/>
        <item x="96"/>
        <item x="38"/>
        <item x="85"/>
        <item x="2"/>
        <item x="471"/>
        <item x="799"/>
        <item x="821"/>
        <item x="820"/>
        <item x="826"/>
        <item x="631"/>
        <item x="659"/>
        <item x="121"/>
        <item x="283"/>
        <item x="105"/>
        <item x="161"/>
        <item x="202"/>
        <item x="47"/>
        <item x="7"/>
        <item x="194"/>
        <item x="173"/>
        <item x="764"/>
        <item x="363"/>
        <item x="64"/>
        <item x="381"/>
        <item x="651"/>
        <item x="661"/>
        <item x="658"/>
        <item x="777"/>
        <item x="373"/>
        <item x="693"/>
        <item x="358"/>
        <item x="33"/>
        <item x="73"/>
        <item x="452"/>
        <item x="577"/>
        <item x="386"/>
        <item x="441"/>
        <item x="360"/>
        <item x="103"/>
        <item x="159"/>
        <item x="333"/>
        <item x="401"/>
        <item x="338"/>
        <item x="80"/>
        <item x="193"/>
        <item x="22"/>
        <item x="51"/>
        <item x="294"/>
        <item x="138"/>
        <item x="50"/>
        <item x="345"/>
        <item x="110"/>
        <item x="204"/>
        <item x="46"/>
        <item x="126"/>
        <item x="399"/>
        <item x="58"/>
        <item x="81"/>
        <item x="128"/>
        <item x="16"/>
        <item x="413"/>
        <item x="474"/>
        <item x="649"/>
        <item x="394"/>
        <item x="455"/>
        <item x="465"/>
        <item x="625"/>
        <item x="387"/>
        <item x="288"/>
        <item x="1000"/>
        <item x="88"/>
        <item x="328"/>
        <item x="689"/>
        <item x="1047"/>
        <item x="934"/>
        <item x="715"/>
        <item x="740"/>
        <item x="547"/>
        <item x="956"/>
        <item x="994"/>
        <item x="237"/>
        <item x="884"/>
        <item x="768"/>
        <item x="827"/>
        <item x="490"/>
        <item x="786"/>
        <item x="998"/>
        <item x="694"/>
        <item x="149"/>
        <item x="739"/>
        <item x="824"/>
        <item x="828"/>
        <item x="858"/>
        <item x="305"/>
        <item x="859"/>
        <item x="593"/>
        <item x="364"/>
        <item x="137"/>
        <item x="274"/>
        <item x="504"/>
        <item x="1028"/>
        <item x="325"/>
        <item x="542"/>
        <item x="414"/>
        <item x="411"/>
        <item x="205"/>
        <item x="927"/>
        <item x="17"/>
        <item x="155"/>
        <item x="466"/>
        <item x="896"/>
        <item x="774"/>
        <item x="869"/>
        <item x="945"/>
        <item x="876"/>
        <item x="117"/>
        <item x="716"/>
        <item x="702"/>
        <item x="992"/>
        <item x="891"/>
        <item x="923"/>
        <item x="701"/>
        <item x="743"/>
        <item x="933"/>
        <item x="717"/>
        <item x="819"/>
        <item x="965"/>
        <item x="963"/>
        <item x="573"/>
        <item x="20"/>
        <item x="569"/>
        <item x="12"/>
        <item x="1"/>
        <item x="339"/>
        <item x="711"/>
        <item x="745"/>
        <item x="21"/>
        <item x="15"/>
        <item x="578"/>
        <item x="115"/>
        <item x="585"/>
        <item x="807"/>
        <item x="303"/>
        <item x="663"/>
        <item x="397"/>
        <item x="140"/>
        <item x="494"/>
        <item x="408"/>
        <item x="1021"/>
        <item x="825"/>
        <item x="609"/>
        <item x="90"/>
        <item x="242"/>
        <item x="650"/>
        <item x="902"/>
        <item x="846"/>
        <item x="1024"/>
        <item x="910"/>
        <item x="905"/>
        <item x="1009"/>
        <item x="673"/>
        <item x="440"/>
        <item x="566"/>
        <item x="300"/>
        <item x="98"/>
        <item x="964"/>
        <item x="267"/>
        <item x="89"/>
        <item x="470"/>
        <item x="1015"/>
        <item x="666"/>
        <item x="636"/>
        <item x="52"/>
        <item x="729"/>
        <item x="973"/>
        <item x="642"/>
        <item x="543"/>
        <item x="1004"/>
        <item x="528"/>
        <item x="134"/>
        <item x="619"/>
        <item x="390"/>
        <item x="165"/>
        <item x="181"/>
        <item x="285"/>
        <item x="341"/>
        <item x="511"/>
        <item x="106"/>
        <item x="1001"/>
        <item x="217"/>
        <item x="1031"/>
        <item x="307"/>
        <item x="660"/>
        <item x="11"/>
        <item x="970"/>
        <item x="1007"/>
        <item x="823"/>
        <item x="1003"/>
        <item x="746"/>
        <item x="139"/>
        <item x="780"/>
        <item x="1008"/>
        <item x="295"/>
        <item x="209"/>
        <item x="571"/>
        <item x="589"/>
        <item x="158"/>
        <item x="392"/>
        <item x="395"/>
        <item x="540"/>
        <item x="84"/>
        <item x="484"/>
        <item x="429"/>
        <item x="207"/>
        <item x="336"/>
        <item x="148"/>
        <item x="419"/>
        <item x="462"/>
        <item x="485"/>
        <item x="464"/>
        <item x="1006"/>
        <item x="654"/>
        <item x="463"/>
        <item x="473"/>
        <item x="423"/>
        <item x="901"/>
        <item x="25"/>
        <item x="1012"/>
        <item x="776"/>
        <item x="930"/>
        <item x="781"/>
        <item x="734"/>
        <item x="692"/>
        <item x="71"/>
        <item x="69"/>
        <item x="461"/>
        <item x="627"/>
        <item x="741"/>
        <item x="913"/>
        <item x="863"/>
        <item x="842"/>
        <item x="667"/>
        <item x="5"/>
        <item x="334"/>
        <item x="683"/>
        <item x="574"/>
        <item x="834"/>
        <item x="849"/>
        <item x="223"/>
        <item x="77"/>
        <item x="273"/>
        <item x="251"/>
        <item x="266"/>
        <item x="622"/>
        <item x="101"/>
        <item x="492"/>
        <item x="501"/>
        <item x="157"/>
        <item x="278"/>
        <item x="707"/>
        <item x="795"/>
        <item x="803"/>
        <item x="708"/>
        <item x="865"/>
        <item x="563"/>
        <item x="175"/>
        <item x="480"/>
        <item x="162"/>
        <item x="1040"/>
        <item x="118"/>
        <item x="954"/>
        <item x="698"/>
        <item x="229"/>
        <item x="601"/>
        <item x="969"/>
        <item x="921"/>
        <item x="991"/>
        <item x="935"/>
        <item x="171"/>
        <item x="323"/>
        <item x="28"/>
        <item x="457"/>
        <item x="13"/>
        <item x="507"/>
        <item x="8"/>
        <item x="75"/>
        <item x="1011"/>
        <item x="790"/>
        <item x="548"/>
        <item x="45"/>
        <item x="351"/>
        <item x="497"/>
        <item x="580"/>
        <item x="304"/>
        <item x="382"/>
        <item x="879"/>
        <item x="852"/>
        <item x="885"/>
        <item x="948"/>
        <item x="950"/>
        <item x="836"/>
        <item x="900"/>
        <item x="611"/>
        <item x="594"/>
        <item x="916"/>
        <item x="1034"/>
        <item x="145"/>
        <item x="955"/>
        <item x="898"/>
        <item x="529"/>
        <item x="438"/>
        <item x="291"/>
        <item x="937"/>
        <item x="163"/>
        <item x="959"/>
        <item x="432"/>
        <item x="265"/>
        <item x="150"/>
        <item x="894"/>
        <item x="78"/>
        <item x="814"/>
        <item x="154"/>
        <item x="402"/>
        <item x="400"/>
        <item x="342"/>
        <item x="476"/>
        <item x="789"/>
        <item x="811"/>
        <item x="641"/>
        <item x="234"/>
        <item x="718"/>
        <item x="909"/>
        <item x="907"/>
        <item x="887"/>
        <item x="924"/>
        <item x="862"/>
        <item x="218"/>
        <item x="3"/>
        <item x="280"/>
        <item x="677"/>
        <item x="868"/>
        <item x="357"/>
        <item x="275"/>
        <item x="277"/>
        <item x="731"/>
        <item x="989"/>
        <item x="1023"/>
        <item x="298"/>
        <item x="947"/>
        <item x="63"/>
        <item x="0"/>
        <item x="1102"/>
        <item x="1035"/>
        <item x="1060"/>
        <item x="1042"/>
        <item x="1061"/>
        <item x="1062"/>
        <item x="1051"/>
        <item x="1075"/>
        <item x="1110"/>
        <item x="1106"/>
        <item x="1101"/>
        <item x="1087"/>
        <item x="1103"/>
        <item x="1107"/>
        <item x="1104"/>
        <item x="1093"/>
        <item x="1088"/>
        <item x="1089"/>
        <item x="1096"/>
        <item x="1097"/>
        <item x="1098"/>
        <item x="1094"/>
        <item x="1095"/>
        <item x="1090"/>
        <item x="1099"/>
        <item x="1105"/>
        <item x="1112"/>
        <item x="1100"/>
        <item x="1114"/>
        <item x="1115"/>
        <item x="1091"/>
        <item x="1113"/>
        <item x="1111"/>
        <item x="1117"/>
        <item x="1118"/>
        <item x="1119"/>
        <item x="1120"/>
        <item x="1128"/>
        <item x="1129"/>
        <item x="1130"/>
        <item x="1136"/>
        <item x="1137"/>
        <item x="1139"/>
        <item x="1140"/>
        <item x="1143"/>
        <item x="1144"/>
        <item x="1146"/>
        <item x="1150"/>
        <item x="1151"/>
        <item x="1152"/>
        <item x="1165"/>
        <item x="1168"/>
        <item x="1172"/>
        <item x="1176"/>
        <item x="1179"/>
        <item x="1180"/>
        <item x="1184"/>
        <item x="1186"/>
        <item x="1187"/>
        <item x="1188"/>
        <item x="1194"/>
        <item x="1195"/>
        <item x="1196"/>
        <item x="1203"/>
        <item x="1206"/>
        <item x="1208"/>
        <item x="1147"/>
        <item x="1163"/>
        <item x="1164"/>
        <item x="1170"/>
        <item x="1121"/>
        <item x="1122"/>
        <item x="1173"/>
        <item x="1185"/>
        <item x="1181"/>
        <item x="668"/>
        <item x="1036"/>
        <item x="1037"/>
        <item x="1039"/>
        <item x="1043"/>
        <item x="1044"/>
        <item x="1045"/>
        <item x="1048"/>
        <item x="1049"/>
        <item x="1050"/>
        <item x="1052"/>
        <item x="1053"/>
        <item x="1054"/>
        <item x="1055"/>
        <item x="1056"/>
        <item x="1057"/>
        <item x="1063"/>
        <item x="1064"/>
        <item x="1065"/>
        <item x="1066"/>
        <item x="1067"/>
        <item x="1068"/>
        <item x="1069"/>
        <item x="1070"/>
        <item x="1071"/>
        <item x="1073"/>
        <item x="1074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108"/>
        <item x="1109"/>
        <item x="1116"/>
        <item x="1123"/>
        <item x="1124"/>
        <item x="1125"/>
        <item x="1126"/>
        <item x="1127"/>
        <item x="1131"/>
        <item x="1132"/>
        <item x="1133"/>
        <item x="1134"/>
        <item x="1135"/>
        <item x="1138"/>
        <item x="1141"/>
        <item x="1142"/>
        <item x="1145"/>
        <item x="1148"/>
        <item x="1149"/>
        <item x="1153"/>
        <item x="1154"/>
        <item x="1155"/>
        <item x="1156"/>
        <item x="1157"/>
        <item x="1158"/>
        <item x="1159"/>
        <item x="1160"/>
        <item x="1161"/>
        <item x="1162"/>
        <item x="1166"/>
        <item x="1167"/>
        <item x="1169"/>
        <item x="1171"/>
        <item x="1174"/>
        <item x="1175"/>
        <item x="1177"/>
        <item x="1178"/>
        <item x="1182"/>
        <item x="1183"/>
        <item x="1189"/>
        <item x="1190"/>
        <item x="1191"/>
        <item x="1192"/>
        <item x="1193"/>
        <item x="1197"/>
        <item x="1198"/>
        <item x="1199"/>
        <item x="1200"/>
        <item x="1201"/>
        <item x="1202"/>
        <item x="1204"/>
        <item x="1205"/>
        <item x="1207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8"/>
        <item x="1249"/>
        <item x="1251"/>
        <item x="1252"/>
        <item x="1254"/>
        <item x="1255"/>
        <item x="1256"/>
        <item x="1257"/>
        <item x="1258"/>
        <item x="1259"/>
        <item x="1260"/>
        <item x="1261"/>
        <item x="1263"/>
        <item x="1265"/>
        <item x="1266"/>
        <item x="1267"/>
        <item x="1268"/>
        <item x="1269"/>
        <item x="1270"/>
        <item x="1273"/>
        <item x="1274"/>
        <item x="1275"/>
        <item x="1276"/>
        <item x="1277"/>
        <item x="1278"/>
        <item x="1280"/>
        <item x="1282"/>
        <item x="1284"/>
        <item x="1285"/>
        <item x="1287"/>
        <item x="1288"/>
        <item x="1289"/>
        <item x="1291"/>
        <item x="1292"/>
        <item x="1293"/>
        <item x="1298"/>
        <item x="1299"/>
        <item x="1300"/>
        <item x="1302"/>
        <item x="1304"/>
        <item x="1305"/>
        <item x="1307"/>
        <item x="1311"/>
        <item x="1314"/>
        <item x="1315"/>
        <item x="1317"/>
        <item x="1072"/>
        <item x="1262"/>
        <item x="1318"/>
        <item x="1319"/>
        <item x="1322"/>
        <item x="1324"/>
        <item x="1327"/>
        <item x="1332"/>
        <item x="1333"/>
        <item x="1341"/>
        <item x="1342"/>
        <item x="1345"/>
        <item x="1328"/>
        <item x="1329"/>
        <item x="1325"/>
        <item x="1330"/>
        <item x="1334"/>
        <item x="1344"/>
        <item x="1281"/>
        <item x="1283"/>
        <item x="1294"/>
        <item x="1295"/>
        <item x="1301"/>
        <item x="1316"/>
        <item x="1320"/>
        <item x="1279"/>
        <item x="1323"/>
        <item x="1331"/>
        <item x="1335"/>
        <item x="1336"/>
        <item x="1337"/>
        <item x="1343"/>
        <item x="1366"/>
        <item x="1358"/>
        <item x="1353"/>
        <item x="1250"/>
        <item x="1253"/>
        <item x="1264"/>
        <item x="1271"/>
        <item x="1272"/>
        <item x="1296"/>
        <item x="1297"/>
        <item x="1308"/>
        <item x="1312"/>
        <item x="1321"/>
        <item x="1326"/>
        <item x="1338"/>
        <item x="1347"/>
        <item x="1348"/>
        <item x="1349"/>
        <item x="1350"/>
        <item x="1351"/>
        <item x="1352"/>
        <item x="1354"/>
        <item x="1355"/>
        <item x="1356"/>
        <item x="1357"/>
        <item x="1359"/>
        <item x="1360"/>
        <item x="1361"/>
        <item x="1362"/>
        <item x="1363"/>
        <item x="1364"/>
        <item x="1365"/>
        <item x="1367"/>
        <item x="1368"/>
        <item x="1247"/>
        <item x="1371"/>
        <item x="1373"/>
        <item x="1374"/>
        <item x="1375"/>
        <item x="1376"/>
        <item x="1378"/>
        <item x="1380"/>
        <item x="1381"/>
        <item x="1385"/>
        <item x="1395"/>
        <item x="1392"/>
        <item x="1402"/>
        <item x="1406"/>
        <item x="1396"/>
        <item x="1399"/>
        <item x="1401"/>
        <item x="1403"/>
        <item x="1411"/>
        <item x="1397"/>
        <item x="1398"/>
        <item x="1400"/>
        <item x="1407"/>
        <item x="1409"/>
        <item x="1413"/>
        <item x="1414"/>
        <item x="1418"/>
        <item x="1408"/>
        <item x="1404"/>
        <item x="1286"/>
        <item x="1290"/>
        <item x="1303"/>
        <item x="1306"/>
        <item x="1309"/>
        <item x="1310"/>
        <item x="1313"/>
        <item x="1339"/>
        <item x="1340"/>
        <item x="1346"/>
        <item x="1369"/>
        <item x="1370"/>
        <item x="1372"/>
        <item x="1377"/>
        <item x="1379"/>
        <item x="1382"/>
        <item x="1383"/>
        <item x="1384"/>
        <item x="1386"/>
        <item x="1387"/>
        <item x="1388"/>
        <item x="1389"/>
        <item x="1390"/>
        <item x="1391"/>
        <item x="1393"/>
        <item x="1394"/>
        <item x="1405"/>
        <item x="1419"/>
        <item x="1420"/>
        <item x="1421"/>
        <item x="1422"/>
        <item x="1092"/>
        <item x="1410"/>
        <item x="1412"/>
        <item x="1415"/>
        <item x="472"/>
        <item x="1416"/>
        <item x="1417"/>
        <item x="1427"/>
        <item x="1423"/>
        <item x="1424"/>
        <item x="1425"/>
        <item x="1426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</items>
    </pivotField>
    <pivotField compact="0" outline="0" showAll="0"/>
    <pivotField axis="axisRow" compact="0" outline="0" showAll="0" defaultSubtotal="0">
      <items count="1915">
        <item x="497"/>
        <item x="168"/>
        <item x="489"/>
        <item x="358"/>
        <item x="428"/>
        <item x="434"/>
        <item x="438"/>
        <item x="435"/>
        <item x="318"/>
        <item x="150"/>
        <item x="323"/>
        <item x="126"/>
        <item x="144"/>
        <item x="387"/>
        <item x="507"/>
        <item x="424"/>
        <item x="201"/>
        <item x="122"/>
        <item x="437"/>
        <item x="288"/>
        <item x="456"/>
        <item x="398"/>
        <item x="360"/>
        <item x="364"/>
        <item x="368"/>
        <item x="156"/>
        <item x="376"/>
        <item x="119"/>
        <item x="97"/>
        <item x="276"/>
        <item x="463"/>
        <item x="106"/>
        <item x="74"/>
        <item x="94"/>
        <item x="341"/>
        <item x="79"/>
        <item x="417"/>
        <item x="339"/>
        <item x="31"/>
        <item x="17"/>
        <item x="458"/>
        <item x="324"/>
        <item x="89"/>
        <item x="322"/>
        <item x="486"/>
        <item x="484"/>
        <item x="261"/>
        <item x="513"/>
        <item x="487"/>
        <item x="160"/>
        <item x="502"/>
        <item x="439"/>
        <item x="380"/>
        <item x="515"/>
        <item x="375"/>
        <item x="389"/>
        <item x="311"/>
        <item x="478"/>
        <item x="306"/>
        <item x="523"/>
        <item x="265"/>
        <item x="320"/>
        <item x="257"/>
        <item x="415"/>
        <item x="145"/>
        <item x="195"/>
        <item x="243"/>
        <item x="185"/>
        <item x="459"/>
        <item x="238"/>
        <item x="226"/>
        <item x="307"/>
        <item x="467"/>
        <item x="512"/>
        <item x="72"/>
        <item x="457"/>
        <item x="96"/>
        <item x="485"/>
        <item x="147"/>
        <item x="225"/>
        <item x="309"/>
        <item x="153"/>
        <item x="71"/>
        <item x="184"/>
        <item x="336"/>
        <item x="420"/>
        <item x="429"/>
        <item x="128"/>
        <item x="35"/>
        <item x="352"/>
        <item x="465"/>
        <item x="298"/>
        <item x="314"/>
        <item x="104"/>
        <item x="170"/>
        <item x="312"/>
        <item x="372"/>
        <item x="109"/>
        <item x="187"/>
        <item x="530"/>
        <item x="149"/>
        <item x="135"/>
        <item x="371"/>
        <item x="245"/>
        <item x="18"/>
        <item x="266"/>
        <item x="181"/>
        <item x="206"/>
        <item x="303"/>
        <item x="310"/>
        <item x="462"/>
        <item x="300"/>
        <item x="235"/>
        <item x="321"/>
        <item x="405"/>
        <item x="425"/>
        <item x="217"/>
        <item x="414"/>
        <item x="426"/>
        <item x="241"/>
        <item x="373"/>
        <item x="46"/>
        <item x="483"/>
        <item x="143"/>
        <item x="327"/>
        <item x="24"/>
        <item x="39"/>
        <item x="449"/>
        <item x="450"/>
        <item x="230"/>
        <item x="127"/>
        <item x="244"/>
        <item x="299"/>
        <item x="315"/>
        <item x="162"/>
        <item x="481"/>
        <item x="32"/>
        <item x="242"/>
        <item x="430"/>
        <item x="208"/>
        <item x="75"/>
        <item x="95"/>
        <item x="423"/>
        <item x="105"/>
        <item x="136"/>
        <item x="369"/>
        <item x="517"/>
        <item x="381"/>
        <item x="397"/>
        <item x="350"/>
        <item x="328"/>
        <item x="342"/>
        <item x="177"/>
        <item x="275"/>
        <item x="280"/>
        <item x="118"/>
        <item x="82"/>
        <item x="466"/>
        <item x="400"/>
        <item x="365"/>
        <item x="330"/>
        <item x="302"/>
        <item x="403"/>
        <item x="382"/>
        <item x="155"/>
        <item x="392"/>
        <item x="404"/>
        <item x="140"/>
        <item x="211"/>
        <item x="396"/>
        <item x="165"/>
        <item x="503"/>
        <item x="331"/>
        <item x="332"/>
        <item x="349"/>
        <item x="148"/>
        <item x="304"/>
        <item x="325"/>
        <item x="174"/>
        <item x="193"/>
        <item x="529"/>
        <item x="272"/>
        <item x="222"/>
        <item x="277"/>
        <item x="234"/>
        <item x="49"/>
        <item x="86"/>
        <item x="378"/>
        <item x="495"/>
        <item x="370"/>
        <item x="455"/>
        <item x="367"/>
        <item x="305"/>
        <item x="236"/>
        <item x="471"/>
        <item x="129"/>
        <item x="116"/>
        <item x="279"/>
        <item x="524"/>
        <item x="176"/>
        <item x="209"/>
        <item x="125"/>
        <item x="200"/>
        <item x="407"/>
        <item x="240"/>
        <item x="43"/>
        <item x="216"/>
        <item x="410"/>
        <item x="388"/>
        <item x="260"/>
        <item x="379"/>
        <item x="416"/>
        <item x="271"/>
        <item x="190"/>
        <item x="141"/>
        <item x="361"/>
        <item x="521"/>
        <item x="220"/>
        <item x="394"/>
        <item x="113"/>
        <item x="480"/>
        <item x="83"/>
        <item x="421"/>
        <item x="115"/>
        <item x="158"/>
        <item x="197"/>
        <item x="59"/>
        <item x="333"/>
        <item x="93"/>
        <item x="9"/>
        <item x="205"/>
        <item x="506"/>
        <item x="418"/>
        <item x="254"/>
        <item x="61"/>
        <item x="175"/>
        <item x="57"/>
        <item x="499"/>
        <item x="172"/>
        <item x="146"/>
        <item x="166"/>
        <item x="77"/>
        <item x="159"/>
        <item x="13"/>
        <item x="34"/>
        <item x="167"/>
        <item x="353"/>
        <item x="356"/>
        <item x="258"/>
        <item x="199"/>
        <item x="134"/>
        <item x="239"/>
        <item x="338"/>
        <item x="408"/>
        <item x="233"/>
        <item x="263"/>
        <item x="337"/>
        <item x="469"/>
        <item x="442"/>
        <item x="30"/>
        <item x="267"/>
        <item x="493"/>
        <item x="432"/>
        <item x="73"/>
        <item x="227"/>
        <item x="295"/>
        <item x="108"/>
        <item x="252"/>
        <item x="152"/>
        <item x="253"/>
        <item x="451"/>
        <item x="476"/>
        <item x="464"/>
        <item x="142"/>
        <item x="192"/>
        <item x="256"/>
        <item x="514"/>
        <item x="255"/>
        <item x="259"/>
        <item x="173"/>
        <item x="47"/>
        <item x="411"/>
        <item x="468"/>
        <item x="355"/>
        <item x="383"/>
        <item x="443"/>
        <item x="347"/>
        <item x="131"/>
        <item x="413"/>
        <item x="505"/>
        <item x="278"/>
        <item x="359"/>
        <item x="117"/>
        <item x="68"/>
        <item x="60"/>
        <item x="491"/>
        <item x="500"/>
        <item x="232"/>
        <item x="363"/>
        <item x="132"/>
        <item x="446"/>
        <item x="183"/>
        <item x="27"/>
        <item x="427"/>
        <item x="26"/>
        <item x="531"/>
        <item x="90"/>
        <item x="28"/>
        <item x="496"/>
        <item x="250"/>
        <item x="41"/>
        <item x="8"/>
        <item x="4"/>
        <item x="23"/>
        <item x="98"/>
        <item x="78"/>
        <item x="213"/>
        <item x="151"/>
        <item x="64"/>
        <item x="114"/>
        <item x="16"/>
        <item x="51"/>
        <item x="110"/>
        <item x="294"/>
        <item x="107"/>
        <item x="264"/>
        <item x="204"/>
        <item x="81"/>
        <item x="374"/>
        <item x="386"/>
        <item x="202"/>
        <item x="189"/>
        <item x="504"/>
        <item x="3"/>
        <item x="6"/>
        <item x="231"/>
        <item x="21"/>
        <item x="494"/>
        <item x="178"/>
        <item x="273"/>
        <item x="399"/>
        <item x="346"/>
        <item x="344"/>
        <item x="194"/>
        <item x="402"/>
        <item x="340"/>
        <item x="215"/>
        <item x="293"/>
        <item x="362"/>
        <item x="422"/>
        <item x="409"/>
        <item x="461"/>
        <item x="488"/>
        <item x="210"/>
        <item x="270"/>
        <item x="58"/>
        <item x="221"/>
        <item x="219"/>
        <item x="296"/>
        <item x="112"/>
        <item x="19"/>
        <item x="7"/>
        <item x="63"/>
        <item x="161"/>
        <item x="527"/>
        <item x="509"/>
        <item x="54"/>
        <item x="214"/>
        <item x="80"/>
        <item x="29"/>
        <item x="67"/>
        <item x="123"/>
        <item x="203"/>
        <item x="38"/>
        <item x="124"/>
        <item x="297"/>
        <item x="229"/>
        <item x="42"/>
        <item x="56"/>
        <item x="70"/>
        <item x="475"/>
        <item x="351"/>
        <item x="120"/>
        <item x="154"/>
        <item x="65"/>
        <item x="36"/>
        <item x="15"/>
        <item x="22"/>
        <item x="48"/>
        <item x="212"/>
        <item x="249"/>
        <item x="121"/>
        <item x="84"/>
        <item x="102"/>
        <item x="164"/>
        <item x="247"/>
        <item x="526"/>
        <item x="87"/>
        <item x="343"/>
        <item x="163"/>
        <item x="498"/>
        <item x="282"/>
        <item x="196"/>
        <item x="406"/>
        <item x="218"/>
        <item x="1"/>
        <item x="103"/>
        <item x="100"/>
        <item x="37"/>
        <item x="33"/>
        <item x="62"/>
        <item x="52"/>
        <item x="308"/>
        <item x="44"/>
        <item x="482"/>
        <item x="2"/>
        <item x="366"/>
        <item x="357"/>
        <item x="454"/>
        <item x="55"/>
        <item x="12"/>
        <item x="262"/>
        <item x="286"/>
        <item x="180"/>
        <item x="284"/>
        <item x="198"/>
        <item x="50"/>
        <item x="76"/>
        <item x="69"/>
        <item x="508"/>
        <item x="448"/>
        <item x="395"/>
        <item x="470"/>
        <item x="377"/>
        <item x="207"/>
        <item x="334"/>
        <item x="301"/>
        <item x="474"/>
        <item x="479"/>
        <item x="228"/>
        <item x="477"/>
        <item x="0"/>
        <item x="223"/>
        <item x="191"/>
        <item x="292"/>
        <item x="419"/>
        <item x="85"/>
        <item x="169"/>
        <item x="251"/>
        <item x="447"/>
        <item x="186"/>
        <item x="289"/>
        <item x="246"/>
        <item x="319"/>
        <item x="348"/>
        <item x="20"/>
        <item x="287"/>
        <item x="268"/>
        <item x="401"/>
        <item x="66"/>
        <item x="274"/>
        <item x="91"/>
        <item x="501"/>
        <item x="133"/>
        <item x="335"/>
        <item x="237"/>
        <item x="290"/>
        <item x="436"/>
        <item x="431"/>
        <item x="329"/>
        <item x="453"/>
        <item x="520"/>
        <item x="440"/>
        <item x="45"/>
        <item x="519"/>
        <item x="182"/>
        <item x="326"/>
        <item x="460"/>
        <item x="25"/>
        <item x="92"/>
        <item x="516"/>
        <item x="157"/>
        <item x="511"/>
        <item x="473"/>
        <item x="137"/>
        <item x="139"/>
        <item x="444"/>
        <item x="130"/>
        <item x="345"/>
        <item x="313"/>
        <item x="391"/>
        <item x="518"/>
        <item x="510"/>
        <item x="269"/>
        <item x="179"/>
        <item x="88"/>
        <item x="291"/>
        <item x="285"/>
        <item x="283"/>
        <item x="445"/>
        <item x="138"/>
        <item x="111"/>
        <item x="188"/>
        <item x="53"/>
        <item x="40"/>
        <item x="412"/>
        <item x="390"/>
        <item x="101"/>
        <item x="317"/>
        <item x="528"/>
        <item x="171"/>
        <item x="433"/>
        <item x="384"/>
        <item x="248"/>
        <item x="11"/>
        <item x="385"/>
        <item x="525"/>
        <item x="393"/>
        <item x="452"/>
        <item x="534"/>
        <item x="441"/>
        <item x="354"/>
        <item x="492"/>
        <item x="522"/>
        <item x="10"/>
        <item x="281"/>
        <item x="14"/>
        <item x="490"/>
        <item x="5"/>
        <item x="224"/>
        <item x="99"/>
        <item x="472"/>
        <item x="532"/>
        <item x="533"/>
        <item x="536"/>
        <item x="538"/>
        <item x="539"/>
        <item x="545"/>
        <item x="547"/>
        <item x="548"/>
        <item x="553"/>
        <item x="557"/>
        <item x="537"/>
        <item x="540"/>
        <item x="541"/>
        <item x="542"/>
        <item x="543"/>
        <item x="544"/>
        <item x="546"/>
        <item x="549"/>
        <item x="550"/>
        <item x="551"/>
        <item x="552"/>
        <item x="554"/>
        <item x="555"/>
        <item x="558"/>
        <item x="559"/>
        <item x="560"/>
        <item x="561"/>
        <item x="562"/>
        <item x="556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2"/>
        <item x="585"/>
        <item x="586"/>
        <item x="588"/>
        <item x="593"/>
        <item x="594"/>
        <item x="601"/>
        <item x="602"/>
        <item x="607"/>
        <item x="608"/>
        <item x="610"/>
        <item x="580"/>
        <item x="581"/>
        <item x="583"/>
        <item x="584"/>
        <item x="587"/>
        <item x="589"/>
        <item x="590"/>
        <item x="591"/>
        <item x="592"/>
        <item x="595"/>
        <item x="596"/>
        <item x="597"/>
        <item x="598"/>
        <item x="599"/>
        <item x="603"/>
        <item x="600"/>
        <item x="604"/>
        <item x="605"/>
        <item x="609"/>
        <item x="611"/>
        <item x="612"/>
        <item x="614"/>
        <item x="617"/>
        <item x="618"/>
        <item x="535"/>
        <item x="613"/>
        <item x="615"/>
        <item x="616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2"/>
        <item x="633"/>
        <item x="637"/>
        <item x="652"/>
        <item x="645"/>
        <item x="631"/>
        <item x="634"/>
        <item x="635"/>
        <item x="636"/>
        <item x="638"/>
        <item x="639"/>
        <item x="640"/>
        <item x="641"/>
        <item x="643"/>
        <item x="644"/>
        <item x="646"/>
        <item x="647"/>
        <item x="648"/>
        <item x="649"/>
        <item x="650"/>
        <item x="651"/>
        <item x="653"/>
        <item x="655"/>
        <item x="657"/>
        <item x="654"/>
        <item x="658"/>
        <item x="659"/>
        <item x="660"/>
        <item x="661"/>
        <item x="662"/>
        <item x="664"/>
        <item x="663"/>
        <item x="665"/>
        <item x="666"/>
        <item x="667"/>
        <item x="668"/>
        <item x="669"/>
        <item x="670"/>
        <item x="671"/>
        <item x="656"/>
        <item x="672"/>
        <item x="673"/>
        <item x="674"/>
        <item x="675"/>
        <item x="606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10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826"/>
        <item x="726"/>
        <item x="728"/>
        <item x="729"/>
        <item x="730"/>
        <item x="731"/>
        <item x="727"/>
        <item x="725"/>
        <item x="708"/>
        <item x="709"/>
        <item x="711"/>
        <item x="733"/>
        <item x="734"/>
        <item x="735"/>
        <item x="736"/>
        <item x="739"/>
        <item x="740"/>
        <item x="742"/>
        <item x="743"/>
        <item x="744"/>
        <item x="745"/>
        <item x="746"/>
        <item x="747"/>
        <item x="748"/>
        <item x="749"/>
        <item x="768"/>
        <item x="774"/>
        <item x="775"/>
        <item x="776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9"/>
        <item x="770"/>
        <item x="771"/>
        <item x="772"/>
        <item x="773"/>
        <item x="777"/>
        <item x="778"/>
        <item x="779"/>
        <item x="780"/>
        <item x="781"/>
        <item x="782"/>
        <item x="784"/>
        <item x="785"/>
        <item x="786"/>
        <item x="787"/>
        <item x="788"/>
        <item x="789"/>
        <item x="790"/>
        <item x="791"/>
        <item x="792"/>
        <item x="794"/>
        <item x="795"/>
        <item x="783"/>
        <item x="793"/>
        <item x="796"/>
        <item x="797"/>
        <item x="798"/>
        <item x="802"/>
        <item x="807"/>
        <item x="808"/>
        <item x="811"/>
        <item x="812"/>
        <item x="813"/>
        <item x="809"/>
        <item x="815"/>
        <item x="817"/>
        <item x="818"/>
        <item x="819"/>
        <item x="820"/>
        <item x="822"/>
        <item x="825"/>
        <item x="799"/>
        <item x="800"/>
        <item x="801"/>
        <item x="803"/>
        <item x="804"/>
        <item x="805"/>
        <item x="806"/>
        <item x="810"/>
        <item x="814"/>
        <item x="816"/>
        <item x="821"/>
        <item x="823"/>
        <item x="824"/>
        <item x="829"/>
        <item x="831"/>
        <item x="834"/>
        <item x="835"/>
        <item x="836"/>
        <item x="841"/>
        <item x="842"/>
        <item x="845"/>
        <item x="846"/>
        <item x="827"/>
        <item x="828"/>
        <item x="830"/>
        <item x="832"/>
        <item x="833"/>
        <item x="837"/>
        <item x="838"/>
        <item x="839"/>
        <item x="840"/>
        <item x="843"/>
        <item x="844"/>
        <item x="847"/>
        <item x="848"/>
        <item x="849"/>
        <item x="850"/>
        <item x="851"/>
        <item x="852"/>
        <item x="853"/>
        <item x="854"/>
        <item x="855"/>
        <item x="856"/>
        <item x="858"/>
        <item x="857"/>
        <item x="859"/>
        <item x="860"/>
        <item x="861"/>
        <item x="862"/>
        <item x="863"/>
        <item x="864"/>
        <item x="865"/>
        <item x="724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3"/>
        <item x="884"/>
        <item x="900"/>
        <item x="899"/>
        <item x="901"/>
        <item x="902"/>
        <item x="886"/>
        <item x="890"/>
        <item x="893"/>
        <item x="891"/>
        <item x="892"/>
        <item x="895"/>
        <item x="896"/>
        <item x="897"/>
        <item x="904"/>
        <item x="905"/>
        <item x="907"/>
        <item x="908"/>
        <item x="909"/>
        <item x="910"/>
        <item x="914"/>
        <item x="916"/>
        <item x="917"/>
        <item x="921"/>
        <item x="923"/>
        <item x="925"/>
        <item x="926"/>
        <item x="927"/>
        <item x="928"/>
        <item x="929"/>
        <item x="940"/>
        <item x="930"/>
        <item x="931"/>
        <item x="932"/>
        <item x="933"/>
        <item x="934"/>
        <item x="937"/>
        <item x="938"/>
        <item x="939"/>
        <item x="941"/>
        <item x="942"/>
        <item x="943"/>
        <item x="944"/>
        <item x="887"/>
        <item x="945"/>
        <item x="946"/>
        <item x="947"/>
        <item x="958"/>
        <item x="948"/>
        <item x="949"/>
        <item x="959"/>
        <item x="951"/>
        <item x="965"/>
        <item x="952"/>
        <item x="974"/>
        <item x="954"/>
        <item x="956"/>
        <item x="957"/>
        <item x="984"/>
        <item x="960"/>
        <item x="961"/>
        <item x="986"/>
        <item x="962"/>
        <item x="963"/>
        <item x="993"/>
        <item x="966"/>
        <item x="967"/>
        <item x="997"/>
        <item x="968"/>
        <item x="970"/>
        <item x="971"/>
        <item x="972"/>
        <item x="973"/>
        <item x="998"/>
        <item x="975"/>
        <item x="976"/>
        <item x="935"/>
        <item x="977"/>
        <item x="978"/>
        <item x="964"/>
        <item x="980"/>
        <item x="981"/>
        <item x="982"/>
        <item x="979"/>
        <item x="983"/>
        <item x="985"/>
        <item x="987"/>
        <item x="988"/>
        <item x="989"/>
        <item x="990"/>
        <item x="991"/>
        <item x="994"/>
        <item x="995"/>
        <item x="999"/>
        <item x="936"/>
        <item x="950"/>
        <item x="996"/>
        <item x="953"/>
        <item x="955"/>
        <item x="96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885"/>
        <item x="889"/>
        <item x="888"/>
        <item x="894"/>
        <item x="898"/>
        <item x="903"/>
        <item x="906"/>
        <item x="912"/>
        <item x="911"/>
        <item x="913"/>
        <item x="915"/>
        <item x="992"/>
        <item x="920"/>
        <item x="918"/>
        <item x="919"/>
        <item x="922"/>
        <item x="924"/>
        <item x="1040"/>
        <item x="1041"/>
        <item x="1042"/>
        <item x="1043"/>
        <item x="1046"/>
        <item x="1044"/>
        <item x="1045"/>
        <item x="1048"/>
        <item x="1049"/>
        <item x="1047"/>
        <item x="1050"/>
        <item x="1052"/>
        <item x="1051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2"/>
        <item x="1083"/>
        <item x="1084"/>
        <item x="1085"/>
        <item x="1086"/>
        <item x="1087"/>
        <item x="1081"/>
        <item x="1088"/>
        <item x="1089"/>
        <item x="1090"/>
        <item x="1091"/>
        <item x="1092"/>
        <item x="1093"/>
        <item x="732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3"/>
        <item x="1174"/>
        <item x="1175"/>
        <item x="1176"/>
        <item x="1177"/>
        <item x="1178"/>
        <item x="1179"/>
        <item x="1180"/>
        <item x="1181"/>
        <item x="1182"/>
        <item x="1185"/>
        <item x="1186"/>
        <item x="1172"/>
        <item x="1184"/>
        <item x="1183"/>
        <item x="1187"/>
        <item x="1192"/>
        <item x="1188"/>
        <item x="1189"/>
        <item x="1190"/>
        <item x="1191"/>
        <item x="1193"/>
        <item x="1194"/>
        <item x="1195"/>
        <item x="1196"/>
        <item x="1197"/>
        <item x="1198"/>
        <item x="1199"/>
        <item x="1209"/>
        <item x="1215"/>
        <item x="1219"/>
        <item x="1220"/>
        <item x="1224"/>
        <item x="1217"/>
        <item x="1200"/>
        <item x="1201"/>
        <item x="1204"/>
        <item x="1206"/>
        <item x="1207"/>
        <item x="1208"/>
        <item x="1212"/>
        <item x="1213"/>
        <item x="1221"/>
        <item x="1222"/>
        <item x="1218"/>
        <item x="1225"/>
        <item x="1214"/>
        <item x="1210"/>
        <item x="1202"/>
        <item x="1205"/>
        <item x="1211"/>
        <item x="1216"/>
        <item x="1223"/>
        <item x="1226"/>
        <item x="1228"/>
        <item x="1229"/>
        <item x="1234"/>
        <item x="1235"/>
        <item x="1236"/>
        <item x="1237"/>
        <item x="1238"/>
        <item x="1240"/>
        <item x="1233"/>
        <item x="1203"/>
        <item x="1231"/>
        <item x="1227"/>
        <item x="1232"/>
        <item x="1248"/>
        <item x="1249"/>
        <item x="1250"/>
        <item x="1252"/>
        <item x="1253"/>
        <item x="1230"/>
        <item x="1239"/>
        <item x="1242"/>
        <item x="1247"/>
        <item x="1245"/>
        <item x="1244"/>
        <item x="1243"/>
        <item x="1258"/>
        <item x="1267"/>
        <item x="1260"/>
        <item x="1261"/>
        <item x="1264"/>
        <item x="1265"/>
        <item x="1268"/>
        <item x="1266"/>
        <item x="1275"/>
        <item x="1273"/>
        <item x="1269"/>
        <item x="1276"/>
        <item x="1262"/>
        <item x="1271"/>
        <item x="1270"/>
        <item x="1272"/>
        <item x="1263"/>
        <item x="1274"/>
        <item x="1281"/>
        <item x="1282"/>
        <item x="1283"/>
        <item x="1284"/>
        <item x="1259"/>
        <item x="1292"/>
        <item x="1297"/>
        <item x="1287"/>
        <item x="1293"/>
        <item x="1304"/>
        <item x="1246"/>
        <item x="1251"/>
        <item x="1254"/>
        <item x="1241"/>
        <item x="1305"/>
        <item x="1352"/>
        <item x="1277"/>
        <item x="1278"/>
        <item x="1294"/>
        <item x="1306"/>
        <item x="1321"/>
        <item x="1365"/>
        <item x="1359"/>
        <item x="1353"/>
        <item x="1354"/>
        <item x="1349"/>
        <item x="1333"/>
        <item x="1360"/>
        <item x="1345"/>
        <item x="1357"/>
        <item x="1339"/>
        <item x="1334"/>
        <item x="1335"/>
        <item x="1340"/>
        <item x="1343"/>
        <item x="1346"/>
        <item x="1342"/>
        <item x="1341"/>
        <item x="1336"/>
        <item x="1347"/>
        <item x="1350"/>
        <item x="1358"/>
        <item x="1367"/>
        <item x="1355"/>
        <item x="1351"/>
        <item x="1348"/>
        <item x="1369"/>
        <item x="1370"/>
        <item x="1337"/>
        <item x="1344"/>
        <item x="1368"/>
        <item x="1356"/>
        <item x="1361"/>
        <item x="1366"/>
        <item x="1372"/>
        <item x="1373"/>
        <item x="1374"/>
        <item x="1375"/>
        <item x="1383"/>
        <item x="1384"/>
        <item x="1385"/>
        <item x="1391"/>
        <item x="1392"/>
        <item x="1394"/>
        <item x="1397"/>
        <item x="1398"/>
        <item x="1400"/>
        <item x="1401"/>
        <item x="1404"/>
        <item x="1407"/>
        <item x="1408"/>
        <item x="1409"/>
        <item x="1410"/>
        <item x="1423"/>
        <item x="1426"/>
        <item x="1431"/>
        <item x="1435"/>
        <item x="1439"/>
        <item x="1441"/>
        <item x="1444"/>
        <item x="1445"/>
        <item x="1451"/>
        <item x="1452"/>
        <item x="1453"/>
        <item x="1454"/>
        <item x="1462"/>
        <item x="1466"/>
        <item x="1402"/>
        <item x="1403"/>
        <item x="1421"/>
        <item x="1422"/>
        <item x="1427"/>
        <item x="1376"/>
        <item x="1377"/>
        <item x="1432"/>
        <item x="1437"/>
        <item x="1442"/>
        <item x="316"/>
        <item x="882"/>
        <item x="1279"/>
        <item x="1280"/>
        <item x="1285"/>
        <item x="1286"/>
        <item x="1288"/>
        <item x="1289"/>
        <item x="1290"/>
        <item x="1291"/>
        <item x="1295"/>
        <item x="1296"/>
        <item x="1298"/>
        <item x="1299"/>
        <item x="1300"/>
        <item x="1301"/>
        <item x="1302"/>
        <item x="1303"/>
        <item x="1307"/>
        <item x="1308"/>
        <item x="1309"/>
        <item x="1310"/>
        <item x="1311"/>
        <item x="1312"/>
        <item x="1313"/>
        <item x="1314"/>
        <item x="1315"/>
        <item x="1316"/>
        <item x="1318"/>
        <item x="1319"/>
        <item x="1320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62"/>
        <item x="1363"/>
        <item x="1364"/>
        <item x="1371"/>
        <item x="1378"/>
        <item x="1379"/>
        <item x="1380"/>
        <item x="1381"/>
        <item x="1382"/>
        <item x="1386"/>
        <item x="1387"/>
        <item x="1388"/>
        <item x="1389"/>
        <item x="1390"/>
        <item x="1393"/>
        <item x="1395"/>
        <item x="1396"/>
        <item x="1399"/>
        <item x="1405"/>
        <item x="1406"/>
        <item x="1411"/>
        <item x="1412"/>
        <item x="1413"/>
        <item x="1414"/>
        <item x="1415"/>
        <item x="1416"/>
        <item x="1417"/>
        <item x="1418"/>
        <item x="1419"/>
        <item x="1420"/>
        <item x="1424"/>
        <item x="1425"/>
        <item x="1428"/>
        <item x="1430"/>
        <item x="1433"/>
        <item x="1434"/>
        <item x="1436"/>
        <item x="1438"/>
        <item x="1440"/>
        <item x="1443"/>
        <item x="1446"/>
        <item x="1447"/>
        <item x="1448"/>
        <item x="1449"/>
        <item x="1450"/>
        <item x="1455"/>
        <item x="1456"/>
        <item x="1457"/>
        <item x="1458"/>
        <item x="1459"/>
        <item x="1460"/>
        <item x="1461"/>
        <item x="1463"/>
        <item x="1464"/>
        <item x="1465"/>
        <item x="1467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9"/>
        <item x="1510"/>
        <item x="1511"/>
        <item x="1513"/>
        <item x="1514"/>
        <item x="1516"/>
        <item x="1517"/>
        <item x="1518"/>
        <item x="1519"/>
        <item x="1520"/>
        <item x="1521"/>
        <item x="1522"/>
        <item x="1523"/>
        <item x="1525"/>
        <item x="1527"/>
        <item x="1528"/>
        <item x="1529"/>
        <item x="1530"/>
        <item x="1531"/>
        <item x="1532"/>
        <item x="1535"/>
        <item x="1536"/>
        <item x="1537"/>
        <item x="1538"/>
        <item x="1540"/>
        <item x="1541"/>
        <item x="1543"/>
        <item x="1545"/>
        <item x="1547"/>
        <item x="1548"/>
        <item x="1551"/>
        <item x="1552"/>
        <item x="1553"/>
        <item x="1555"/>
        <item x="1556"/>
        <item x="1557"/>
        <item x="1561"/>
        <item x="1562"/>
        <item x="1563"/>
        <item x="1564"/>
        <item x="1566"/>
        <item x="1568"/>
        <item x="1569"/>
        <item x="1571"/>
        <item x="1572"/>
        <item x="1576"/>
        <item x="1579"/>
        <item x="1582"/>
        <item x="1317"/>
        <item x="1524"/>
        <item x="1583"/>
        <item x="1584"/>
        <item x="1559"/>
        <item x="1592"/>
        <item x="1596"/>
        <item x="1599"/>
        <item x="1600"/>
        <item x="1601"/>
        <item x="1608"/>
        <item x="1611"/>
        <item x="1614"/>
        <item x="1615"/>
        <item x="1593"/>
        <item x="1589"/>
        <item x="1594"/>
        <item x="1602"/>
        <item x="1603"/>
        <item x="1613"/>
        <item x="1544"/>
        <item x="1546"/>
        <item x="1558"/>
        <item x="1565"/>
        <item x="1581"/>
        <item x="1542"/>
        <item x="1580"/>
        <item x="1585"/>
        <item x="1586"/>
        <item x="1588"/>
        <item x="1590"/>
        <item x="1595"/>
        <item x="1597"/>
        <item x="1598"/>
        <item x="1604"/>
        <item x="1605"/>
        <item x="1612"/>
        <item x="1638"/>
        <item x="1633"/>
        <item x="1628"/>
        <item x="1625"/>
        <item x="1512"/>
        <item x="1515"/>
        <item x="1526"/>
        <item x="1533"/>
        <item x="1534"/>
        <item x="1560"/>
        <item x="1573"/>
        <item x="1577"/>
        <item x="1587"/>
        <item x="1591"/>
        <item x="1606"/>
        <item x="1609"/>
        <item x="1617"/>
        <item x="1618"/>
        <item x="1620"/>
        <item x="1621"/>
        <item x="1622"/>
        <item x="1623"/>
        <item x="1624"/>
        <item x="1626"/>
        <item x="1627"/>
        <item x="1629"/>
        <item x="1630"/>
        <item x="1631"/>
        <item x="1632"/>
        <item x="1634"/>
        <item x="1635"/>
        <item x="1636"/>
        <item x="1637"/>
        <item x="1639"/>
        <item x="1640"/>
        <item x="1508"/>
        <item x="1643"/>
        <item x="1645"/>
        <item x="1646"/>
        <item x="1647"/>
        <item x="1648"/>
        <item x="1650"/>
        <item x="1651"/>
        <item x="1653"/>
        <item x="1654"/>
        <item x="1655"/>
        <item x="1657"/>
        <item x="1660"/>
        <item x="1673"/>
        <item x="1683"/>
        <item x="1684"/>
        <item x="1685"/>
        <item x="1686"/>
        <item x="1687"/>
        <item x="1688"/>
        <item x="1692"/>
        <item x="1695"/>
        <item x="1680"/>
        <item x="1689"/>
        <item x="1697"/>
        <item x="1698"/>
        <item x="1678"/>
        <item x="1681"/>
        <item x="1682"/>
        <item x="1679"/>
        <item x="1693"/>
        <item x="1696"/>
        <item x="1700"/>
        <item x="1701"/>
        <item x="1702"/>
        <item x="1707"/>
        <item x="1694"/>
        <item x="1690"/>
        <item x="1549"/>
        <item x="1550"/>
        <item x="1554"/>
        <item x="1567"/>
        <item x="1570"/>
        <item x="1574"/>
        <item x="1575"/>
        <item x="1578"/>
        <item x="1607"/>
        <item x="1610"/>
        <item x="1616"/>
        <item x="1619"/>
        <item x="1641"/>
        <item x="1642"/>
        <item x="1644"/>
        <item x="1649"/>
        <item x="1652"/>
        <item x="1656"/>
        <item x="1658"/>
        <item x="1659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4"/>
        <item x="1675"/>
        <item x="1676"/>
        <item x="1677"/>
        <item x="1691"/>
        <item x="1708"/>
        <item x="1709"/>
        <item x="1710"/>
        <item x="1711"/>
        <item x="1338"/>
        <item x="1699"/>
        <item x="1703"/>
        <item x="1704"/>
        <item x="642"/>
        <item x="737"/>
        <item x="1255"/>
        <item x="1539"/>
        <item x="738"/>
        <item x="741"/>
        <item x="1256"/>
        <item x="1257"/>
        <item x="1429"/>
        <item x="1468"/>
        <item x="1705"/>
        <item x="1706"/>
        <item x="1716"/>
        <item x="1712"/>
        <item x="1713"/>
        <item x="1714"/>
        <item x="1715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</items>
    </pivotField>
    <pivotField compact="0" outline="0" showAll="0" insertBlankRow="1" defaultSubtotal="0"/>
    <pivotField compact="0" outline="0" showAll="0" insertBlankRow="1" defaultSubtotal="0"/>
    <pivotField compact="0" outline="0" showAll="0"/>
    <pivotField compact="0" outline="0" showAll="0"/>
    <pivotField compact="0" outline="0" showAll="0"/>
    <pivotField compact="0" outline="0" showAll="0"/>
  </pivotFields>
  <rowFields count="6">
    <field x="2"/>
    <field x="3"/>
    <field x="6"/>
    <field x="0"/>
    <field x="7"/>
    <field x="9"/>
  </rowFields>
  <rowItems count="1039">
    <i>
      <x v="2"/>
      <x v="16"/>
      <x/>
      <x v="6"/>
      <x v="1039"/>
      <x v="413"/>
    </i>
    <i r="3">
      <x v="35"/>
      <x v="1039"/>
      <x v="195"/>
    </i>
    <i t="blank" r="4">
      <x v="1039"/>
    </i>
    <i r="3">
      <x v="73"/>
      <x v="168"/>
      <x v="402"/>
    </i>
    <i t="blank" r="4">
      <x v="168"/>
    </i>
    <i r="2">
      <x v="1"/>
      <x v="230"/>
      <x v="717"/>
      <x v="533"/>
    </i>
    <i t="blank" r="4">
      <x v="717"/>
    </i>
    <i r="3">
      <x v="486"/>
      <x v="332"/>
      <x v="930"/>
    </i>
    <i t="blank" r="4">
      <x v="332"/>
    </i>
    <i r="2">
      <x v="4"/>
      <x v="45"/>
      <x v="734"/>
      <x v="239"/>
    </i>
    <i t="blank" r="4">
      <x v="734"/>
    </i>
    <i r="3">
      <x v="204"/>
      <x v="68"/>
      <x v="432"/>
    </i>
    <i t="blank" r="4">
      <x v="68"/>
    </i>
    <i r="4">
      <x v="534"/>
      <x v="194"/>
    </i>
    <i t="blank" r="4">
      <x v="534"/>
    </i>
    <i r="3">
      <x v="223"/>
      <x v="144"/>
      <x v="523"/>
    </i>
    <i t="blank" r="4">
      <x v="144"/>
    </i>
    <i r="3">
      <x v="366"/>
      <x v="817"/>
      <x v="766"/>
    </i>
    <i t="blank" r="4">
      <x v="817"/>
    </i>
    <i r="3">
      <x v="367"/>
      <x v="259"/>
      <x v="772"/>
    </i>
    <i t="blank" r="4">
      <x v="259"/>
    </i>
    <i r="3">
      <x v="769"/>
      <x v="1378"/>
      <x v="1647"/>
    </i>
    <i t="blank" r="4">
      <x v="1378"/>
    </i>
    <i r="3">
      <x v="881"/>
      <x v="1451"/>
      <x v="1742"/>
    </i>
    <i t="blank" r="4">
      <x v="1451"/>
    </i>
    <i r="3">
      <x v="932"/>
      <x v="232"/>
      <x v="1802"/>
    </i>
    <i t="blank" r="4">
      <x v="232"/>
    </i>
    <i r="2">
      <x v="52"/>
      <x v="226"/>
      <x v="336"/>
      <x v="180"/>
    </i>
    <i t="blank" r="4">
      <x v="336"/>
    </i>
    <i r="2">
      <x v="53"/>
      <x v="161"/>
      <x v="394"/>
      <x v="3"/>
    </i>
    <i t="blank" r="4">
      <x v="394"/>
    </i>
    <i r="2">
      <x v="54"/>
      <x v="112"/>
      <x v="89"/>
      <x v="339"/>
    </i>
    <i t="blank" r="4">
      <x v="89"/>
    </i>
    <i r="3">
      <x v="208"/>
      <x v="729"/>
      <x v="438"/>
    </i>
    <i t="blank" r="4">
      <x v="729"/>
    </i>
    <i r="3">
      <x v="211"/>
      <x v="822"/>
      <x v="77"/>
    </i>
    <i t="blank" r="4">
      <x v="822"/>
    </i>
    <i r="3">
      <x v="274"/>
      <x v="722"/>
      <x v="446"/>
    </i>
    <i t="blank" r="4">
      <x v="722"/>
    </i>
    <i r="3">
      <x v="316"/>
      <x v="76"/>
      <x v="674"/>
    </i>
    <i t="blank" r="4">
      <x v="76"/>
    </i>
    <i r="3">
      <x v="369"/>
      <x v="74"/>
      <x v="751"/>
    </i>
    <i t="blank" r="4">
      <x v="74"/>
    </i>
    <i r="3">
      <x v="371"/>
      <x v="277"/>
      <x v="756"/>
    </i>
    <i t="blank" r="4">
      <x v="277"/>
    </i>
    <i r="3">
      <x v="475"/>
      <x v="361"/>
      <x v="916"/>
    </i>
    <i t="blank" r="4">
      <x v="361"/>
    </i>
    <i r="3">
      <x v="513"/>
      <x v="138"/>
      <x v="1035"/>
    </i>
    <i r="3">
      <x v="516"/>
      <x v="138"/>
      <x v="1044"/>
    </i>
    <i t="blank" r="4">
      <x v="138"/>
    </i>
    <i r="3">
      <x v="534"/>
      <x v="631"/>
      <x v="1105"/>
    </i>
    <i t="blank" r="4">
      <x v="631"/>
    </i>
    <i r="3">
      <x v="582"/>
      <x v="318"/>
      <x v="1210"/>
    </i>
    <i t="blank" r="4">
      <x v="318"/>
    </i>
    <i r="3">
      <x v="620"/>
      <x v="957"/>
      <x v="726"/>
    </i>
    <i t="blank" r="4">
      <x v="957"/>
    </i>
    <i r="3">
      <x v="652"/>
      <x v="1084"/>
      <x v="1327"/>
    </i>
    <i t="blank" r="4">
      <x v="1084"/>
    </i>
    <i r="3">
      <x v="776"/>
      <x v="1379"/>
      <x v="1648"/>
    </i>
    <i t="blank" r="4">
      <x v="1379"/>
    </i>
    <i r="3">
      <x v="820"/>
      <x v="318"/>
      <x v="1210"/>
    </i>
    <i t="blank" r="4">
      <x v="318"/>
    </i>
    <i r="3">
      <x v="1011"/>
      <x v="1559"/>
      <x v="1878"/>
    </i>
    <i t="blank" r="4">
      <x v="1559"/>
    </i>
    <i r="2">
      <x v="55"/>
      <x v="142"/>
      <x v="224"/>
      <x v="173"/>
    </i>
    <i t="blank" r="4">
      <x v="224"/>
    </i>
    <i r="3">
      <x v="474"/>
      <x v="960"/>
      <x v="904"/>
    </i>
    <i t="blank" r="4">
      <x v="960"/>
    </i>
    <i r="3">
      <x v="521"/>
      <x v="75"/>
      <x v="1054"/>
    </i>
    <i t="blank" r="4">
      <x v="75"/>
    </i>
    <i r="2">
      <x v="56"/>
      <x v="60"/>
      <x v="742"/>
      <x v="1"/>
    </i>
    <i t="blank" r="4">
      <x v="742"/>
    </i>
    <i r="3">
      <x v="83"/>
      <x v="590"/>
      <x v="514"/>
    </i>
    <i t="blank" r="4">
      <x v="590"/>
    </i>
    <i r="3">
      <x v="123"/>
      <x v="728"/>
      <x v="444"/>
    </i>
    <i t="blank" r="4">
      <x v="728"/>
    </i>
    <i r="3">
      <x v="170"/>
      <x v="321"/>
      <x v="176"/>
    </i>
    <i t="blank" r="4">
      <x v="321"/>
    </i>
    <i r="3">
      <x v="173"/>
      <x v="855"/>
      <x v="217"/>
    </i>
    <i t="blank" r="4">
      <x v="855"/>
    </i>
    <i r="3">
      <x v="178"/>
      <x v="253"/>
      <x v="445"/>
    </i>
    <i t="blank" r="4">
      <x v="253"/>
    </i>
    <i r="3">
      <x v="207"/>
      <x v="160"/>
      <x v="440"/>
    </i>
    <i t="blank" r="4">
      <x v="160"/>
    </i>
    <i r="3">
      <x v="218"/>
      <x v="719"/>
      <x v="492"/>
    </i>
    <i t="blank" r="4">
      <x v="719"/>
    </i>
    <i r="3">
      <x v="234"/>
      <x v="74"/>
      <x v="540"/>
    </i>
    <i t="blank" r="4">
      <x v="74"/>
    </i>
    <i r="3">
      <x v="394"/>
      <x v="61"/>
      <x v="800"/>
    </i>
    <i t="blank" r="4">
      <x v="61"/>
    </i>
    <i r="3">
      <x v="399"/>
      <x v="500"/>
      <x v="805"/>
    </i>
    <i t="blank" r="4">
      <x v="500"/>
    </i>
    <i r="3">
      <x v="439"/>
      <x v="209"/>
      <x v="836"/>
    </i>
    <i t="blank" r="4">
      <x v="209"/>
    </i>
    <i r="3">
      <x v="485"/>
      <x v="80"/>
      <x v="941"/>
    </i>
    <i t="blank" r="4">
      <x v="80"/>
    </i>
    <i r="3">
      <x v="952"/>
      <x v="232"/>
      <x v="1823"/>
    </i>
    <i t="blank" r="4">
      <x v="232"/>
    </i>
    <i r="3">
      <x v="956"/>
      <x v="1513"/>
      <x v="1827"/>
    </i>
    <i t="blank" r="4">
      <x v="1513"/>
    </i>
    <i r="3">
      <x v="958"/>
      <x v="1514"/>
      <x v="1829"/>
    </i>
    <i t="blank" r="4">
      <x v="1514"/>
    </i>
    <i r="3">
      <x v="966"/>
      <x v="1520"/>
      <x v="1839"/>
    </i>
    <i t="blank" r="4">
      <x v="1520"/>
    </i>
    <i r="3">
      <x v="986"/>
      <x v="1517"/>
      <x v="1863"/>
    </i>
    <i t="blank" r="4">
      <x v="1517"/>
    </i>
    <i r="2">
      <x v="57"/>
      <x v="71"/>
      <x v="922"/>
      <x v="443"/>
    </i>
    <i t="blank" r="4">
      <x v="922"/>
    </i>
    <i r="3">
      <x v="89"/>
      <x v="590"/>
      <x v="442"/>
    </i>
    <i t="blank" r="4">
      <x v="590"/>
    </i>
    <i r="3">
      <x v="91"/>
      <x v="588"/>
      <x v="70"/>
    </i>
    <i t="blank" r="4">
      <x v="588"/>
    </i>
    <i r="3">
      <x v="128"/>
      <x v="309"/>
      <x v="436"/>
    </i>
    <i t="blank" r="4">
      <x v="309"/>
    </i>
    <i r="3">
      <x v="153"/>
      <x v="246"/>
      <x v="174"/>
    </i>
    <i t="blank" r="4">
      <x v="246"/>
    </i>
    <i r="3">
      <x v="237"/>
      <x v="287"/>
      <x v="563"/>
    </i>
    <i t="blank" r="4">
      <x v="287"/>
    </i>
    <i r="3">
      <x v="251"/>
      <x v="426"/>
      <x v="581"/>
    </i>
    <i t="blank" r="4">
      <x v="426"/>
    </i>
    <i r="3">
      <x v="326"/>
      <x v="316"/>
      <x v="700"/>
    </i>
    <i t="blank" r="4">
      <x v="316"/>
    </i>
    <i r="3">
      <x v="343"/>
      <x v="589"/>
      <x v="70"/>
    </i>
    <i t="blank" r="4">
      <x v="589"/>
    </i>
    <i r="3">
      <x v="358"/>
      <x v="74"/>
      <x v="738"/>
    </i>
    <i t="blank" r="4">
      <x v="74"/>
    </i>
    <i r="3">
      <x v="372"/>
      <x v="851"/>
      <x v="757"/>
    </i>
    <i t="blank" r="4">
      <x v="851"/>
    </i>
    <i r="3">
      <x v="422"/>
      <x v="589"/>
      <x v="70"/>
    </i>
    <i t="blank" r="4">
      <x v="589"/>
    </i>
    <i r="3">
      <x v="659"/>
      <x v="1093"/>
      <x v="1339"/>
    </i>
    <i t="blank" r="4">
      <x v="1093"/>
    </i>
    <i r="3">
      <x v="893"/>
      <x v="83"/>
      <x v="1760"/>
    </i>
    <i t="blank" r="4">
      <x v="83"/>
    </i>
    <i r="3">
      <x v="984"/>
      <x v="1536"/>
      <x v="1860"/>
    </i>
    <i t="blank" r="4">
      <x v="1536"/>
    </i>
    <i r="3">
      <x v="1017"/>
      <x v="1571"/>
      <x v="1891"/>
    </i>
    <i t="blank" r="4">
      <x v="1571"/>
    </i>
    <i r="3">
      <x v="1023"/>
      <x v="1577"/>
      <x v="1898"/>
    </i>
    <i t="blank" r="4">
      <x v="1577"/>
    </i>
    <i r="2">
      <x v="62"/>
      <x v="168"/>
      <x v="88"/>
      <x v="148"/>
    </i>
    <i t="blank" r="4">
      <x v="88"/>
    </i>
    <i r="2">
      <x v="67"/>
      <x v="42"/>
      <x v="796"/>
      <x v="167"/>
    </i>
    <i r="3">
      <x v="46"/>
      <x v="796"/>
      <x v="78"/>
    </i>
    <i t="blank" r="4">
      <x v="796"/>
    </i>
    <i r="3">
      <x v="55"/>
      <x v="654"/>
      <x v="363"/>
    </i>
    <i t="blank" r="4">
      <x v="654"/>
    </i>
    <i r="3">
      <x v="106"/>
      <x v="464"/>
      <x v="248"/>
    </i>
    <i t="blank" r="4">
      <x v="464"/>
    </i>
    <i r="3">
      <x v="662"/>
      <x v="1097"/>
      <x v="1342"/>
    </i>
    <i t="blank" r="4">
      <x v="1097"/>
    </i>
    <i r="2">
      <x v="68"/>
      <x v="81"/>
      <x v="856"/>
      <x v="168"/>
    </i>
    <i t="blank" r="4">
      <x v="856"/>
    </i>
    <i r="2">
      <x v="70"/>
      <x v="68"/>
      <x v="432"/>
      <x v="106"/>
    </i>
    <i t="blank" r="4">
      <x v="432"/>
    </i>
    <i r="3">
      <x v="604"/>
      <x v="643"/>
      <x v="1241"/>
    </i>
    <i r="3">
      <x v="839"/>
      <x v="643"/>
      <x v="1241"/>
    </i>
    <i t="blank" r="4">
      <x v="643"/>
    </i>
    <i r="2">
      <x v="72"/>
      <x v="157"/>
      <x v="144"/>
      <x v="521"/>
    </i>
    <i t="blank" r="4">
      <x v="144"/>
    </i>
    <i r="3">
      <x v="166"/>
      <x v="219"/>
      <x v="506"/>
    </i>
    <i t="blank" r="4">
      <x v="219"/>
    </i>
    <i r="3">
      <x v="535"/>
      <x v="392"/>
      <x v="1110"/>
    </i>
    <i t="blank" r="4">
      <x v="392"/>
    </i>
    <i r="2">
      <x v="73"/>
      <x v="28"/>
      <x v="1039"/>
      <x v="223"/>
    </i>
    <i t="blank" r="4">
      <x v="1039"/>
    </i>
    <i r="2">
      <x v="74"/>
      <x v="393"/>
      <x v="869"/>
      <x v="798"/>
    </i>
    <i t="blank" r="4">
      <x v="869"/>
    </i>
    <i r="3">
      <x v="740"/>
      <x v="1320"/>
      <x v="1580"/>
    </i>
    <i t="blank" r="4">
      <x v="1320"/>
    </i>
    <i r="2">
      <x v="76"/>
      <x v="196"/>
      <x v="439"/>
      <x v="128"/>
    </i>
    <i t="blank" r="4">
      <x v="439"/>
    </i>
    <i r="2">
      <x v="77"/>
      <x v="109"/>
      <x v="868"/>
      <x v="530"/>
    </i>
    <i t="blank" r="4">
      <x v="868"/>
    </i>
    <i r="2">
      <x v="78"/>
      <x v="454"/>
      <x v="234"/>
      <x v="1016"/>
    </i>
    <i r="3">
      <x v="467"/>
      <x v="234"/>
      <x v="1031"/>
    </i>
    <i r="3">
      <x v="1002"/>
      <x v="234"/>
      <x v="67"/>
    </i>
    <i t="blank" r="4">
      <x v="234"/>
    </i>
    <i r="2">
      <x v="85"/>
      <x v="465"/>
      <x v="921"/>
      <x v="1026"/>
    </i>
    <i t="blank" r="4">
      <x v="921"/>
    </i>
    <i r="2">
      <x v="86"/>
      <x v="45"/>
      <x v="825"/>
      <x v="64"/>
    </i>
    <i t="blank" r="4">
      <x v="825"/>
    </i>
    <i r="3">
      <x v="72"/>
      <x v="721"/>
      <x v="179"/>
    </i>
    <i t="blank" r="4">
      <x v="721"/>
    </i>
    <i r="3">
      <x v="110"/>
      <x v="250"/>
      <x v="524"/>
    </i>
    <i r="3">
      <x v="117"/>
      <x v="250"/>
      <x v="525"/>
    </i>
    <i t="blank" r="4">
      <x v="250"/>
    </i>
    <i r="3">
      <x v="121"/>
      <x v="21"/>
      <x v="422"/>
    </i>
    <i t="blank" r="4">
      <x v="21"/>
    </i>
    <i r="3">
      <x v="144"/>
      <x v="296"/>
      <x v="435"/>
    </i>
    <i t="blank" r="4">
      <x v="296"/>
    </i>
    <i r="3">
      <x v="231"/>
      <x v="242"/>
      <x v="536"/>
    </i>
    <i t="blank" r="4">
      <x v="242"/>
    </i>
    <i r="3">
      <x v="267"/>
      <x v="284"/>
      <x v="610"/>
    </i>
    <i t="blank" r="4">
      <x v="284"/>
    </i>
    <i r="3">
      <x v="534"/>
      <x v="314"/>
      <x v="1107"/>
    </i>
    <i t="blank" r="4">
      <x v="314"/>
    </i>
    <i r="3">
      <x v="545"/>
      <x v="1021"/>
      <x v="1136"/>
    </i>
    <i t="blank" r="4">
      <x v="1021"/>
    </i>
    <i r="3">
      <x v="557"/>
      <x v="809"/>
      <x v="1154"/>
    </i>
    <i t="blank" r="4">
      <x v="809"/>
    </i>
    <i r="3">
      <x v="655"/>
      <x v="1087"/>
      <x v="1332"/>
    </i>
    <i t="blank" r="4">
      <x v="1087"/>
    </i>
    <i r="3">
      <x v="663"/>
      <x v="424"/>
      <x v="1344"/>
    </i>
    <i t="blank" r="4">
      <x v="424"/>
    </i>
    <i r="3">
      <x v="934"/>
      <x v="1496"/>
      <x v="1805"/>
    </i>
    <i t="blank" r="4">
      <x v="1496"/>
    </i>
    <i r="2">
      <x v="92"/>
      <x/>
      <x v="1039"/>
      <x v="333"/>
    </i>
    <i t="blank" r="4">
      <x v="1039"/>
    </i>
    <i r="2">
      <x v="100"/>
      <x v="612"/>
      <x v="845"/>
      <x v="1257"/>
    </i>
    <i r="3">
      <x v="850"/>
      <x v="845"/>
      <x v="1257"/>
    </i>
    <i t="blank" r="4">
      <x v="845"/>
    </i>
    <i r="2">
      <x v="101"/>
      <x v="23"/>
      <x v="1039"/>
      <x v="393"/>
    </i>
    <i t="blank" r="4">
      <x v="1039"/>
    </i>
    <i r="3">
      <x v="76"/>
      <x v="345"/>
      <x v="202"/>
    </i>
    <i t="blank" r="4">
      <x v="345"/>
    </i>
    <i r="3">
      <x v="151"/>
      <x v="474"/>
      <x v="341"/>
    </i>
    <i t="blank" r="4">
      <x v="474"/>
    </i>
    <i r="3">
      <x v="188"/>
      <x v="496"/>
      <x v="511"/>
    </i>
    <i t="blank" r="4">
      <x v="496"/>
    </i>
    <i r="3">
      <x v="190"/>
      <x v="276"/>
      <x v="18"/>
    </i>
    <i t="blank" r="4">
      <x v="276"/>
    </i>
    <i r="3">
      <x v="196"/>
      <x v="782"/>
      <x v="470"/>
    </i>
    <i t="blank" r="4">
      <x v="782"/>
    </i>
    <i r="3">
      <x v="220"/>
      <x v="244"/>
      <x v="491"/>
    </i>
    <i t="blank" r="4">
      <x v="244"/>
    </i>
    <i r="3">
      <x v="249"/>
      <x v="496"/>
      <x v="498"/>
    </i>
    <i t="blank" r="4">
      <x v="496"/>
    </i>
    <i r="3">
      <x v="261"/>
      <x v="725"/>
      <x v="588"/>
    </i>
    <i t="blank" r="4">
      <x v="725"/>
    </i>
    <i r="3">
      <x v="276"/>
      <x v="160"/>
      <x v="623"/>
    </i>
    <i t="blank" r="4">
      <x v="160"/>
    </i>
    <i r="3">
      <x v="322"/>
      <x v="464"/>
      <x v="691"/>
    </i>
    <i t="blank" r="4">
      <x v="464"/>
    </i>
    <i r="3">
      <x v="327"/>
      <x v="164"/>
      <x v="701"/>
    </i>
    <i t="blank" r="4">
      <x v="164"/>
    </i>
    <i r="3">
      <x v="441"/>
      <x v="410"/>
      <x v="842"/>
    </i>
    <i t="blank" r="4">
      <x v="410"/>
    </i>
    <i r="3">
      <x v="472"/>
      <x v="160"/>
      <x v="902"/>
    </i>
    <i r="3">
      <x v="880"/>
      <x v="160"/>
      <x v="1740"/>
    </i>
    <i t="blank" r="4">
      <x v="160"/>
    </i>
    <i r="3">
      <x v="979"/>
      <x v="1534"/>
      <x v="1856"/>
    </i>
    <i t="blank" r="4">
      <x v="1534"/>
    </i>
    <i r="2">
      <x v="103"/>
      <x v="202"/>
      <x v="207"/>
      <x v="272"/>
    </i>
    <i t="blank" r="4">
      <x v="207"/>
    </i>
    <i r="2">
      <x v="105"/>
      <x v="102"/>
      <x v="159"/>
      <x v="513"/>
    </i>
    <i t="blank" r="4">
      <x v="159"/>
    </i>
    <i r="3">
      <x v="602"/>
      <x v="373"/>
      <x v="1240"/>
    </i>
    <i r="3">
      <x v="764"/>
      <x v="373"/>
      <x v="1646"/>
    </i>
    <i r="3">
      <x v="833"/>
      <x v="373"/>
      <x v="1240"/>
    </i>
    <i t="blank" r="4">
      <x v="373"/>
    </i>
    <i r="3">
      <x v="948"/>
      <x v="365"/>
      <x v="1817"/>
    </i>
    <i t="blank" r="4">
      <x v="365"/>
    </i>
    <i r="2">
      <x v="107"/>
      <x v="5"/>
      <x v="1039"/>
      <x v="126"/>
    </i>
    <i r="3">
      <x v="19"/>
      <x v="1039"/>
      <x v="126"/>
    </i>
    <i r="3">
      <x v="24"/>
      <x v="1039"/>
      <x v="93"/>
    </i>
    <i t="blank" r="4">
      <x v="1039"/>
    </i>
    <i r="3">
      <x v="40"/>
      <x v="971"/>
      <x v="484"/>
    </i>
    <i t="blank" r="4">
      <x v="971"/>
    </i>
    <i r="3">
      <x v="51"/>
      <x v="661"/>
      <x v="126"/>
    </i>
    <i t="blank" r="4">
      <x v="661"/>
    </i>
    <i r="3">
      <x v="133"/>
      <x v="598"/>
      <x v="1360"/>
    </i>
    <i t="blank" r="4">
      <x v="598"/>
    </i>
    <i r="3">
      <x v="233"/>
      <x v="352"/>
      <x v="538"/>
    </i>
    <i t="blank" r="4">
      <x v="352"/>
    </i>
    <i r="3">
      <x v="241"/>
      <x v="663"/>
      <x v="126"/>
    </i>
    <i t="blank" r="4">
      <x v="663"/>
    </i>
    <i r="3">
      <x v="245"/>
      <x v="662"/>
      <x v="126"/>
    </i>
    <i t="blank" r="4">
      <x v="662"/>
    </i>
    <i r="3">
      <x v="260"/>
      <x v="999"/>
      <x v="586"/>
    </i>
    <i t="blank" r="4">
      <x v="999"/>
    </i>
    <i r="3">
      <x v="378"/>
      <x v="20"/>
      <x v="780"/>
    </i>
    <i t="blank" r="4">
      <x v="20"/>
    </i>
    <i r="3">
      <x v="400"/>
      <x v="163"/>
      <x v="806"/>
    </i>
    <i t="blank" r="4">
      <x v="163"/>
    </i>
    <i r="3">
      <x v="464"/>
      <x v="761"/>
      <x v="1024"/>
    </i>
    <i t="blank" r="4">
      <x v="761"/>
    </i>
    <i r="3">
      <x v="466"/>
      <x v="776"/>
      <x v="1029"/>
    </i>
    <i t="blank" r="4">
      <x v="776"/>
    </i>
    <i r="3">
      <x v="485"/>
      <x v="1033"/>
      <x v="942"/>
    </i>
    <i t="blank" r="4">
      <x v="1033"/>
    </i>
    <i r="3">
      <x v="494"/>
      <x v="824"/>
      <x v="960"/>
    </i>
    <i t="blank" r="4">
      <x v="824"/>
    </i>
    <i r="3">
      <x v="524"/>
      <x v="582"/>
      <x v="1060"/>
    </i>
    <i t="blank" r="4">
      <x v="582"/>
    </i>
    <i r="3">
      <x v="560"/>
      <x v="662"/>
      <x v="498"/>
    </i>
    <i t="blank" r="4">
      <x v="662"/>
    </i>
    <i r="3">
      <x v="584"/>
      <x v="659"/>
      <x v="1204"/>
    </i>
    <i t="blank" r="4">
      <x v="659"/>
    </i>
    <i r="3">
      <x v="621"/>
      <x v="762"/>
      <x v="1271"/>
    </i>
    <i t="blank" r="4">
      <x v="762"/>
    </i>
    <i r="3">
      <x v="660"/>
      <x v="1095"/>
      <x v="619"/>
    </i>
    <i t="blank" r="4">
      <x v="1095"/>
    </i>
    <i r="3">
      <x v="707"/>
      <x v="1420"/>
      <x v="1703"/>
    </i>
    <i t="blank" r="4">
      <x v="1420"/>
    </i>
    <i r="3">
      <x v="728"/>
      <x v="775"/>
      <x v="1576"/>
    </i>
    <i t="blank" r="4">
      <x v="775"/>
    </i>
    <i r="3">
      <x v="780"/>
      <x v="1382"/>
      <x v="1652"/>
    </i>
    <i t="blank" r="4">
      <x v="1382"/>
    </i>
    <i r="3">
      <x v="788"/>
      <x v="1404"/>
      <x v="1677"/>
    </i>
    <i t="blank" r="4">
      <x v="1404"/>
    </i>
    <i r="3">
      <x v="801"/>
      <x v="659"/>
      <x v="1204"/>
    </i>
    <i t="blank" r="4">
      <x v="659"/>
    </i>
    <i r="3">
      <x v="809"/>
      <x v="1420"/>
      <x v="1701"/>
    </i>
    <i r="3">
      <x v="810"/>
      <x v="1420"/>
      <x v="1706"/>
    </i>
    <i r="3">
      <x v="812"/>
      <x v="1420"/>
      <x v="1701"/>
    </i>
    <i r="3">
      <x v="831"/>
      <x v="1420"/>
      <x v="1701"/>
    </i>
    <i r="3">
      <x v="844"/>
      <x v="1420"/>
      <x v="1706"/>
    </i>
    <i t="blank" r="4">
      <x v="1420"/>
    </i>
    <i r="3">
      <x v="925"/>
      <x v="1489"/>
      <x v="1796"/>
    </i>
    <i t="blank" r="4">
      <x v="1489"/>
    </i>
    <i r="3">
      <x v="950"/>
      <x v="1507"/>
      <x v="1819"/>
    </i>
    <i r="3">
      <x v="965"/>
      <x v="1507"/>
      <x v="1838"/>
    </i>
    <i t="blank" r="4">
      <x v="1507"/>
    </i>
    <i r="3">
      <x v="1001"/>
      <x v="1553"/>
      <x v="1876"/>
    </i>
    <i t="blank" r="4">
      <x v="1553"/>
    </i>
    <i r="3">
      <x v="1009"/>
      <x v="1557"/>
      <x v="1880"/>
    </i>
    <i t="blank" r="4">
      <x v="1557"/>
    </i>
    <i r="3">
      <x v="1011"/>
      <x v="1561"/>
      <x v="1883"/>
    </i>
    <i t="blank" r="4">
      <x v="1561"/>
    </i>
    <i r="3">
      <x v="1026"/>
      <x v="1582"/>
      <x v="1239"/>
    </i>
    <i t="blank" r="4">
      <x v="1582"/>
    </i>
    <i r="2">
      <x v="114"/>
      <x v="1"/>
      <x v="1039"/>
      <x v="229"/>
    </i>
    <i r="3">
      <x v="3"/>
      <x v="1039"/>
      <x v="125"/>
    </i>
    <i r="3">
      <x v="8"/>
      <x v="1039"/>
      <x v="366"/>
    </i>
    <i r="3">
      <x v="16"/>
      <x v="1039"/>
      <x v="186"/>
    </i>
    <i r="3">
      <x v="35"/>
      <x v="1039"/>
      <x v="87"/>
    </i>
    <i t="blank" r="4">
      <x v="1039"/>
    </i>
    <i r="3">
      <x v="216"/>
      <x v="438"/>
      <x v="231"/>
    </i>
    <i t="blank" r="4">
      <x v="438"/>
    </i>
    <i r="3">
      <x v="226"/>
      <x v="486"/>
      <x v="509"/>
    </i>
    <i t="blank" r="4">
      <x v="486"/>
    </i>
    <i r="3">
      <x v="231"/>
      <x v="215"/>
      <x v="535"/>
    </i>
    <i t="blank" r="4">
      <x v="215"/>
    </i>
    <i r="3">
      <x v="245"/>
      <x v="383"/>
      <x v="578"/>
    </i>
    <i t="blank" r="4">
      <x v="383"/>
    </i>
    <i r="3">
      <x v="250"/>
      <x v="488"/>
      <x v="231"/>
    </i>
    <i t="blank" r="4">
      <x v="488"/>
    </i>
    <i r="3">
      <x v="316"/>
      <x v="125"/>
      <x v="675"/>
    </i>
    <i t="blank" r="4">
      <x v="125"/>
    </i>
    <i r="3">
      <x v="429"/>
      <x v="441"/>
      <x v="612"/>
    </i>
    <i t="blank" r="4">
      <x v="441"/>
    </i>
    <i r="3">
      <x v="448"/>
      <x v="454"/>
      <x v="856"/>
    </i>
    <i t="blank" r="4">
      <x v="454"/>
    </i>
    <i r="3">
      <x v="449"/>
      <x v="439"/>
      <x v="860"/>
    </i>
    <i r="3">
      <x v="480"/>
      <x v="439"/>
      <x v="920"/>
    </i>
    <i t="blank" r="4">
      <x v="439"/>
    </i>
    <i r="3">
      <x v="497"/>
      <x v="495"/>
      <x v="983"/>
    </i>
    <i t="blank" r="4">
      <x v="495"/>
    </i>
    <i r="3">
      <x v="610"/>
      <x v="50"/>
      <x v="720"/>
    </i>
    <i t="blank" r="4">
      <x v="50"/>
    </i>
    <i r="3">
      <x v="644"/>
      <x v="834"/>
      <x v="1307"/>
    </i>
    <i t="blank" r="4">
      <x v="834"/>
    </i>
    <i r="3">
      <x v="735"/>
      <x v="1318"/>
      <x v="578"/>
    </i>
    <i t="blank" r="4">
      <x v="1318"/>
    </i>
    <i r="3">
      <x v="739"/>
      <x v="1316"/>
      <x v="1574"/>
    </i>
    <i t="blank" r="4">
      <x v="1316"/>
    </i>
    <i r="3">
      <x v="853"/>
      <x v="50"/>
      <x v="720"/>
    </i>
    <i t="blank" r="4">
      <x v="50"/>
    </i>
    <i r="3">
      <x v="895"/>
      <x v="1461"/>
      <x v="1761"/>
    </i>
    <i t="blank" r="4">
      <x v="1461"/>
    </i>
    <i r="3">
      <x v="966"/>
      <x v="1521"/>
      <x v="1756"/>
    </i>
    <i t="blank" r="4">
      <x v="1521"/>
    </i>
    <i r="2">
      <x v="115"/>
      <x v="70"/>
      <x v="19"/>
      <x v="502"/>
    </i>
    <i t="blank" r="4">
      <x v="19"/>
    </i>
    <i r="2">
      <x v="116"/>
      <x v="151"/>
      <x v="91"/>
      <x v="60"/>
    </i>
    <i t="blank" r="4">
      <x v="91"/>
    </i>
    <i r="2">
      <x v="119"/>
      <x v="7"/>
      <x v="1039"/>
      <x v="185"/>
    </i>
    <i t="blank" r="4">
      <x v="1039"/>
    </i>
    <i r="3">
      <x v="129"/>
      <x v="379"/>
      <x v="176"/>
    </i>
    <i t="blank" r="4">
      <x v="379"/>
    </i>
    <i r="3">
      <x v="214"/>
      <x v="465"/>
      <x v="184"/>
    </i>
    <i t="blank" r="4">
      <x v="465"/>
    </i>
    <i r="3">
      <x v="382"/>
      <x v="261"/>
      <x v="786"/>
    </i>
    <i t="blank" r="4">
      <x v="261"/>
    </i>
    <i r="3">
      <x v="498"/>
      <x v="482"/>
      <x v="182"/>
    </i>
    <i t="blank" r="4">
      <x v="482"/>
    </i>
    <i r="3">
      <x v="504"/>
      <x v="1015"/>
      <x v="1004"/>
    </i>
    <i r="5">
      <x v="1005"/>
    </i>
    <i t="blank" r="4">
      <x v="1015"/>
    </i>
    <i r="3">
      <x v="623"/>
      <x v="1044"/>
      <x v="720"/>
    </i>
    <i t="blank" r="4">
      <x v="1044"/>
    </i>
    <i r="4">
      <x v="1045"/>
      <x v="1282"/>
    </i>
    <i t="blank" r="4">
      <x v="1045"/>
    </i>
    <i r="3">
      <x v="633"/>
      <x v="1057"/>
      <x v="1295"/>
    </i>
    <i t="blank" r="4">
      <x v="1057"/>
    </i>
    <i r="3">
      <x v="694"/>
      <x v="1234"/>
      <x v="1486"/>
    </i>
    <i t="blank" r="4">
      <x v="1234"/>
    </i>
    <i r="3">
      <x v="718"/>
      <x v="320"/>
      <x v="161"/>
    </i>
    <i t="blank" r="4">
      <x v="320"/>
    </i>
    <i r="3">
      <x v="951"/>
      <x v="1510"/>
      <x v="1822"/>
    </i>
    <i t="blank" r="4">
      <x v="1510"/>
    </i>
    <i r="3">
      <x v="977"/>
      <x v="1533"/>
      <x v="1854"/>
    </i>
    <i t="blank" r="4">
      <x v="1533"/>
    </i>
    <i r="3">
      <x v="1005"/>
      <x v="1555"/>
      <x v="1877"/>
    </i>
    <i t="blank" r="4">
      <x v="1555"/>
    </i>
    <i r="3">
      <x v="1034"/>
      <x v="464"/>
      <x v="1909"/>
    </i>
    <i t="blank" r="4">
      <x v="464"/>
    </i>
    <i r="2">
      <x v="120"/>
      <x v="41"/>
      <x v="826"/>
      <x v="485"/>
    </i>
    <i t="blank" r="4">
      <x v="826"/>
    </i>
    <i r="3">
      <x v="53"/>
      <x v="436"/>
      <x v="49"/>
    </i>
    <i t="blank" r="4">
      <x v="436"/>
    </i>
    <i r="3">
      <x v="64"/>
      <x v="423"/>
      <x v="199"/>
    </i>
    <i t="blank" r="4">
      <x v="423"/>
    </i>
    <i r="3">
      <x v="81"/>
      <x v="424"/>
      <x v="200"/>
    </i>
    <i t="blank" r="4">
      <x v="424"/>
    </i>
    <i r="3">
      <x v="192"/>
      <x v="651"/>
      <x v="499"/>
    </i>
    <i t="blank" r="4">
      <x v="651"/>
    </i>
    <i r="3">
      <x v="329"/>
      <x v="49"/>
      <x v="703"/>
    </i>
    <i t="blank" r="4">
      <x v="49"/>
    </i>
    <i r="3">
      <x v="360"/>
      <x v="273"/>
      <x v="451"/>
    </i>
    <i t="blank" r="4">
      <x v="273"/>
    </i>
    <i r="3">
      <x v="366"/>
      <x v="424"/>
      <x v="744"/>
    </i>
    <i t="blank" r="4">
      <x v="424"/>
    </i>
    <i r="3">
      <x v="396"/>
      <x v="112"/>
      <x v="157"/>
    </i>
    <i t="blank" r="4">
      <x v="112"/>
    </i>
    <i r="3">
      <x v="459"/>
      <x v="99"/>
      <x v="884"/>
    </i>
    <i t="blank" r="4">
      <x v="99"/>
    </i>
    <i r="4">
      <x v="605"/>
      <x v="1019"/>
    </i>
    <i t="blank" r="4">
      <x v="605"/>
    </i>
    <i r="3">
      <x v="467"/>
      <x v="232"/>
      <x v="652"/>
    </i>
    <i t="blank" r="4">
      <x v="232"/>
    </i>
    <i r="3">
      <x v="470"/>
      <x v="269"/>
      <x v="901"/>
    </i>
    <i t="blank" r="4">
      <x v="269"/>
    </i>
    <i r="3">
      <x v="496"/>
      <x v="109"/>
      <x v="978"/>
    </i>
    <i t="blank" r="4">
      <x v="109"/>
    </i>
    <i r="3">
      <x v="598"/>
      <x v="325"/>
      <x v="1233"/>
    </i>
    <i t="blank" r="4">
      <x v="325"/>
    </i>
    <i r="3">
      <x v="622"/>
      <x v="1046"/>
      <x v="1233"/>
    </i>
    <i t="blank" r="4">
      <x v="1046"/>
    </i>
    <i r="3">
      <x v="661"/>
      <x v="1096"/>
      <x v="1341"/>
    </i>
    <i t="blank" r="4">
      <x v="1096"/>
    </i>
    <i r="3">
      <x v="694"/>
      <x v="424"/>
      <x v="1487"/>
    </i>
    <i t="blank" r="4">
      <x v="424"/>
    </i>
    <i r="3">
      <x v="723"/>
      <x v="1313"/>
      <x v="1569"/>
    </i>
    <i t="blank" r="4">
      <x v="1313"/>
    </i>
    <i r="3">
      <x v="840"/>
      <x v="325"/>
      <x v="1233"/>
    </i>
    <i t="blank" r="4">
      <x v="325"/>
    </i>
    <i r="3">
      <x v="921"/>
      <x v="424"/>
      <x v="1789"/>
    </i>
    <i t="blank" r="4">
      <x v="424"/>
    </i>
    <i r="3">
      <x v="925"/>
      <x v="1488"/>
      <x v="1795"/>
    </i>
    <i t="blank" r="4">
      <x v="1488"/>
    </i>
    <i r="3">
      <x v="961"/>
      <x v="1517"/>
      <x v="1833"/>
    </i>
    <i t="blank" r="4">
      <x v="1517"/>
    </i>
    <i r="3">
      <x v="963"/>
      <x v="1087"/>
      <x v="1835"/>
    </i>
    <i t="blank" r="4">
      <x v="1087"/>
    </i>
    <i r="3">
      <x v="996"/>
      <x v="1550"/>
      <x v="1873"/>
    </i>
    <i t="blank" r="4">
      <x v="1550"/>
    </i>
    <i r="3">
      <x v="1030"/>
      <x v="1586"/>
      <x v="1904"/>
    </i>
    <i t="blank" r="4">
      <x v="1586"/>
    </i>
    <i r="2">
      <x v="121"/>
      <x v="116"/>
      <x v="335"/>
      <x v="197"/>
    </i>
    <i t="blank" r="4">
      <x v="335"/>
    </i>
    <i r="3">
      <x v="138"/>
      <x v="733"/>
      <x v="476"/>
    </i>
    <i t="blank" r="4">
      <x v="733"/>
    </i>
    <i r="3">
      <x v="159"/>
      <x v="335"/>
      <x v="179"/>
    </i>
    <i t="blank" r="4">
      <x v="335"/>
    </i>
    <i r="3">
      <x v="366"/>
      <x v="424"/>
      <x v="767"/>
    </i>
    <i t="blank" r="4">
      <x v="424"/>
    </i>
    <i r="3">
      <x v="389"/>
      <x v="991"/>
      <x v="795"/>
    </i>
    <i t="blank" r="4">
      <x v="991"/>
    </i>
    <i r="2">
      <x v="128"/>
      <x v="124"/>
      <x v="703"/>
      <x v="265"/>
    </i>
    <i t="blank" r="4">
      <x v="703"/>
    </i>
    <i r="2">
      <x v="129"/>
      <x v="237"/>
      <x v="1011"/>
      <x v="561"/>
    </i>
    <i t="blank" r="4">
      <x v="1011"/>
    </i>
    <i r="3">
      <x v="489"/>
      <x v="257"/>
      <x v="956"/>
    </i>
    <i t="blank" r="4">
      <x v="257"/>
    </i>
    <i r="3">
      <x v="561"/>
      <x v="594"/>
      <x v="1078"/>
    </i>
    <i t="blank" r="4">
      <x v="594"/>
    </i>
    <i r="4">
      <x v="597"/>
      <x v="1167"/>
    </i>
    <i t="blank" r="4">
      <x v="597"/>
    </i>
    <i r="3">
      <x v="890"/>
      <x v="493"/>
      <x v="1756"/>
    </i>
    <i t="blank" r="4">
      <x v="493"/>
    </i>
    <i r="3">
      <x v="1015"/>
      <x v="1569"/>
      <x v="1890"/>
    </i>
    <i t="blank" r="4">
      <x v="1569"/>
    </i>
    <i r="2">
      <x v="130"/>
      <x v="34"/>
      <x v="1039"/>
      <x v="201"/>
    </i>
    <i t="blank" r="4">
      <x v="1039"/>
    </i>
    <i r="3">
      <x v="54"/>
      <x v="400"/>
      <x v="500"/>
    </i>
    <i t="blank" r="4">
      <x v="400"/>
    </i>
    <i r="3">
      <x v="69"/>
      <x v="233"/>
      <x v="67"/>
    </i>
    <i t="blank" r="4">
      <x v="233"/>
    </i>
    <i r="4">
      <x v="1038"/>
      <x v="450"/>
    </i>
    <i t="blank" r="4">
      <x v="1038"/>
    </i>
    <i r="3">
      <x v="98"/>
      <x v="818"/>
      <x v="66"/>
    </i>
    <i t="blank" r="4">
      <x v="818"/>
    </i>
    <i r="3">
      <x v="101"/>
      <x v="700"/>
      <x v="201"/>
    </i>
    <i t="blank" r="4">
      <x v="700"/>
    </i>
    <i r="3">
      <x v="102"/>
      <x v="10"/>
      <x v="390"/>
    </i>
    <i t="blank" r="4">
      <x v="10"/>
    </i>
    <i r="3">
      <x v="272"/>
      <x v="640"/>
      <x v="201"/>
    </i>
    <i t="blank" r="4">
      <x v="640"/>
    </i>
    <i r="3">
      <x v="279"/>
      <x v="913"/>
      <x v="627"/>
    </i>
    <i t="blank" r="4">
      <x v="913"/>
    </i>
    <i r="3">
      <x v="498"/>
      <x v="824"/>
      <x v="986"/>
    </i>
    <i t="blank" r="4">
      <x v="824"/>
    </i>
    <i r="3">
      <x v="810"/>
      <x v="1420"/>
      <x v="1702"/>
    </i>
    <i r="3">
      <x v="812"/>
      <x v="1420"/>
      <x v="1704"/>
    </i>
    <i r="3">
      <x v="844"/>
      <x v="1420"/>
      <x v="1702"/>
    </i>
    <i t="blank" r="4">
      <x v="1420"/>
    </i>
    <i r="3">
      <x v="857"/>
      <x v="912"/>
      <x v="275"/>
    </i>
    <i t="blank" r="4">
      <x v="912"/>
    </i>
    <i r="3">
      <x v="972"/>
      <x v="1528"/>
      <x v="1847"/>
    </i>
    <i t="blank" r="4">
      <x v="1528"/>
    </i>
    <i r="2">
      <x v="131"/>
      <x v="73"/>
      <x v="974"/>
      <x v="65"/>
    </i>
    <i t="blank" r="4">
      <x v="974"/>
    </i>
    <i r="3">
      <x v="181"/>
      <x v="947"/>
      <x v="222"/>
    </i>
    <i t="blank" r="4">
      <x v="947"/>
    </i>
    <i r="3">
      <x v="384"/>
      <x v="209"/>
      <x v="166"/>
    </i>
    <i t="blank" r="4">
      <x v="209"/>
    </i>
    <i r="2">
      <x v="138"/>
      <x v="251"/>
      <x v="913"/>
      <x v="494"/>
    </i>
    <i t="blank" r="4">
      <x v="913"/>
    </i>
    <i r="3">
      <x v="282"/>
      <x v="911"/>
      <x v="635"/>
    </i>
    <i t="blank" r="4">
      <x v="911"/>
    </i>
    <i r="3">
      <x v="307"/>
      <x v="913"/>
      <x v="635"/>
    </i>
    <i t="blank" r="4">
      <x v="913"/>
    </i>
    <i r="3">
      <x v="431"/>
      <x v="391"/>
      <x v="835"/>
    </i>
    <i t="blank" r="4">
      <x v="391"/>
    </i>
    <i r="3">
      <x v="456"/>
      <x v="440"/>
      <x v="860"/>
    </i>
    <i t="blank" r="4">
      <x v="440"/>
    </i>
    <i r="3">
      <x v="482"/>
      <x v="450"/>
      <x v="920"/>
    </i>
    <i t="blank" r="4">
      <x v="450"/>
    </i>
    <i r="3">
      <x v="689"/>
      <x v="913"/>
      <x v="1470"/>
    </i>
    <i t="blank" r="4">
      <x v="913"/>
    </i>
    <i r="2">
      <x v="144"/>
      <x v="92"/>
      <x v="419"/>
      <x v="335"/>
    </i>
    <i t="blank" r="4">
      <x v="419"/>
    </i>
    <i r="3">
      <x v="182"/>
      <x v="1027"/>
      <x v="142"/>
    </i>
    <i t="blank" r="4">
      <x v="1027"/>
    </i>
    <i r="3">
      <x v="186"/>
      <x v="26"/>
      <x v="335"/>
    </i>
    <i t="blank" r="4">
      <x v="26"/>
    </i>
    <i r="3">
      <x v="196"/>
      <x v="119"/>
      <x v="151"/>
    </i>
    <i t="blank" r="4">
      <x v="119"/>
    </i>
    <i r="3">
      <x v="283"/>
      <x v="754"/>
      <x v="636"/>
    </i>
    <i t="blank" r="4">
      <x v="754"/>
    </i>
    <i r="3">
      <x v="508"/>
      <x v="900"/>
      <x v="1027"/>
    </i>
    <i t="blank" r="4">
      <x v="900"/>
    </i>
    <i r="3">
      <x v="684"/>
      <x v="1420"/>
      <x v="1709"/>
    </i>
    <i t="blank" r="4">
      <x v="1420"/>
    </i>
    <i r="3">
      <x v="727"/>
      <x v="119"/>
      <x v="1575"/>
    </i>
    <i t="blank" r="4">
      <x v="119"/>
    </i>
    <i r="3">
      <x v="811"/>
      <x v="1420"/>
      <x v="1703"/>
    </i>
    <i t="blank" r="4">
      <x v="1420"/>
    </i>
    <i r="2">
      <x v="145"/>
      <x v="114"/>
      <x v="101"/>
      <x v="153"/>
    </i>
    <i t="blank" r="4">
      <x v="101"/>
    </i>
    <i r="2">
      <x v="146"/>
      <x v="5"/>
      <x v="1039"/>
      <x v="504"/>
    </i>
    <i r="3">
      <x v="8"/>
      <x v="1039"/>
      <x v="503"/>
    </i>
    <i t="blank" r="4">
      <x v="1039"/>
    </i>
    <i r="3">
      <x v="259"/>
      <x v="232"/>
      <x v="44"/>
    </i>
    <i t="blank" r="4">
      <x v="232"/>
    </i>
    <i r="3">
      <x v="655"/>
      <x v="234"/>
      <x v="1334"/>
    </i>
    <i t="blank" r="4">
      <x v="234"/>
    </i>
    <i r="2">
      <x v="158"/>
      <x v="110"/>
      <x v="58"/>
      <x v="105"/>
    </i>
    <i t="blank" r="4">
      <x v="58"/>
    </i>
    <i r="3">
      <x v="141"/>
      <x v="232"/>
      <x v="172"/>
    </i>
    <i t="blank" r="4">
      <x v="232"/>
    </i>
    <i r="2">
      <x v="159"/>
      <x v="9"/>
      <x v="1039"/>
      <x v="379"/>
    </i>
    <i t="blank" r="4">
      <x v="1039"/>
    </i>
    <i r="3">
      <x v="69"/>
      <x v="711"/>
      <x v="11"/>
    </i>
    <i t="blank" r="4">
      <x v="711"/>
    </i>
    <i r="3">
      <x v="150"/>
      <x v="892"/>
      <x v="275"/>
    </i>
    <i t="blank" r="4">
      <x v="892"/>
    </i>
    <i r="3">
      <x v="277"/>
      <x v="229"/>
      <x v="275"/>
    </i>
    <i t="blank" r="4">
      <x v="229"/>
    </i>
    <i r="3">
      <x v="278"/>
      <x v="970"/>
      <x v="81"/>
    </i>
    <i t="blank" r="4">
      <x v="970"/>
    </i>
    <i r="3">
      <x v="295"/>
      <x v="272"/>
      <x v="646"/>
    </i>
    <i t="blank" r="4">
      <x v="272"/>
    </i>
    <i r="3">
      <x v="331"/>
      <x v="550"/>
      <x v="705"/>
    </i>
    <i t="blank" r="4">
      <x v="550"/>
    </i>
    <i r="3">
      <x v="357"/>
      <x v="12"/>
      <x v="737"/>
    </i>
    <i t="blank" r="4">
      <x v="12"/>
    </i>
    <i r="3">
      <x v="370"/>
      <x v="628"/>
      <x v="754"/>
    </i>
    <i t="blank" r="4">
      <x v="628"/>
    </i>
    <i r="3">
      <x v="464"/>
      <x v="603"/>
      <x v="634"/>
    </i>
    <i t="blank" r="4">
      <x v="603"/>
    </i>
    <i r="3">
      <x v="488"/>
      <x v="887"/>
      <x v="961"/>
    </i>
    <i t="blank" r="4">
      <x v="887"/>
    </i>
    <i r="3">
      <x v="590"/>
      <x v="877"/>
      <x v="137"/>
    </i>
    <i t="blank" r="4">
      <x v="877"/>
    </i>
    <i r="4">
      <x v="892"/>
      <x v="1182"/>
    </i>
    <i t="blank" r="4">
      <x v="892"/>
    </i>
    <i r="3">
      <x v="618"/>
      <x v="229"/>
      <x v="1265"/>
    </i>
    <i t="blank" r="4">
      <x v="229"/>
    </i>
    <i r="3">
      <x v="622"/>
      <x v="642"/>
      <x v="1269"/>
    </i>
    <i t="blank" r="4">
      <x v="642"/>
    </i>
    <i r="3">
      <x v="629"/>
      <x v="1072"/>
      <x v="1316"/>
    </i>
    <i t="blank" r="4">
      <x v="1072"/>
    </i>
    <i r="3">
      <x v="709"/>
      <x v="1420"/>
      <x v="573"/>
    </i>
    <i t="blank" r="4">
      <x v="1420"/>
    </i>
    <i r="3">
      <x v="743"/>
      <x v="1347"/>
      <x v="1607"/>
    </i>
    <i t="blank" r="4">
      <x v="1347"/>
    </i>
    <i r="3">
      <x v="774"/>
      <x v="229"/>
      <x v="1643"/>
    </i>
    <i t="blank" r="4">
      <x v="229"/>
    </i>
    <i r="3">
      <x v="824"/>
      <x v="877"/>
      <x v="137"/>
    </i>
    <i t="blank" r="4">
      <x v="877"/>
    </i>
    <i r="4">
      <x v="892"/>
      <x v="1182"/>
    </i>
    <i t="blank" r="4">
      <x v="892"/>
    </i>
    <i r="3">
      <x v="954"/>
      <x v="1512"/>
      <x v="1825"/>
    </i>
    <i t="blank" r="4">
      <x v="1512"/>
    </i>
    <i r="3">
      <x v="1007"/>
      <x v="1556"/>
      <x v="1878"/>
    </i>
    <i t="blank" r="4">
      <x v="1556"/>
    </i>
    <i r="3">
      <x v="1019"/>
      <x v="1573"/>
      <x v="1894"/>
    </i>
    <i t="blank" r="4">
      <x v="1573"/>
    </i>
    <i r="3">
      <x v="1022"/>
      <x v="1576"/>
      <x v="1897"/>
    </i>
    <i t="blank" r="4">
      <x v="1576"/>
    </i>
    <i r="3">
      <x v="1024"/>
      <x v="1579"/>
      <x v="1900"/>
    </i>
    <i t="blank" r="4">
      <x v="1579"/>
    </i>
    <i r="3">
      <x v="1028"/>
      <x v="1584"/>
      <x v="1903"/>
    </i>
    <i t="blank" r="4">
      <x v="1584"/>
    </i>
    <i r="2">
      <x v="163"/>
      <x v="127"/>
      <x v="508"/>
      <x v="111"/>
    </i>
    <i t="blank" r="4">
      <x v="508"/>
    </i>
    <i r="3">
      <x v="181"/>
      <x v="149"/>
      <x v="349"/>
    </i>
    <i t="blank" r="4">
      <x v="149"/>
    </i>
    <i r="3">
      <x v="208"/>
      <x v="435"/>
      <x v="184"/>
    </i>
    <i t="blank" r="4">
      <x v="435"/>
    </i>
    <i r="3">
      <x v="244"/>
      <x v="749"/>
      <x v="577"/>
    </i>
    <i t="blank" r="4">
      <x v="749"/>
    </i>
    <i r="3">
      <x v="246"/>
      <x v="555"/>
      <x v="580"/>
    </i>
    <i t="blank" r="4">
      <x v="555"/>
    </i>
    <i r="3">
      <x v="391"/>
      <x v="529"/>
      <x v="799"/>
    </i>
    <i t="blank" r="4">
      <x v="529"/>
    </i>
    <i r="3">
      <x v="398"/>
      <x v="160"/>
      <x v="803"/>
    </i>
    <i t="blank" r="4">
      <x v="160"/>
    </i>
    <i r="3">
      <x v="894"/>
      <x v="1460"/>
      <x v="1720"/>
    </i>
    <i t="blank" r="4">
      <x v="1460"/>
    </i>
    <i r="3">
      <x v="932"/>
      <x v="1493"/>
      <x v="1801"/>
    </i>
    <i t="blank" r="4">
      <x v="1493"/>
    </i>
    <i r="3">
      <x v="969"/>
      <x v="1524"/>
      <x v="1842"/>
    </i>
    <i t="blank" r="4">
      <x v="1524"/>
    </i>
    <i r="3">
      <x v="1027"/>
      <x v="1583"/>
      <x v="1902"/>
    </i>
    <i t="blank" r="4">
      <x v="1583"/>
    </i>
    <i r="2">
      <x v="164"/>
      <x v="175"/>
      <x v="123"/>
      <x v="505"/>
    </i>
    <i t="blank" r="4">
      <x v="123"/>
    </i>
    <i r="2">
      <x v="165"/>
      <x v="61"/>
      <x v="402"/>
      <x v="510"/>
    </i>
    <i t="blank" r="4">
      <x v="402"/>
    </i>
    <i r="3">
      <x v="92"/>
      <x v="876"/>
      <x v="129"/>
    </i>
    <i t="blank" r="4">
      <x v="876"/>
    </i>
    <i r="3">
      <x v="95"/>
      <x v="530"/>
      <x v="69"/>
    </i>
    <i t="blank" r="4">
      <x v="530"/>
    </i>
    <i r="3">
      <x v="296"/>
      <x v="636"/>
      <x v="647"/>
    </i>
    <i t="blank" r="4">
      <x v="636"/>
    </i>
    <i r="3">
      <x v="877"/>
      <x v="1447"/>
      <x v="1736"/>
    </i>
    <i t="blank" r="4">
      <x v="1447"/>
    </i>
    <i r="3">
      <x v="893"/>
      <x v="1430"/>
      <x v="1759"/>
    </i>
    <i t="blank" r="4">
      <x v="1430"/>
    </i>
    <i r="3">
      <x v="946"/>
      <x v="399"/>
      <x v="1720"/>
    </i>
    <i t="blank" r="4">
      <x v="399"/>
    </i>
    <i r="4">
      <x v="1446"/>
      <x v="1816"/>
    </i>
    <i t="blank" r="4">
      <x v="1446"/>
    </i>
    <i r="2">
      <x v="166"/>
      <x v="49"/>
      <x v="549"/>
      <x v="268"/>
    </i>
    <i t="blank" r="4">
      <x v="549"/>
    </i>
    <i r="3">
      <x v="108"/>
      <x v="665"/>
      <x v="209"/>
    </i>
    <i t="blank" r="4">
      <x v="665"/>
    </i>
    <i r="3">
      <x v="127"/>
      <x v="871"/>
      <x v="132"/>
    </i>
    <i t="blank" r="4">
      <x v="871"/>
    </i>
    <i r="3">
      <x v="130"/>
      <x v="967"/>
      <x v="58"/>
    </i>
    <i t="blank" r="4">
      <x v="967"/>
    </i>
    <i r="3">
      <x v="148"/>
      <x v="574"/>
      <x v="488"/>
    </i>
    <i t="blank" r="4">
      <x v="574"/>
    </i>
    <i r="3">
      <x v="224"/>
      <x v="142"/>
      <x v="59"/>
    </i>
    <i t="blank" r="4">
      <x v="142"/>
    </i>
    <i r="3">
      <x v="325"/>
      <x v="129"/>
      <x v="698"/>
    </i>
    <i t="blank" r="4">
      <x v="129"/>
    </i>
    <i r="3">
      <x v="356"/>
      <x v="547"/>
      <x v="735"/>
    </i>
    <i t="blank" r="4">
      <x v="547"/>
    </i>
    <i r="3">
      <x v="387"/>
      <x v="79"/>
      <x v="793"/>
    </i>
    <i t="blank" r="4">
      <x v="79"/>
    </i>
    <i r="3">
      <x v="445"/>
      <x v="116"/>
      <x v="849"/>
    </i>
    <i t="blank" r="4">
      <x v="116"/>
    </i>
    <i r="3">
      <x v="446"/>
      <x v="910"/>
      <x v="852"/>
    </i>
    <i t="blank" r="4">
      <x v="910"/>
    </i>
    <i r="3">
      <x v="450"/>
      <x v="734"/>
      <x v="867"/>
    </i>
    <i t="blank" r="4">
      <x v="734"/>
    </i>
    <i r="3">
      <x v="457"/>
      <x v="148"/>
      <x v="919"/>
    </i>
    <i t="blank" r="4">
      <x v="148"/>
    </i>
    <i r="3">
      <x v="466"/>
      <x v="124"/>
      <x v="1030"/>
    </i>
    <i r="3">
      <x v="469"/>
      <x v="124"/>
      <x v="1032"/>
    </i>
    <i t="blank" r="4">
      <x v="124"/>
    </i>
    <i r="3">
      <x v="492"/>
      <x v="578"/>
      <x v="969"/>
    </i>
    <i t="blank" r="4">
      <x v="578"/>
    </i>
    <i r="3">
      <x v="522"/>
      <x v="399"/>
      <x v="1056"/>
    </i>
    <i t="blank" r="4">
      <x v="399"/>
    </i>
    <i r="3">
      <x v="538"/>
      <x v="470"/>
      <x v="964"/>
    </i>
    <i t="blank" r="4">
      <x v="470"/>
    </i>
    <i r="3">
      <x v="617"/>
      <x v="151"/>
      <x v="530"/>
    </i>
    <i t="blank" r="4">
      <x v="151"/>
    </i>
    <i r="3">
      <x v="660"/>
      <x v="1094"/>
      <x v="1340"/>
    </i>
    <i t="blank" r="4">
      <x v="1094"/>
    </i>
    <i r="3">
      <x v="729"/>
      <x v="1317"/>
      <x v="1578"/>
    </i>
    <i t="blank" r="4">
      <x v="1317"/>
    </i>
    <i r="3">
      <x v="743"/>
      <x v="1323"/>
      <x v="1584"/>
    </i>
    <i t="blank" r="4">
      <x v="1323"/>
    </i>
    <i r="3">
      <x v="785"/>
      <x v="1400"/>
      <x v="698"/>
    </i>
    <i t="blank" r="4">
      <x v="1400"/>
    </i>
    <i r="3">
      <x v="799"/>
      <x v="129"/>
      <x v="1690"/>
    </i>
    <i t="blank" r="4">
      <x v="129"/>
    </i>
    <i r="3">
      <x v="854"/>
      <x v="151"/>
      <x v="530"/>
    </i>
    <i t="blank" r="4">
      <x v="151"/>
    </i>
    <i r="3">
      <x v="864"/>
      <x v="1430"/>
      <x v="1720"/>
    </i>
    <i t="blank" r="4">
      <x v="1430"/>
    </i>
    <i r="3">
      <x v="872"/>
      <x v="1440"/>
      <x v="1730"/>
    </i>
    <i t="blank" r="4">
      <x v="1440"/>
    </i>
    <i r="3">
      <x v="1031"/>
      <x v="1588"/>
      <x v="1906"/>
    </i>
    <i t="blank" r="4">
      <x v="1588"/>
    </i>
    <i r="2">
      <x v="167"/>
      <x v="132"/>
      <x v="506"/>
      <x v="489"/>
    </i>
    <i t="blank" r="4">
      <x v="506"/>
    </i>
    <i r="3">
      <x v="135"/>
      <x v="299"/>
      <x v="453"/>
    </i>
    <i t="blank" r="4">
      <x v="299"/>
    </i>
    <i r="3">
      <x v="140"/>
      <x v="122"/>
      <x v="160"/>
    </i>
    <i t="blank" r="4">
      <x v="122"/>
    </i>
    <i r="3">
      <x v="163"/>
      <x v="418"/>
      <x v="54"/>
    </i>
    <i t="blank" r="4">
      <x v="418"/>
    </i>
    <i r="2">
      <x v="168"/>
      <x v="36"/>
      <x v="1039"/>
      <x v="487"/>
    </i>
    <i t="blank" r="4">
      <x v="1039"/>
    </i>
    <i r="3">
      <x v="38"/>
      <x v="294"/>
      <x v="463"/>
    </i>
    <i t="blank" r="4">
      <x v="294"/>
    </i>
    <i r="3">
      <x v="39"/>
      <x v="882"/>
      <x v="101"/>
    </i>
    <i t="blank" r="4">
      <x v="882"/>
    </i>
    <i r="3">
      <x v="42"/>
      <x v="24"/>
      <x v="214"/>
    </i>
    <i t="blank" r="4">
      <x v="24"/>
    </i>
    <i r="3">
      <x v="46"/>
      <x v="393"/>
      <x v="175"/>
    </i>
    <i t="blank" r="4">
      <x v="393"/>
    </i>
    <i r="3">
      <x v="61"/>
      <x v="738"/>
      <x v="238"/>
    </i>
    <i r="3">
      <x v="63"/>
      <x v="738"/>
      <x v="235"/>
    </i>
    <i t="blank" r="4">
      <x v="738"/>
    </i>
    <i r="3">
      <x v="65"/>
      <x v="129"/>
      <x v="235"/>
    </i>
    <i t="blank" r="4">
      <x v="129"/>
    </i>
    <i r="3">
      <x v="86"/>
      <x v="853"/>
      <x v="217"/>
    </i>
    <i t="blank" r="4">
      <x v="853"/>
    </i>
    <i r="3">
      <x v="94"/>
      <x v="685"/>
      <x v="355"/>
    </i>
    <i t="blank" r="4">
      <x v="685"/>
    </i>
    <i r="3">
      <x v="98"/>
      <x v="804"/>
      <x v="137"/>
    </i>
    <i t="blank" r="4">
      <x v="804"/>
    </i>
    <i r="3">
      <x v="138"/>
      <x v="707"/>
      <x v="124"/>
    </i>
    <i t="blank" r="4">
      <x v="707"/>
    </i>
    <i r="3">
      <x v="214"/>
      <x v="608"/>
      <x v="171"/>
    </i>
    <i t="blank" r="4">
      <x v="608"/>
    </i>
    <i r="3">
      <x v="222"/>
      <x v="27"/>
      <x v="216"/>
    </i>
    <i t="blank" r="4">
      <x v="27"/>
    </i>
    <i r="3">
      <x v="237"/>
      <x v="286"/>
      <x v="562"/>
    </i>
    <i t="blank" r="4">
      <x v="286"/>
    </i>
    <i r="3">
      <x v="252"/>
      <x v="214"/>
      <x v="582"/>
    </i>
    <i t="blank" r="4">
      <x v="214"/>
    </i>
    <i r="3">
      <x v="259"/>
      <x v="734"/>
      <x v="237"/>
    </i>
    <i t="blank" r="4">
      <x v="734"/>
    </i>
    <i r="3">
      <x v="260"/>
      <x v="374"/>
      <x v="587"/>
    </i>
    <i t="blank" r="4">
      <x v="374"/>
    </i>
    <i r="3">
      <x v="267"/>
      <x v="129"/>
      <x v="176"/>
    </i>
    <i t="blank" r="4">
      <x v="129"/>
    </i>
    <i r="3">
      <x v="275"/>
      <x v="573"/>
      <x v="622"/>
    </i>
    <i t="blank" r="4">
      <x v="573"/>
    </i>
    <i r="3">
      <x v="283"/>
      <x v="798"/>
      <x v="637"/>
    </i>
    <i t="blank" r="4">
      <x v="798"/>
    </i>
    <i r="3">
      <x v="290"/>
      <x v="857"/>
      <x v="640"/>
    </i>
    <i t="blank" r="4">
      <x v="857"/>
    </i>
    <i r="3">
      <x v="299"/>
      <x v="39"/>
      <x v="651"/>
    </i>
    <i t="blank" r="4">
      <x v="39"/>
    </i>
    <i r="3">
      <x v="330"/>
      <x v="282"/>
      <x v="704"/>
    </i>
    <i t="blank" r="4">
      <x v="282"/>
    </i>
    <i r="3">
      <x v="339"/>
      <x v="121"/>
      <x v="716"/>
    </i>
    <i t="blank" r="4">
      <x v="121"/>
    </i>
    <i r="3">
      <x v="368"/>
      <x v="723"/>
      <x v="770"/>
    </i>
    <i t="blank" r="4">
      <x v="723"/>
    </i>
    <i r="3">
      <x v="372"/>
      <x v="218"/>
      <x v="758"/>
    </i>
    <i t="blank" r="4">
      <x v="218"/>
    </i>
    <i r="3">
      <x v="384"/>
      <x v="44"/>
      <x v="790"/>
    </i>
    <i t="blank" r="4">
      <x v="44"/>
    </i>
    <i r="3">
      <x v="393"/>
      <x v="117"/>
      <x v="157"/>
    </i>
    <i t="blank" r="4">
      <x v="117"/>
    </i>
    <i r="3">
      <x v="416"/>
      <x v="121"/>
      <x v="716"/>
    </i>
    <i t="blank" r="4">
      <x v="121"/>
    </i>
    <i r="3">
      <x v="438"/>
      <x v="29"/>
      <x v="830"/>
    </i>
    <i t="blank" r="4">
      <x v="29"/>
    </i>
    <i r="3">
      <x v="498"/>
      <x v="664"/>
      <x v="208"/>
    </i>
    <i t="blank" r="4">
      <x v="664"/>
    </i>
    <i r="3">
      <x v="503"/>
      <x v="115"/>
      <x v="978"/>
    </i>
    <i t="blank" r="4">
      <x v="115"/>
    </i>
    <i r="3">
      <x v="523"/>
      <x v="814"/>
      <x v="1057"/>
    </i>
    <i t="blank" r="4">
      <x v="814"/>
    </i>
    <i r="3">
      <x v="525"/>
      <x v="838"/>
      <x v="1064"/>
    </i>
    <i t="blank" r="4">
      <x v="838"/>
    </i>
    <i r="3">
      <x v="533"/>
      <x v="260"/>
      <x v="1099"/>
    </i>
    <i t="blank" r="4">
      <x v="260"/>
    </i>
    <i r="3">
      <x v="544"/>
      <x v="843"/>
      <x v="1132"/>
    </i>
    <i t="blank" r="4">
      <x v="843"/>
    </i>
    <i r="3">
      <x v="549"/>
      <x v="222"/>
      <x v="1143"/>
    </i>
    <i t="blank" r="4">
      <x v="222"/>
    </i>
    <i r="3">
      <x v="591"/>
      <x v="494"/>
      <x v="1222"/>
    </i>
    <i t="blank" r="4">
      <x v="494"/>
    </i>
    <i r="3">
      <x v="617"/>
      <x v="201"/>
      <x v="1260"/>
    </i>
    <i t="blank" r="4">
      <x v="201"/>
    </i>
    <i r="3">
      <x v="618"/>
      <x v="313"/>
      <x v="1263"/>
    </i>
    <i t="blank" r="4">
      <x v="313"/>
    </i>
    <i r="3">
      <x v="633"/>
      <x v="1056"/>
      <x v="1294"/>
    </i>
    <i t="blank" r="4">
      <x v="1056"/>
    </i>
    <i r="3">
      <x v="639"/>
      <x v="1067"/>
      <x v="1308"/>
    </i>
    <i t="blank" r="4">
      <x v="1067"/>
    </i>
    <i r="3">
      <x v="641"/>
      <x v="1065"/>
      <x v="1304"/>
    </i>
    <i t="blank" r="4">
      <x v="1065"/>
    </i>
    <i r="3">
      <x v="664"/>
      <x v="1103"/>
      <x v="1348"/>
    </i>
    <i t="blank" r="4">
      <x v="1103"/>
    </i>
    <i r="3">
      <x v="778"/>
      <x v="1380"/>
      <x v="1650"/>
    </i>
    <i t="blank" r="4">
      <x v="1380"/>
    </i>
    <i r="3">
      <x v="783"/>
      <x v="1395"/>
      <x v="1667"/>
    </i>
    <i t="blank" r="4">
      <x v="1395"/>
    </i>
    <i r="3">
      <x v="791"/>
      <x v="1406"/>
      <x v="1682"/>
    </i>
    <i t="blank" r="4">
      <x v="1406"/>
    </i>
    <i r="3">
      <x v="792"/>
      <x v="1407"/>
      <x v="1683"/>
    </i>
    <i t="blank" r="4">
      <x v="1407"/>
    </i>
    <i r="3">
      <x v="804"/>
      <x v="1414"/>
      <x v="1565"/>
    </i>
    <i t="blank" r="4">
      <x v="1414"/>
    </i>
    <i r="3">
      <x v="825"/>
      <x v="494"/>
      <x v="1222"/>
    </i>
    <i t="blank" r="4">
      <x v="494"/>
    </i>
    <i r="3">
      <x v="854"/>
      <x v="201"/>
      <x v="1260"/>
    </i>
    <i t="blank" r="4">
      <x v="201"/>
    </i>
    <i r="3">
      <x v="860"/>
      <x v="313"/>
      <x v="1263"/>
    </i>
    <i t="blank" r="4">
      <x v="313"/>
    </i>
    <i r="4">
      <x v="1423"/>
      <x v="1712"/>
    </i>
    <i t="blank" r="4">
      <x v="1423"/>
    </i>
    <i r="3">
      <x v="863"/>
      <x v="1429"/>
      <x v="1719"/>
    </i>
    <i t="blank" r="4">
      <x v="1429"/>
    </i>
    <i r="3">
      <x v="889"/>
      <x v="1457"/>
      <x v="1754"/>
    </i>
    <i t="blank" r="4">
      <x v="1457"/>
    </i>
    <i r="3">
      <x v="935"/>
      <x v="1497"/>
      <x v="1806"/>
    </i>
    <i t="blank" r="4">
      <x v="1497"/>
    </i>
    <i r="3">
      <x v="937"/>
      <x v="1498"/>
      <x v="1807"/>
    </i>
    <i t="blank" r="4">
      <x v="1498"/>
    </i>
    <i r="3">
      <x v="967"/>
      <x v="1522"/>
      <x v="1840"/>
    </i>
    <i t="blank" r="4">
      <x v="1522"/>
    </i>
    <i r="3">
      <x v="977"/>
      <x v="1104"/>
      <x v="1808"/>
    </i>
    <i t="blank" r="4">
      <x v="1104"/>
    </i>
    <i r="3">
      <x v="980"/>
      <x v="1535"/>
      <x v="1857"/>
    </i>
    <i t="blank" r="4">
      <x v="1535"/>
    </i>
    <i r="3">
      <x v="990"/>
      <x v="1580"/>
      <x v="1720"/>
    </i>
    <i t="blank" r="4">
      <x v="1580"/>
    </i>
    <i r="3">
      <x v="1011"/>
      <x v="1567"/>
      <x v="1664"/>
    </i>
    <i t="blank" r="4">
      <x v="1567"/>
    </i>
    <i r="2">
      <x v="172"/>
      <x v="121"/>
      <x v="398"/>
      <x v="497"/>
    </i>
    <i t="blank" r="4">
      <x v="398"/>
    </i>
    <i r="2">
      <x v="173"/>
      <x v="213"/>
      <x v="10"/>
      <x v="462"/>
    </i>
    <i t="blank" r="4">
      <x v="10"/>
    </i>
    <i r="2">
      <x v="185"/>
      <x v="515"/>
      <x v="254"/>
      <x v="1043"/>
    </i>
    <i t="blank" r="4">
      <x v="254"/>
    </i>
    <i r="3">
      <x v="524"/>
      <x v="885"/>
      <x v="1061"/>
    </i>
    <i t="blank" r="4">
      <x v="885"/>
    </i>
    <i r="3">
      <x v="530"/>
      <x v="844"/>
      <x v="1089"/>
    </i>
    <i t="blank" r="4">
      <x v="844"/>
    </i>
    <i r="3">
      <x v="537"/>
      <x v="585"/>
      <x v="1118"/>
    </i>
    <i t="blank" r="4">
      <x v="585"/>
    </i>
    <i r="4">
      <x v="803"/>
      <x v="1116"/>
    </i>
    <i t="blank" r="4">
      <x v="803"/>
    </i>
    <i r="3">
      <x v="538"/>
      <x v="1039"/>
      <x v="1120"/>
    </i>
    <i t="blank" r="4">
      <x v="1039"/>
    </i>
    <i r="2">
      <x v="195"/>
      <x v="242"/>
      <x v="868"/>
      <x v="574"/>
    </i>
    <i t="blank" r="4">
      <x v="868"/>
    </i>
    <i r="2">
      <x v="202"/>
      <x v="995"/>
      <x v="1549"/>
      <x v="1756"/>
    </i>
    <i t="blank" r="4">
      <x v="1549"/>
    </i>
    <i r="2">
      <x v="203"/>
      <x v="268"/>
      <x v="165"/>
      <x v="611"/>
    </i>
    <i t="blank" r="4">
      <x v="165"/>
    </i>
    <i r="2">
      <x v="208"/>
      <x v="280"/>
      <x v="600"/>
      <x v="634"/>
    </i>
    <i t="blank" r="4">
      <x v="600"/>
    </i>
    <i r="2">
      <x v="215"/>
      <x v="791"/>
      <x v="1405"/>
      <x v="1681"/>
    </i>
    <i t="blank" r="4">
      <x v="1405"/>
    </i>
    <i r="2">
      <x v="223"/>
      <x v="327"/>
      <x v="134"/>
      <x v="695"/>
    </i>
    <i t="blank" r="4">
      <x v="134"/>
    </i>
    <i r="3">
      <x v="498"/>
      <x v="350"/>
      <x v="987"/>
    </i>
    <i t="blank" r="4">
      <x v="350"/>
    </i>
    <i r="2">
      <x v="225"/>
      <x v="335"/>
      <x v="591"/>
      <x v="710"/>
    </i>
    <i r="3">
      <x v="412"/>
      <x v="591"/>
      <x v="710"/>
    </i>
    <i t="blank" r="4">
      <x v="591"/>
    </i>
    <i r="3">
      <x v="957"/>
      <x v="664"/>
      <x v="1828"/>
    </i>
    <i t="blank" r="4">
      <x v="664"/>
    </i>
    <i r="2">
      <x v="226"/>
      <x v="336"/>
      <x v="644"/>
      <x v="424"/>
    </i>
    <i r="3">
      <x v="413"/>
      <x v="644"/>
      <x v="424"/>
    </i>
    <i t="blank" r="4">
      <x v="644"/>
    </i>
    <i r="2">
      <x v="241"/>
      <x v="373"/>
      <x v="86"/>
      <x v="762"/>
    </i>
    <i t="blank" r="4">
      <x v="86"/>
    </i>
    <i r="3">
      <x v="395"/>
      <x v="60"/>
      <x v="215"/>
    </i>
    <i t="blank" r="4">
      <x v="60"/>
    </i>
    <i r="3">
      <x v="398"/>
      <x v="755"/>
      <x v="804"/>
    </i>
    <i t="blank" r="4">
      <x v="755"/>
    </i>
    <i r="2">
      <x v="246"/>
      <x v="545"/>
      <x v="221"/>
      <x v="1135"/>
    </i>
    <i t="blank" r="4">
      <x v="221"/>
    </i>
    <i r="2">
      <x v="250"/>
      <x v="389"/>
      <x v="210"/>
      <x v="166"/>
    </i>
    <i t="blank" r="4">
      <x v="210"/>
    </i>
    <i r="3">
      <x v="391"/>
      <x v="464"/>
      <x v="722"/>
    </i>
    <i t="blank" r="4">
      <x v="464"/>
    </i>
    <i r="2">
      <x v="252"/>
      <x v="944"/>
      <x v="508"/>
      <x v="1813"/>
    </i>
    <i t="blank" r="4">
      <x v="508"/>
    </i>
    <i r="2">
      <x v="257"/>
      <x v="429"/>
      <x v="241"/>
      <x v="833"/>
    </i>
    <i t="blank" r="4">
      <x v="241"/>
    </i>
    <i r="2">
      <x v="258"/>
      <x v="431"/>
      <x v="334"/>
      <x v="834"/>
    </i>
    <i t="blank" r="4">
      <x v="334"/>
    </i>
    <i r="3">
      <x v="464"/>
      <x v="657"/>
      <x v="1023"/>
    </i>
    <i t="blank" r="4">
      <x v="657"/>
    </i>
    <i r="2">
      <x v="272"/>
      <x v="471"/>
      <x v="658"/>
      <x v="854"/>
    </i>
    <i t="blank" r="4">
      <x v="658"/>
    </i>
    <i r="2">
      <x v="279"/>
      <x v="480"/>
      <x v="139"/>
      <x v="919"/>
    </i>
    <i t="blank" r="4">
      <x v="139"/>
    </i>
    <i r="2">
      <x v="281"/>
      <x v="485"/>
      <x v="862"/>
      <x v="928"/>
    </i>
    <i t="blank" r="4">
      <x v="862"/>
    </i>
    <i r="2">
      <x v="285"/>
      <x v="474"/>
      <x v="637"/>
      <x v="952"/>
    </i>
    <i t="blank" r="4">
      <x v="637"/>
    </i>
    <i r="2">
      <x v="286"/>
      <x v="495"/>
      <x v="145"/>
      <x v="963"/>
    </i>
    <i t="blank" r="4">
      <x v="145"/>
    </i>
    <i r="2">
      <x v="287"/>
      <x v="490"/>
      <x v="15"/>
      <x v="972"/>
    </i>
    <i t="blank" r="4">
      <x v="15"/>
    </i>
    <i r="2">
      <x v="290"/>
      <x v="596"/>
      <x v="890"/>
      <x v="919"/>
    </i>
    <i r="3">
      <x v="830"/>
      <x v="890"/>
      <x v="919"/>
    </i>
    <i t="blank" r="4">
      <x v="890"/>
    </i>
    <i r="2">
      <x v="294"/>
      <x v="463"/>
      <x v="139"/>
      <x v="1022"/>
    </i>
    <i t="blank" r="4">
      <x v="139"/>
    </i>
    <i r="2">
      <x v="295"/>
      <x v="646"/>
      <x v="1068"/>
      <x v="1309"/>
    </i>
    <i t="blank" r="4">
      <x v="1068"/>
    </i>
    <i r="3">
      <x v="658"/>
      <x v="1092"/>
      <x v="1338"/>
    </i>
    <i t="blank" r="4">
      <x v="1092"/>
    </i>
    <i r="2">
      <x v="304"/>
      <x v="531"/>
      <x v="634"/>
      <x v="1097"/>
    </i>
    <i t="blank" r="4">
      <x v="634"/>
    </i>
    <i r="3">
      <x v="539"/>
      <x v="198"/>
      <x v="1124"/>
    </i>
    <i t="blank" r="4">
      <x v="198"/>
    </i>
    <i r="2">
      <x v="315"/>
      <x v="540"/>
      <x v="404"/>
      <x v="530"/>
    </i>
    <i t="blank" r="4">
      <x v="404"/>
    </i>
    <i r="2">
      <x v="319"/>
      <x v="551"/>
      <x v="1039"/>
      <x v="1145"/>
    </i>
    <i t="blank" r="4">
      <x v="1039"/>
    </i>
    <i r="2">
      <x v="320"/>
      <x v="551"/>
      <x v="1039"/>
      <x v="1146"/>
    </i>
    <i t="blank" r="4">
      <x v="1039"/>
    </i>
    <i r="2">
      <x v="323"/>
      <x v="741"/>
      <x v="1322"/>
      <x v="1582"/>
    </i>
    <i t="blank" r="4">
      <x v="1322"/>
    </i>
    <i r="2">
      <x v="326"/>
      <x v="557"/>
      <x v="1023"/>
      <x v="1155"/>
    </i>
    <i t="blank" r="4">
      <x v="1023"/>
    </i>
    <i r="2">
      <x v="331"/>
      <x v="560"/>
      <x v="230"/>
      <x v="1165"/>
    </i>
    <i t="blank" r="4">
      <x v="230"/>
    </i>
    <i r="2">
      <x v="332"/>
      <x v="865"/>
      <x v="124"/>
      <x v="1725"/>
    </i>
    <i t="blank" r="4">
      <x v="124"/>
    </i>
    <i r="2">
      <x v="347"/>
      <x v="578"/>
      <x v="963"/>
      <x v="1200"/>
    </i>
    <i r="3">
      <x v="816"/>
      <x v="963"/>
      <x v="1200"/>
    </i>
    <i t="blank" r="4">
      <x v="963"/>
    </i>
    <i r="2">
      <x v="348"/>
      <x v="578"/>
      <x v="883"/>
      <x v="1201"/>
    </i>
    <i r="3">
      <x v="816"/>
      <x v="883"/>
      <x v="1201"/>
    </i>
    <i t="blank" r="4">
      <x v="883"/>
    </i>
    <i r="2">
      <x v="349"/>
      <x v="584"/>
      <x v="390"/>
      <x v="1205"/>
    </i>
    <i r="3">
      <x v="801"/>
      <x v="390"/>
      <x v="1205"/>
    </i>
    <i t="blank" r="4">
      <x v="390"/>
    </i>
    <i r="2">
      <x v="350"/>
      <x v="585"/>
      <x v="17"/>
      <x v="1207"/>
    </i>
    <i r="3">
      <x v="817"/>
      <x v="17"/>
      <x v="1207"/>
    </i>
    <i t="blank" r="4">
      <x v="17"/>
    </i>
    <i r="2">
      <x v="352"/>
      <x v="582"/>
      <x v="768"/>
      <x v="1211"/>
    </i>
    <i r="3">
      <x v="820"/>
      <x v="768"/>
      <x v="1211"/>
    </i>
    <i t="blank" r="4">
      <x v="768"/>
    </i>
    <i r="2">
      <x v="362"/>
      <x v="595"/>
      <x v="884"/>
      <x v="1227"/>
    </i>
    <i r="3">
      <x v="829"/>
      <x v="884"/>
      <x v="1227"/>
    </i>
    <i t="blank" r="4">
      <x v="884"/>
    </i>
    <i r="2">
      <x v="377"/>
      <x v="636"/>
      <x v="1055"/>
      <x v="1293"/>
    </i>
    <i t="blank" r="4">
      <x v="1055"/>
    </i>
    <i r="2">
      <x v="384"/>
      <x v="665"/>
      <x v="1104"/>
      <x v="830"/>
    </i>
    <i t="blank" r="4">
      <x v="1104"/>
    </i>
    <i r="2">
      <x v="392"/>
      <x v="618"/>
      <x v="1118"/>
      <x v="1364"/>
    </i>
    <i t="blank" r="4">
      <x v="1118"/>
    </i>
    <i r="2">
      <x v="393"/>
      <x v="618"/>
      <x v="1039"/>
      <x v="1365"/>
    </i>
    <i t="blank" r="4">
      <x v="1039"/>
    </i>
    <i r="2">
      <x v="398"/>
      <x v="621"/>
      <x v="1122"/>
      <x v="1271"/>
    </i>
    <i t="blank" r="4">
      <x v="1122"/>
    </i>
    <i r="3">
      <x v="622"/>
      <x v="1127"/>
      <x v="1374"/>
    </i>
    <i t="blank" r="4">
      <x v="1127"/>
    </i>
    <i r="2">
      <x v="401"/>
      <x v="622"/>
      <x v="1125"/>
      <x v="1372"/>
    </i>
    <i t="blank" r="4">
      <x v="1125"/>
    </i>
    <i r="2">
      <x v="403"/>
      <x v="622"/>
      <x v="1128"/>
      <x v="1375"/>
    </i>
    <i t="blank" r="4">
      <x v="1128"/>
    </i>
    <i r="2">
      <x v="410"/>
      <x v="623"/>
      <x v="1135"/>
      <x v="1382"/>
    </i>
    <i t="blank" r="4">
      <x v="1135"/>
    </i>
    <i r="2">
      <x v="411"/>
      <x v="623"/>
      <x v="1136"/>
      <x v="1383"/>
    </i>
    <i t="blank" r="4">
      <x v="1136"/>
    </i>
    <i r="2">
      <x v="415"/>
      <x v="623"/>
      <x v="1039"/>
      <x v="1374"/>
    </i>
    <i t="blank" r="4">
      <x v="1039"/>
    </i>
    <i r="2">
      <x v="417"/>
      <x v="623"/>
      <x v="1139"/>
      <x v="1387"/>
    </i>
    <i t="blank" r="4">
      <x v="1139"/>
    </i>
    <i r="2">
      <x v="420"/>
      <x v="672"/>
      <x v="1141"/>
      <x v="1390"/>
    </i>
    <i t="blank" r="4">
      <x v="1141"/>
    </i>
    <i r="2">
      <x v="436"/>
      <x v="686"/>
      <x v="1212"/>
      <x v="1462"/>
    </i>
    <i t="blank" r="4">
      <x v="1212"/>
    </i>
    <i r="3">
      <x v="699"/>
      <x v="1246"/>
      <x v="1500"/>
    </i>
    <i t="blank" r="4">
      <x v="1246"/>
    </i>
    <i r="2">
      <x v="438"/>
      <x v="676"/>
      <x v="1155"/>
      <x v="1405"/>
    </i>
    <i t="blank" r="4">
      <x v="1155"/>
    </i>
    <i r="2">
      <x v="452"/>
      <x v="654"/>
      <x v="1171"/>
      <x v="1421"/>
    </i>
    <i t="blank" r="4">
      <x v="1171"/>
    </i>
    <i r="2">
      <x v="453"/>
      <x v="655"/>
      <x v="1172"/>
      <x v="1422"/>
    </i>
    <i t="blank" r="4">
      <x v="1172"/>
    </i>
    <i r="2">
      <x v="457"/>
      <x v="679"/>
      <x v="1177"/>
      <x v="1427"/>
    </i>
    <i t="blank" r="4">
      <x v="1177"/>
    </i>
    <i r="2">
      <x v="472"/>
      <x v="663"/>
      <x v="1197"/>
      <x v="1447"/>
    </i>
    <i t="blank" r="4">
      <x v="1197"/>
    </i>
    <i r="2">
      <x v="496"/>
      <x v="696"/>
      <x v="1238"/>
      <x v="1491"/>
    </i>
    <i t="blank" r="4">
      <x v="1238"/>
    </i>
    <i r="3">
      <x v="1010"/>
      <x v="1558"/>
      <x v="1881"/>
    </i>
    <i t="blank" r="4">
      <x v="1558"/>
    </i>
    <i r="2">
      <x v="498"/>
      <x v="697"/>
      <x v="1242"/>
      <x v="1495"/>
    </i>
    <i t="blank" r="4">
      <x v="1242"/>
    </i>
    <i r="2">
      <x v="499"/>
      <x v="697"/>
      <x v="1243"/>
      <x v="1496"/>
    </i>
    <i t="blank" r="4">
      <x v="1243"/>
    </i>
    <i r="2">
      <x v="507"/>
      <x v="702"/>
      <x v="1251"/>
      <x v="1505"/>
    </i>
    <i t="blank" r="4">
      <x v="1251"/>
    </i>
    <i r="2">
      <x v="508"/>
      <x v="703"/>
      <x v="1252"/>
      <x v="1506"/>
    </i>
    <i t="blank" r="4">
      <x v="1252"/>
    </i>
    <i r="2">
      <x v="511"/>
      <x v="705"/>
      <x v="1257"/>
      <x v="1511"/>
    </i>
    <i t="blank" r="4">
      <x v="1257"/>
    </i>
    <i r="2">
      <x v="516"/>
      <x v="706"/>
      <x v="1262"/>
      <x v="1515"/>
    </i>
    <i t="blank" r="4">
      <x v="1262"/>
    </i>
    <i r="2">
      <x v="517"/>
      <x v="706"/>
      <x v="1039"/>
      <x v="1516"/>
    </i>
    <i t="blank" r="4">
      <x v="1039"/>
    </i>
    <i r="2">
      <x v="525"/>
      <x v="711"/>
      <x v="1270"/>
      <x v="1524"/>
    </i>
    <i t="blank" r="4">
      <x v="1270"/>
    </i>
    <i r="2">
      <x v="537"/>
      <x v="717"/>
      <x v="1282"/>
      <x v="1537"/>
    </i>
    <i t="blank" r="4">
      <x v="1282"/>
    </i>
    <i r="2">
      <x v="540"/>
      <x v="720"/>
      <x v="1039"/>
      <x v="1540"/>
    </i>
    <i t="blank" r="4">
      <x v="1039"/>
    </i>
    <i r="2">
      <x v="547"/>
      <x v="703"/>
      <x v="1291"/>
      <x v="1546"/>
    </i>
    <i t="blank" r="4">
      <x v="1291"/>
    </i>
    <i r="2">
      <x v="560"/>
      <x v="745"/>
      <x v="1337"/>
      <x v="1598"/>
    </i>
    <i t="blank" r="4">
      <x v="1337"/>
    </i>
    <i r="2">
      <x v="569"/>
      <x v="775"/>
      <x v="1375"/>
      <x v="1644"/>
    </i>
    <i t="blank" r="4">
      <x v="1375"/>
    </i>
    <i r="2">
      <x v="580"/>
      <x v="802"/>
      <x v="1412"/>
      <x v="1693"/>
    </i>
    <i t="blank" r="4">
      <x v="1412"/>
    </i>
    <i r="2">
      <x v="584"/>
      <x v="813"/>
      <x v="1420"/>
      <x v="573"/>
    </i>
    <i r="3">
      <x v="845"/>
      <x v="1420"/>
      <x v="573"/>
    </i>
    <i t="blank" r="4">
      <x v="1420"/>
    </i>
    <i r="2">
      <x v="586"/>
      <x v="864"/>
      <x v="1431"/>
      <x v="1721"/>
    </i>
    <i t="blank" r="4">
      <x v="1431"/>
    </i>
    <i r="2">
      <x v="591"/>
      <x v="878"/>
      <x v="1429"/>
      <x v="1737"/>
    </i>
    <i t="blank" r="4">
      <x v="1429"/>
    </i>
    <i r="2">
      <x v="594"/>
      <x v="899"/>
      <x v="1464"/>
      <x v="1765"/>
    </i>
    <i t="blank" r="4">
      <x v="1464"/>
    </i>
    <i r="2">
      <x v="595"/>
      <x v="900"/>
      <x v="1465"/>
      <x v="1766"/>
    </i>
    <i t="blank" r="4">
      <x v="1465"/>
    </i>
    <i r="2">
      <x v="602"/>
      <x v="933"/>
      <x v="642"/>
      <x v="1803"/>
    </i>
    <i t="blank" r="4">
      <x v="642"/>
    </i>
    <i r="2">
      <x v="608"/>
      <x v="962"/>
      <x v="1378"/>
      <x v="1808"/>
    </i>
    <i t="blank" r="4">
      <x v="1378"/>
    </i>
    <i r="2">
      <x v="617"/>
      <x v="1032"/>
      <x v="963"/>
      <x v="1907"/>
    </i>
    <i t="blank" r="4">
      <x v="963"/>
    </i>
  </rowItems>
  <colItems count="1">
    <i/>
  </colItems>
  <formats count="14">
    <format dxfId="54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7"/>
          </reference>
          <reference field="6" count="1">
            <x v="1"/>
          </reference>
        </references>
      </pivotArea>
    </format>
    <format dxfId="53">
      <pivotArea dataOnly="0" labelOnly="1" fieldPosition="0">
        <references count="1">
          <reference field="6" count="0"/>
        </references>
      </pivotArea>
    </format>
    <format dxfId="52">
      <pivotArea field="0" type="button" dataOnly="0" labelOnly="1" outline="0" axis="axisRow" fieldPosition="3"/>
    </format>
    <format dxfId="51">
      <pivotArea dataOnly="0" outline="0" fieldPosition="0">
        <references count="1">
          <reference field="0" count="1">
            <x v="21"/>
          </reference>
        </references>
      </pivotArea>
    </format>
    <format dxfId="50">
      <pivotArea field="0" type="button" dataOnly="0" labelOnly="1" outline="0" axis="axisRow" fieldPosition="3"/>
    </format>
    <format dxfId="49">
      <pivotArea dataOnly="0" labelOnly="1" outline="0" fieldPosition="0">
        <references count="4">
          <reference field="0" count="1">
            <x v="616"/>
          </reference>
          <reference field="2" count="0" selected="0"/>
          <reference field="3" count="0" selected="0"/>
          <reference field="6" count="1" selected="0">
            <x v="100"/>
          </reference>
        </references>
      </pivotArea>
    </format>
    <format dxfId="48">
      <pivotArea dataOnly="0" labelOnly="1" outline="0" fieldPosition="0">
        <references count="4">
          <reference field="0" count="1">
            <x v="611"/>
          </reference>
          <reference field="2" count="0" selected="0"/>
          <reference field="3" count="0" selected="0"/>
          <reference field="6" count="1" selected="0">
            <x v="107"/>
          </reference>
        </references>
      </pivotArea>
    </format>
    <format dxfId="47">
      <pivotArea dataOnly="0" labelOnly="1" outline="0" fieldPosition="0">
        <references count="4">
          <reference field="0" count="2">
            <x v="610"/>
            <x v="617"/>
          </reference>
          <reference field="2" count="0" selected="0"/>
          <reference field="3" count="0" selected="0"/>
          <reference field="6" count="1" selected="0">
            <x v="120"/>
          </reference>
        </references>
      </pivotArea>
    </format>
    <format dxfId="46">
      <pivotArea dataOnly="0" labelOnly="1" outline="0" fieldPosition="0">
        <references count="4">
          <reference field="0" count="1">
            <x v="618"/>
          </reference>
          <reference field="2" count="0" selected="0"/>
          <reference field="3" count="0" selected="0"/>
          <reference field="6" count="1" selected="0">
            <x v="159"/>
          </reference>
        </references>
      </pivotArea>
    </format>
    <format dxfId="45">
      <pivotArea dataOnly="0" labelOnly="1" outline="0" fieldPosition="0">
        <references count="4">
          <reference field="0" count="2">
            <x v="611"/>
            <x v="618"/>
          </reference>
          <reference field="2" count="0" selected="0"/>
          <reference field="3" count="0" selected="0"/>
          <reference field="6" count="1" selected="0">
            <x v="166"/>
          </reference>
        </references>
      </pivotArea>
    </format>
    <format dxfId="44">
      <pivotArea dataOnly="0" labelOnly="1" outline="0" fieldPosition="0">
        <references count="4">
          <reference field="0" count="1">
            <x v="615"/>
          </reference>
          <reference field="2" count="0" selected="0"/>
          <reference field="3" count="0" selected="0"/>
          <reference field="6" count="1" selected="0">
            <x v="195"/>
          </reference>
        </references>
      </pivotArea>
    </format>
    <format dxfId="43">
      <pivotArea dataOnly="0" labelOnly="1" outline="0" fieldPosition="0">
        <references count="4">
          <reference field="0" count="1">
            <x v="610"/>
          </reference>
          <reference field="2" count="0" selected="0"/>
          <reference field="3" count="0" selected="0"/>
          <reference field="6" count="1" selected="0">
            <x v="370"/>
          </reference>
        </references>
      </pivotArea>
    </format>
    <format dxfId="42">
      <pivotArea dataOnly="0" labelOnly="1" outline="0" fieldPosition="0">
        <references count="1">
          <reference field="7" count="0"/>
        </references>
      </pivotArea>
    </format>
    <format dxfId="41">
      <pivotArea dataOnly="0" labelOnly="1" outline="0" fieldPosition="0">
        <references count="1">
          <reference field="0" count="0"/>
        </references>
      </pivotArea>
    </format>
  </formats>
  <pivotTableStyleInfo name="PivotStyleMedium9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au1" displayName="Tableau1" ref="A1:I139" totalsRowShown="0" headerRowDxfId="248" dataDxfId="246" headerRowBorderDxfId="247" tableBorderDxfId="245" totalsRowBorderDxfId="244">
  <autoFilter ref="A1:I139"/>
  <sortState ref="A2:H3199">
    <sortCondition ref="A1:A3199"/>
  </sortState>
  <tableColumns count="9">
    <tableColumn id="1" name="Date" dataDxfId="243"/>
    <tableColumn id="2" name="Section" dataDxfId="242">
      <calculatedColumnFormula>IF(ISNA(VLOOKUP(Tableau1[[#This Row],[Code]],'CODE mchn'!$A$4:$C$71,2,FALSE))," ",VLOOKUP(Tableau1[[#This Row],[Code]],'CODE mchn'!$A$4:$C$71,2,FALSE))</calculatedColumnFormula>
    </tableColumn>
    <tableColumn id="3" name="Type d'intervention" dataDxfId="241"/>
    <tableColumn id="4" name="Machine" dataDxfId="240">
      <calculatedColumnFormula>IF(ISNA(VLOOKUP(Tableau1[[#This Row],[Code]],'CODE mchn'!$A$4:$C$71,3,FALSE))," ",VLOOKUP(Tableau1[[#This Row],[Code]],'CODE mchn'!$A$4:$C$71,3,FALSE))</calculatedColumnFormula>
    </tableColumn>
    <tableColumn id="5" name="Code" dataDxfId="239"/>
    <tableColumn id="6" name="Partie Machine" dataDxfId="238"/>
    <tableColumn id="7" name="Intervention" dataDxfId="237"/>
    <tableColumn id="10" name="TA (min)" dataDxfId="236"/>
    <tableColumn id="8" name="Résultat" dataDxfId="23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4" name="Tableau4" displayName="Tableau4" ref="A1:B140" totalsRowShown="0" headerRowDxfId="234" dataDxfId="232" headerRowBorderDxfId="233" tableBorderDxfId="231">
  <autoFilter ref="A1:B140"/>
  <sortState ref="A2:C139">
    <sortCondition ref="A1:A286"/>
  </sortState>
  <tableColumns count="2">
    <tableColumn id="1" name="Machine" dataDxfId="230"/>
    <tableColumn id="2" name="Partie Machine" dataDxfId="229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id="3" name="Tableau3" displayName="Tableau3" ref="A3:C77" totalsRowShown="0" headerRowDxfId="228" dataDxfId="227">
  <autoFilter ref="A3:C77">
    <filterColumn colId="1"/>
  </autoFilter>
  <sortState ref="A4:C76">
    <sortCondition ref="C3:C76"/>
  </sortState>
  <tableColumns count="3">
    <tableColumn id="1" name="CODE MACHINE" dataDxfId="226"/>
    <tableColumn id="2" name="SECTION" dataDxfId="225"/>
    <tableColumn id="3" name="MACHINE" dataDxfId="224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id="2" name="Tableau13" displayName="Tableau13" ref="A7:P2722" totalsRowShown="0" headerRowDxfId="221" dataDxfId="220">
  <autoFilter ref="A7:P2722"/>
  <sortState ref="A8:P2688">
    <sortCondition ref="A2565"/>
  </sortState>
  <tableColumns count="16">
    <tableColumn id="1" name="Colonne1" dataDxfId="219" totalsRowDxfId="218"/>
    <tableColumn id="9" name="Code machine" dataDxfId="217" totalsRowDxfId="216"/>
    <tableColumn id="2" name="Section" dataDxfId="215" totalsRowDxfId="214">
      <calculatedColumnFormula>IF(ISNA(VLOOKUP(Tableau13[[#This Row],[Code machine]],'CODE mchn'!$A$4:$C$170,2,0)),"",VLOOKUP(Tableau13[[#This Row],[Code machine]],'CODE mchn'!$A$4:$C$170,2,0))</calculatedColumnFormula>
    </tableColumn>
    <tableColumn id="4" name="Machine" dataDxfId="213" totalsRowDxfId="212">
      <calculatedColumnFormula>IF(ISNA(VLOOKUP(Tableau13[[#This Row],[Code machine]],'CODE mchn'!$A$4:$C$170,3,0)),"",VLOOKUP(Tableau13[[#This Row],[Code machine]],'CODE mchn'!$A$4:$C$170,3,0))</calculatedColumnFormula>
    </tableColumn>
    <tableColumn id="18" name="N°Fiche d'intervention" dataDxfId="211" totalsRowDxfId="210"/>
    <tableColumn id="17" name="Type d'intervention" dataDxfId="209" totalsRowDxfId="208"/>
    <tableColumn id="6" name="Partie Machine" dataDxfId="207" totalsRowDxfId="206"/>
    <tableColumn id="13" name="Réclamation / problème" dataDxfId="205" totalsRowDxfId="204"/>
    <tableColumn id="3" name="Type d'intervention2" dataDxfId="203" totalsRowDxfId="202"/>
    <tableColumn id="7" name="Détail Intervention" dataDxfId="201" totalsRowDxfId="200"/>
    <tableColumn id="10" name="Date fin intervention" dataDxfId="199" totalsRowDxfId="198"/>
    <tableColumn id="8" name="Observations / Avancement" dataDxfId="197" totalsRowDxfId="196"/>
    <tableColumn id="5" name="Temps d'arrêts ( min)" dataDxfId="195" totalsRowDxfId="194"/>
    <tableColumn id="11" name="Mois" dataDxfId="193" totalsRowDxfId="192">
      <calculatedColumnFormula>MONTH(Tableau13[[#This Row],[Date fin intervention]])</calculatedColumnFormula>
    </tableColumn>
    <tableColumn id="12" name="An" dataDxfId="191">
      <calculatedColumnFormula>YEAR(Tableau13[[#This Row],[Date fin intervention]])</calculatedColumnFormula>
    </tableColumn>
    <tableColumn id="14" name="Rappel" dataDxfId="190" totalsRowDxfId="189"/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id="6" name="Tableau77" displayName="Tableau77" ref="K1:L4" totalsRowShown="0">
  <autoFilter ref="K1:L4"/>
  <tableColumns count="2">
    <tableColumn id="1" name="Données:"/>
    <tableColumn id="2" name="Valeu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Tableau10" displayName="Tableau10" ref="A165:K167" totalsRowShown="0" headerRowDxfId="188" dataDxfId="186" headerRowBorderDxfId="187" tableBorderDxfId="185">
  <autoFilter ref="A165:K167"/>
  <tableColumns count="11">
    <tableColumn id="1" name="Code Machine" dataDxfId="184"/>
    <tableColumn id="3" name="Machine" dataDxfId="183"/>
    <tableColumn id="4" name="∑ temps d'arrêts" dataDxfId="182">
      <calculatedColumnFormula>IF(ISERR(GETPIVOTDATA("Somme de Temps d'arrêts",$A$5,"Code machine",Tableau10[[#This Row],[Code Machine]])),"0",(GETPIVOTDATA("Somme de Temps d'arrêts",$A$5,"Code machine",Tableau10[[#This Row],[Code Machine]])))</calculatedColumnFormula>
    </tableColumn>
    <tableColumn id="5" name="Nb d'arrêt" dataDxfId="181">
      <calculatedColumnFormula>IF(ISERR(GETPIVOTDATA("Nombre de date fin intervention",$D$5,"Code machine",Tableau10[[#This Row],[Code Machine]])),"0",(GETPIVOTDATA("Nombre de date fin intervention",$D$5,"Code machine",Tableau10[[#This Row],[Code Machine]])))</calculatedColumnFormula>
    </tableColumn>
    <tableColumn id="10" name="Nbre de poste" dataDxfId="180"/>
    <tableColumn id="9" name="MTBF" dataDxfId="179">
      <calculatedColumnFormula>(8*Tableau10[[#This Row],[Nbre de poste]]*60*26-Tableau10[[#This Row],[∑ temps d''arrêts]])/(Tableau10[[#This Row],[Nb d''arrêt]]+1)</calculatedColumnFormula>
    </tableColumn>
    <tableColumn id="8" name="MTTR" dataDxfId="178">
      <calculatedColumnFormula>Tableau10[[#This Row],[∑ temps d''arrêts]]/(Tableau10[[#This Row],[Nb d''arrêt]]+1)</calculatedColumnFormula>
    </tableColumn>
    <tableColumn id="6" name="Disponibilité" dataDxfId="177">
      <calculatedColumnFormula>(Tableau10[[#This Row],[MTBF]]/(Tableau10[[#This Row],[MTBF]]+Tableau10[[#This Row],[MTTR]]))*100</calculatedColumnFormula>
    </tableColumn>
    <tableColumn id="7" name="Objectif dsp" dataDxfId="176"/>
    <tableColumn id="2" name="Objectif MTBF" dataDxfId="175"/>
    <tableColumn id="11" name="Objectif MTTR" dataDxfId="17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2" name="Tableau12" displayName="Tableau12" ref="A185:K187" totalsRowShown="0" headerRowDxfId="173" dataDxfId="172" tableBorderDxfId="171">
  <autoFilter ref="A185:K187"/>
  <tableColumns count="11">
    <tableColumn id="1" name="Code Machine" dataDxfId="170"/>
    <tableColumn id="3" name="Machine" dataDxfId="169"/>
    <tableColumn id="4" name="∑ temps d'arrêts" dataDxfId="168">
      <calculatedColumnFormula>IF(ISERR(GETPIVOTDATA("Somme de Temps d'arrêts",$A$5,"Code machine",Tableau12[[#This Row],[Code Machine]])),"0",(GETPIVOTDATA("Somme de Temps d'arrêts",$A$5,"Code machine",Tableau12[[#This Row],[Code Machine]])))</calculatedColumnFormula>
    </tableColumn>
    <tableColumn id="5" name="Nb d'arrêt" dataDxfId="167">
      <calculatedColumnFormula>IF(ISERR(GETPIVOTDATA("Nombre de date fin intervention",$D$5,"Code machine",Tableau12[[#This Row],[Code Machine]])),"0",(GETPIVOTDATA("Nombre de date fin intervention",$D$5,"Code machine",Tableau12[[#This Row],[Code Machine]])))</calculatedColumnFormula>
    </tableColumn>
    <tableColumn id="10" name="Nbre de poste" dataDxfId="166"/>
    <tableColumn id="9" name="MTBF" dataDxfId="165">
      <calculatedColumnFormula>(8*Tableau12[[#This Row],[Nbre de poste]]*60*26-Tableau12[[#This Row],[∑ temps d''arrêts]])/(Tableau12[[#This Row],[Nb d''arrêt]]+1)</calculatedColumnFormula>
    </tableColumn>
    <tableColumn id="8" name="MTTR" dataDxfId="164">
      <calculatedColumnFormula>Tableau12[[#This Row],[∑ temps d''arrêts]]/(Tableau12[[#This Row],[Nb d''arrêt]]+1)</calculatedColumnFormula>
    </tableColumn>
    <tableColumn id="6" name="Disponibilité" dataDxfId="163">
      <calculatedColumnFormula>(Tableau12[[#This Row],[MTBF]]/(Tableau12[[#This Row],[MTBF]]+Tableau12[[#This Row],[MTTR]]))*100</calculatedColumnFormula>
    </tableColumn>
    <tableColumn id="7" name="Objectif" dataDxfId="162"/>
    <tableColumn id="2" name="Objectif MTBF" dataDxfId="161"/>
    <tableColumn id="11" name="Objectif MTTR" dataDxfId="16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3" name="Tableau14" displayName="Tableau14" ref="A143:K161" totalsRowShown="0" headerRowDxfId="159" dataDxfId="158">
  <autoFilter ref="A143:K161"/>
  <sortState ref="A144:I161">
    <sortCondition ref="A143:A161"/>
  </sortState>
  <tableColumns count="11">
    <tableColumn id="1" name="CODE MACHINE" dataDxfId="157"/>
    <tableColumn id="3" name="MACHINE" dataDxfId="156"/>
    <tableColumn id="9" name="∑ temps d'arrêts" dataDxfId="155">
      <calculatedColumnFormula>IF(ISERR(GETPIVOTDATA("Somme de Temps d'arrêts",$A$5,"Code machine",Tableau14[[#This Row],[CODE MACHINE]])),"0",(GETPIVOTDATA("Somme de Temps d'arrêts",$A$5,"Code machine",Tableau14[[#This Row],[CODE MACHINE]])))</calculatedColumnFormula>
    </tableColumn>
    <tableColumn id="8" name="Nb d'arrêt" dataDxfId="154">
      <calculatedColumnFormula>IF(ISERR(GETPIVOTDATA("Nombre de date fin intervention",$D$5,"Code machine",Tableau14[[#This Row],[CODE MACHINE]])),"0",(GETPIVOTDATA("Nombre de date fin intervention",$D$5,"Code machine",Tableau14[[#This Row],[CODE MACHINE]])))</calculatedColumnFormula>
    </tableColumn>
    <tableColumn id="10" name="Nbre de poste" dataDxfId="153"/>
    <tableColumn id="4" name="MTBF" dataDxfId="152">
      <calculatedColumnFormula>(8*Tableau14[[#This Row],[Nbre de poste]]*60*26-Tableau14[[#This Row],[∑ temps d''arrêts]])/(Tableau14[[#This Row],[Nb d''arrêt]]+1)</calculatedColumnFormula>
    </tableColumn>
    <tableColumn id="5" name="MTTR" dataDxfId="151">
      <calculatedColumnFormula>Tableau14[[#This Row],[∑ temps d''arrêts]]/(Tableau14[[#This Row],[Nb d''arrêt]]+1)</calculatedColumnFormula>
    </tableColumn>
    <tableColumn id="6" name="Disponibilité" dataDxfId="150">
      <calculatedColumnFormula>(Tableau14[[#This Row],[MTBF]]/(Tableau14[[#This Row],[MTBF]]+Tableau14[[#This Row],[MTTR]]))*100</calculatedColumnFormula>
    </tableColumn>
    <tableColumn id="7" name="Objectif" dataDxfId="149"/>
    <tableColumn id="2" name="Objectif MTBF" dataDxfId="148"/>
    <tableColumn id="11" name="Objectif MTTR" dataDxfId="14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7" name="Tableau7" displayName="Tableau7" ref="M145:R148" totalsRowShown="0">
  <autoFilter ref="M145:R148"/>
  <tableColumns count="6">
    <tableColumn id="1" name="Colonne1"/>
    <tableColumn id="2" name="Acier"/>
    <tableColumn id="3" name="Béton"/>
    <tableColumn id="4" name="Enrobage"/>
    <tableColumn id="5" name="Colonne2"/>
    <tableColumn id="6" name="Moyenne globale">
      <calculatedColumnFormula>AVERAGE(N146:P146)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5" name="Tableau16" displayName="Tableau16" ref="A2:S9" totalsRowShown="0" headerRowDxfId="35" dataDxfId="34">
  <autoFilter ref="A2:S9"/>
  <tableColumns count="19">
    <tableColumn id="14" name="Code Véhicule" dataDxfId="33"/>
    <tableColumn id="1" name="Type" dataDxfId="32"/>
    <tableColumn id="2" name="Marque" dataDxfId="31"/>
    <tableColumn id="3" name="Matricule" dataDxfId="30"/>
    <tableColumn id="9" name="Huile" dataDxfId="29"/>
    <tableColumn id="19" name="Quantité d'huile" dataDxfId="28"/>
    <tableColumn id="4" name="Filtre à air" dataDxfId="27"/>
    <tableColumn id="5" name="Filtre à huile" dataDxfId="26"/>
    <tableColumn id="6" name="Séparateur" dataDxfId="25"/>
    <tableColumn id="7" name="NBH vidange" dataDxfId="24"/>
    <tableColumn id="8" name="NBH Avt Filtre séparateur" dataDxfId="23"/>
    <tableColumn id="10" name="Date dérnier entretien" dataDxfId="22"/>
    <tableColumn id="11" name="Dérnière vidange" dataDxfId="21"/>
    <tableColumn id="20" name="Dernier chgt Separateur" dataDxfId="20"/>
    <tableColumn id="12" name="Travaux effectués lors du dernier entretien" dataDxfId="19"/>
    <tableColumn id="13" name="Compteur Actuel" dataDxfId="18"/>
    <tableColumn id="15" name="Prochain entretien prévu" dataDxfId="17"/>
    <tableColumn id="16" name="NBH avant vidange" dataDxfId="16">
      <calculatedColumnFormula>Tableau16[[#This Row],[NBH vidange]]-(Tableau16[[#This Row],[Compteur Actuel]]-Tableau16[[#This Row],[Dérnière vidange]])</calculatedColumnFormula>
    </tableColumn>
    <tableColumn id="17" name="NBH avant Séparateur" dataDxfId="15">
      <calculatedColumnFormula>Tableau16[[#This Row],[NBH Avt Filtre séparateur]]-(Tableau16[[#This Row],[Compteur Actuel]]-Tableau16[[#This Row],[Dernier chgt Separateur]])</calculatedColumnFormula>
    </tableColumn>
  </tableColumns>
  <tableStyleInfo name="TableStyleMedium16" showFirstColumn="0" showLastColumn="0" showRowStripes="1" showColumnStripes="0"/>
</table>
</file>

<file path=xl/tables/table11.xml><?xml version="1.0" encoding="utf-8"?>
<table xmlns="http://schemas.openxmlformats.org/spreadsheetml/2006/main" id="8" name="Incidents" displayName="Incidents" ref="A4:N7" totalsRowShown="0" dataDxfId="14">
  <autoFilter ref="A4:N7"/>
  <sortState ref="A5:N7">
    <sortCondition ref="A4:A7"/>
  </sortState>
  <tableColumns count="14">
    <tableColumn id="1" name="Code incident" dataDxfId="13">
      <calculatedColumnFormula>IF(ISBLANK(Incidents[[#This Row],[Date d''incident]]),"",CONCATENATE(Incidents[[#This Row],[jours]],Incidents[[#This Row],[mois]],Incidents[[#This Row],[Année]],Incidents[[#This Row],[Code machine]],"00",Incidents[[#This Row],[N°incident]]))</calculatedColumnFormula>
    </tableColumn>
    <tableColumn id="2" name="Date d'incident" dataDxfId="12"/>
    <tableColumn id="13" name="jours" dataDxfId="11">
      <calculatedColumnFormula>IF(ISBLANK(Incidents[[#This Row],[Date d''incident]]),"",DAY(Incidents[[#This Row],[Date d''incident]]))</calculatedColumnFormula>
    </tableColumn>
    <tableColumn id="12" name="mois" dataDxfId="10">
      <calculatedColumnFormula>IF(ISBLANK(Incidents[[#This Row],[Date d''incident]]),"",MONTH(Incidents[[#This Row],[Date d''incident]]))</calculatedColumnFormula>
    </tableColumn>
    <tableColumn id="11" name="Année" dataDxfId="9">
      <calculatedColumnFormula>IF(ISBLANK(Incidents[[#This Row],[Date d''incident]]),"",YEAR(Incidents[[#This Row],[Date d''incident]]))</calculatedColumnFormula>
    </tableColumn>
    <tableColumn id="14" name="N°incident" dataDxfId="8">
      <calculatedColumnFormula>IF(ISBLANK(Incidents[[#This Row],[Date d''incident]]),"",IF(Incidents[[#This Row],[Date d''incident]]&lt;&gt;B4,1,F4+1))</calculatedColumnFormula>
    </tableColumn>
    <tableColumn id="3" name="Code machine" dataDxfId="7"/>
    <tableColumn id="4" name="Section" dataDxfId="6">
      <calculatedColumnFormula>IF(ISNA(VLOOKUP(Incidents[[#This Row],[Code machine]],'CODE mchn'!$A$4:$C$170,2,0)),"",VLOOKUP(Incidents[[#This Row],[Code machine]],'CODE mchn'!$A$4:$C$170,2,0))</calculatedColumnFormula>
    </tableColumn>
    <tableColumn id="5" name="Machine" dataDxfId="5">
      <calculatedColumnFormula>IF(ISNA(VLOOKUP(Incidents[[#This Row],[Code machine]],'CODE mchn'!$A$4:$C$170,3,0)),"",VLOOKUP(Incidents[[#This Row],[Code machine]],'CODE mchn'!$A$4:$C$170,3,0))</calculatedColumnFormula>
    </tableColumn>
    <tableColumn id="10" name="Lieu de l'incident" dataDxfId="4"/>
    <tableColumn id="6" name="Nature d'incident" dataDxfId="3"/>
    <tableColumn id="7" name="Description des faits" dataDxfId="2"/>
    <tableColumn id="8" name="Causes de l'incident" dataDxfId="1"/>
    <tableColumn id="9" name="Mesure correctiv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drawing" Target="../drawings/drawing4.xml"/><Relationship Id="rId7" Type="http://schemas.openxmlformats.org/officeDocument/2006/relationships/table" Target="../tables/table8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ntrol" Target="../activeX/activeX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2"/>
  <dimension ref="A1:I139"/>
  <sheetViews>
    <sheetView zoomScale="85" zoomScaleNormal="85" workbookViewId="0">
      <pane xSplit="2" ySplit="1" topLeftCell="C89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11.42578125" style="4" bestFit="1" customWidth="1"/>
    <col min="2" max="2" width="17.42578125" style="4" bestFit="1" customWidth="1"/>
    <col min="3" max="3" width="23.28515625" style="4" customWidth="1"/>
    <col min="4" max="4" width="35.7109375" style="4" customWidth="1"/>
    <col min="5" max="5" width="8.7109375" style="4" bestFit="1" customWidth="1"/>
    <col min="6" max="6" width="25.140625" style="4" bestFit="1" customWidth="1"/>
    <col min="7" max="7" width="137.42578125" style="4" bestFit="1" customWidth="1"/>
    <col min="8" max="8" width="14.85546875" style="4" customWidth="1"/>
    <col min="9" max="9" width="125" style="4" bestFit="1" customWidth="1"/>
    <col min="10" max="16384" width="11.42578125" style="4"/>
  </cols>
  <sheetData>
    <row r="1" spans="1:9" ht="18.95" customHeight="1" thickBo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321</v>
      </c>
      <c r="I1" s="3" t="s">
        <v>7</v>
      </c>
    </row>
    <row r="2" spans="1:9" ht="18.95" customHeight="1" thickBot="1">
      <c r="A2" s="5">
        <v>43496</v>
      </c>
      <c r="B2" s="6" t="str">
        <f>IF(ISNA(VLOOKUP(Tableau1[[#This Row],[Code]],'CODE mchn'!$A$4:$C$71,2,FALSE))," ",VLOOKUP(Tableau1[[#This Row],[Code]],'CODE mchn'!$A$4:$C$71,2,FALSE))</f>
        <v>Acier</v>
      </c>
      <c r="C2" s="6" t="s">
        <v>8</v>
      </c>
      <c r="D2" s="6" t="str">
        <f>IF(ISNA(VLOOKUP(Tableau1[[#This Row],[Code]],'CODE mchn'!$A$4:$C$71,3,FALSE))," ",VLOOKUP(Tableau1[[#This Row],[Code]],'CODE mchn'!$A$4:$C$71,3,FALSE))</f>
        <v>Schlatter</v>
      </c>
      <c r="E2" s="6">
        <v>560</v>
      </c>
      <c r="F2" s="6" t="s">
        <v>10</v>
      </c>
      <c r="G2" s="6" t="s">
        <v>11</v>
      </c>
      <c r="H2" s="7"/>
      <c r="I2" s="7" t="s">
        <v>12</v>
      </c>
    </row>
    <row r="3" spans="1:9" ht="18.95" customHeight="1" thickBot="1">
      <c r="A3" s="5">
        <v>43496</v>
      </c>
      <c r="B3" s="6" t="str">
        <f>IF(ISNA(VLOOKUP(Tableau1[[#This Row],[Code]],'CODE mchn'!$A$4:$C$71,2,FALSE))," ",VLOOKUP(Tableau1[[#This Row],[Code]],'CODE mchn'!$A$4:$C$71,2,FALSE))</f>
        <v>Acier</v>
      </c>
      <c r="C3" s="6" t="s">
        <v>13</v>
      </c>
      <c r="D3" s="6" t="str">
        <f>IF(ISNA(VLOOKUP(Tableau1[[#This Row],[Code]],'CODE mchn'!$A$4:$C$71,3,FALSE))," ",VLOOKUP(Tableau1[[#This Row],[Code]],'CODE mchn'!$A$4:$C$71,3,FALSE))</f>
        <v>Teurema 2</v>
      </c>
      <c r="E3" s="6">
        <v>582</v>
      </c>
      <c r="F3" s="6" t="s">
        <v>15</v>
      </c>
      <c r="G3" s="6" t="s">
        <v>16</v>
      </c>
      <c r="H3" s="14"/>
      <c r="I3" s="7" t="s">
        <v>17</v>
      </c>
    </row>
    <row r="4" spans="1:9" ht="18.95" customHeight="1" thickBot="1">
      <c r="A4" s="5">
        <v>43496</v>
      </c>
      <c r="B4" s="6" t="str">
        <f>IF(ISNA(VLOOKUP(Tableau1[[#This Row],[Code]],'CODE mchn'!$A$4:$C$71,2,FALSE))," ",VLOOKUP(Tableau1[[#This Row],[Code]],'CODE mchn'!$A$4:$C$71,2,FALSE))</f>
        <v>Béton</v>
      </c>
      <c r="C4" s="6" t="s">
        <v>19</v>
      </c>
      <c r="D4" s="6" t="str">
        <f>IF(ISNA(VLOOKUP(Tableau1[[#This Row],[Code]],'CODE mchn'!$A$4:$C$71,3,FALSE))," ",VLOOKUP(Tableau1[[#This Row],[Code]],'CODE mchn'!$A$4:$C$71,3,FALSE))</f>
        <v>Poyatos 2</v>
      </c>
      <c r="E4" s="6">
        <v>800</v>
      </c>
      <c r="F4" s="6" t="s">
        <v>20</v>
      </c>
      <c r="G4" s="6" t="s">
        <v>21</v>
      </c>
      <c r="H4" s="14"/>
      <c r="I4" s="7" t="s">
        <v>22</v>
      </c>
    </row>
    <row r="5" spans="1:9" ht="18.95" customHeight="1" thickBot="1">
      <c r="A5" s="5">
        <v>43496</v>
      </c>
      <c r="B5" s="6" t="str">
        <f>IF(ISNA(VLOOKUP(Tableau1[[#This Row],[Code]],'CODE mchn'!$A$4:$C$71,2,FALSE))," ",VLOOKUP(Tableau1[[#This Row],[Code]],'CODE mchn'!$A$4:$C$71,2,FALSE))</f>
        <v>Béton</v>
      </c>
      <c r="C5" s="6" t="s">
        <v>13</v>
      </c>
      <c r="D5" s="6" t="str">
        <f>IF(ISNA(VLOOKUP(Tableau1[[#This Row],[Code]],'CODE mchn'!$A$4:$C$71,3,FALSE))," ",VLOOKUP(Tableau1[[#This Row],[Code]],'CODE mchn'!$A$4:$C$71,3,FALSE))</f>
        <v>Poyatos 1</v>
      </c>
      <c r="E5" s="6">
        <v>700</v>
      </c>
      <c r="F5" s="6" t="s">
        <v>23</v>
      </c>
      <c r="G5" s="6" t="s">
        <v>24</v>
      </c>
      <c r="H5" s="14"/>
      <c r="I5" s="7" t="s">
        <v>25</v>
      </c>
    </row>
    <row r="6" spans="1:9" ht="18.95" customHeight="1" thickBot="1">
      <c r="A6" s="5">
        <v>43496</v>
      </c>
      <c r="B6" s="6" t="str">
        <f>IF(ISNA(VLOOKUP(Tableau1[[#This Row],[Code]],'CODE mchn'!$A$4:$C$71,2,FALSE))," ",VLOOKUP(Tableau1[[#This Row],[Code]],'CODE mchn'!$A$4:$C$71,2,FALSE))</f>
        <v>Acier</v>
      </c>
      <c r="C6" s="6" t="s">
        <v>26</v>
      </c>
      <c r="D6" s="6" t="str">
        <f>IF(ISNA(VLOOKUP(Tableau1[[#This Row],[Code]],'CODE mchn'!$A$4:$C$71,3,FALSE))," ",VLOOKUP(Tableau1[[#This Row],[Code]],'CODE mchn'!$A$4:$C$71,3,FALSE))</f>
        <v>EVG GE12</v>
      </c>
      <c r="E6" s="6">
        <v>565</v>
      </c>
      <c r="F6" s="6" t="s">
        <v>27</v>
      </c>
      <c r="G6" s="6" t="s">
        <v>28</v>
      </c>
      <c r="H6" s="14"/>
      <c r="I6" s="7" t="s">
        <v>29</v>
      </c>
    </row>
    <row r="7" spans="1:9" ht="18.95" customHeight="1" thickBot="1">
      <c r="A7" s="5">
        <v>43496</v>
      </c>
      <c r="B7" s="6" t="str">
        <f>IF(ISNA(VLOOKUP(Tableau1[[#This Row],[Code]],'CODE mchn'!$A$4:$C$71,2,FALSE))," ",VLOOKUP(Tableau1[[#This Row],[Code]],'CODE mchn'!$A$4:$C$71,2,FALSE))</f>
        <v>Enrobage</v>
      </c>
      <c r="C7" s="6" t="s">
        <v>30</v>
      </c>
      <c r="D7" s="6" t="str">
        <f>IF(ISNA(VLOOKUP(Tableau1[[#This Row],[Code]],'CODE mchn'!$A$4:$C$71,3,FALSE))," ",VLOOKUP(Tableau1[[#This Row],[Code]],'CODE mchn'!$A$4:$C$71,3,FALSE))</f>
        <v>CAROSSEL</v>
      </c>
      <c r="E7" s="6">
        <v>533</v>
      </c>
      <c r="F7" s="6" t="s">
        <v>31</v>
      </c>
      <c r="G7" s="6" t="s">
        <v>32</v>
      </c>
      <c r="H7" s="14"/>
      <c r="I7" s="7" t="s">
        <v>33</v>
      </c>
    </row>
    <row r="8" spans="1:9" ht="18.95" customHeight="1" thickBot="1">
      <c r="A8" s="5">
        <v>43496</v>
      </c>
      <c r="B8" s="6" t="s">
        <v>273</v>
      </c>
      <c r="C8" s="6" t="s">
        <v>19</v>
      </c>
      <c r="D8" s="6" t="s">
        <v>34</v>
      </c>
      <c r="E8" s="6"/>
      <c r="F8" s="6" t="s">
        <v>35</v>
      </c>
      <c r="G8" s="8" t="s">
        <v>36</v>
      </c>
      <c r="H8" s="15"/>
      <c r="I8" s="7" t="s">
        <v>37</v>
      </c>
    </row>
    <row r="9" spans="1:9" ht="18.95" customHeight="1" thickBot="1">
      <c r="A9" s="5">
        <v>43497</v>
      </c>
      <c r="B9" s="6" t="str">
        <f>IF(ISNA(VLOOKUP(Tableau1[[#This Row],[Code]],'CODE mchn'!$A$4:$C$71,2,FALSE))," ",VLOOKUP(Tableau1[[#This Row],[Code]],'CODE mchn'!$A$4:$C$71,2,FALSE))</f>
        <v>Acier</v>
      </c>
      <c r="C9" s="6" t="s">
        <v>13</v>
      </c>
      <c r="D9" s="6" t="str">
        <f>IF(ISNA(VLOOKUP(Tableau1[[#This Row],[Code]],'CODE mchn'!$A$4:$C$71,3,FALSE))," ",VLOOKUP(Tableau1[[#This Row],[Code]],'CODE mchn'!$A$4:$C$71,3,FALSE))</f>
        <v>EVG PN 1</v>
      </c>
      <c r="E9" s="6">
        <v>571</v>
      </c>
      <c r="F9" s="6" t="s">
        <v>10</v>
      </c>
      <c r="G9" s="6" t="s">
        <v>39</v>
      </c>
      <c r="H9" s="14"/>
      <c r="I9" s="7" t="s">
        <v>40</v>
      </c>
    </row>
    <row r="10" spans="1:9" ht="18.95" customHeight="1" thickBot="1">
      <c r="A10" s="5">
        <v>43497</v>
      </c>
      <c r="B10" s="6" t="str">
        <f>IF(ISNA(VLOOKUP(Tableau1[[#This Row],[Code]],'CODE mchn'!$A$4:$C$71,2,FALSE))," ",VLOOKUP(Tableau1[[#This Row],[Code]],'CODE mchn'!$A$4:$C$71,2,FALSE))</f>
        <v>Acier</v>
      </c>
      <c r="C10" s="6" t="s">
        <v>26</v>
      </c>
      <c r="D10" s="6" t="str">
        <f>IF(ISNA(VLOOKUP(Tableau1[[#This Row],[Code]],'CODE mchn'!$A$4:$C$71,3,FALSE))," ",VLOOKUP(Tableau1[[#This Row],[Code]],'CODE mchn'!$A$4:$C$71,3,FALSE))</f>
        <v>EVG PN 1</v>
      </c>
      <c r="E10" s="6">
        <v>571</v>
      </c>
      <c r="F10" s="6" t="s">
        <v>27</v>
      </c>
      <c r="G10" s="6" t="s">
        <v>41</v>
      </c>
      <c r="H10" s="14"/>
      <c r="I10" s="7" t="s">
        <v>42</v>
      </c>
    </row>
    <row r="11" spans="1:9" ht="18.95" customHeight="1" thickBot="1">
      <c r="A11" s="5">
        <v>43497</v>
      </c>
      <c r="B11" s="6" t="str">
        <f>IF(ISNA(VLOOKUP(Tableau1[[#This Row],[Code]],'CODE mchn'!$A$4:$C$71,2,FALSE))," ",VLOOKUP(Tableau1[[#This Row],[Code]],'CODE mchn'!$A$4:$C$71,2,FALSE))</f>
        <v>Béton</v>
      </c>
      <c r="C11" s="6" t="s">
        <v>13</v>
      </c>
      <c r="D11" s="6" t="str">
        <f>IF(ISNA(VLOOKUP(Tableau1[[#This Row],[Code]],'CODE mchn'!$A$4:$C$71,3,FALSE))," ",VLOOKUP(Tableau1[[#This Row],[Code]],'CODE mchn'!$A$4:$C$71,3,FALSE))</f>
        <v>Poyatos 1</v>
      </c>
      <c r="E11" s="6">
        <v>700</v>
      </c>
      <c r="F11" s="6" t="s">
        <v>43</v>
      </c>
      <c r="G11" s="6" t="s">
        <v>44</v>
      </c>
      <c r="H11" s="14"/>
      <c r="I11" s="7" t="s">
        <v>45</v>
      </c>
    </row>
    <row r="12" spans="1:9" ht="18.95" customHeight="1" thickBot="1">
      <c r="A12" s="5">
        <v>43497</v>
      </c>
      <c r="B12" s="6" t="str">
        <f>IF(ISNA(VLOOKUP(Tableau1[[#This Row],[Code]],'CODE mchn'!$A$4:$C$71,2,FALSE))," ",VLOOKUP(Tableau1[[#This Row],[Code]],'CODE mchn'!$A$4:$C$71,2,FALSE))</f>
        <v>Béton</v>
      </c>
      <c r="C12" s="6" t="s">
        <v>19</v>
      </c>
      <c r="D12" s="6" t="str">
        <f>IF(ISNA(VLOOKUP(Tableau1[[#This Row],[Code]],'CODE mchn'!$A$4:$C$71,3,FALSE))," ",VLOOKUP(Tableau1[[#This Row],[Code]],'CODE mchn'!$A$4:$C$71,3,FALSE))</f>
        <v>Poyatos 2</v>
      </c>
      <c r="E12" s="6">
        <v>800</v>
      </c>
      <c r="F12" s="6" t="s">
        <v>46</v>
      </c>
      <c r="G12" s="6" t="s">
        <v>47</v>
      </c>
      <c r="H12" s="14"/>
      <c r="I12" s="7" t="s">
        <v>48</v>
      </c>
    </row>
    <row r="13" spans="1:9" ht="18.95" customHeight="1" thickBot="1">
      <c r="A13" s="5">
        <v>43497</v>
      </c>
      <c r="B13" s="6" t="str">
        <f>IF(ISNA(VLOOKUP(Tableau1[[#This Row],[Code]],'CODE mchn'!$A$4:$C$71,2,FALSE))," ",VLOOKUP(Tableau1[[#This Row],[Code]],'CODE mchn'!$A$4:$C$71,2,FALSE))</f>
        <v>Béton</v>
      </c>
      <c r="C13" s="6" t="s">
        <v>19</v>
      </c>
      <c r="D13" s="6" t="str">
        <f>IF(ISNA(VLOOKUP(Tableau1[[#This Row],[Code]],'CODE mchn'!$A$4:$C$71,3,FALSE))," ",VLOOKUP(Tableau1[[#This Row],[Code]],'CODE mchn'!$A$4:$C$71,3,FALSE))</f>
        <v>Poyatos 2</v>
      </c>
      <c r="E13" s="9">
        <v>800</v>
      </c>
      <c r="F13" s="8" t="s">
        <v>49</v>
      </c>
      <c r="G13" s="6" t="s">
        <v>50</v>
      </c>
      <c r="H13" s="14"/>
      <c r="I13" s="7" t="s">
        <v>51</v>
      </c>
    </row>
    <row r="14" spans="1:9" ht="18.95" customHeight="1" thickBot="1">
      <c r="A14" s="5">
        <v>43497</v>
      </c>
      <c r="B14" s="6" t="str">
        <f>IF(ISNA(VLOOKUP(Tableau1[[#This Row],[Code]],'CODE mchn'!$A$4:$C$71,2,FALSE))," ",VLOOKUP(Tableau1[[#This Row],[Code]],'CODE mchn'!$A$4:$C$71,2,FALSE))</f>
        <v>Ponts roulants</v>
      </c>
      <c r="C14" s="6" t="s">
        <v>13</v>
      </c>
      <c r="D14" s="6" t="str">
        <f>IF(ISNA(VLOOKUP(Tableau1[[#This Row],[Code]],'CODE mchn'!$A$4:$C$71,3,FALSE))," ",VLOOKUP(Tableau1[[#This Row],[Code]],'CODE mchn'!$A$4:$C$71,3,FALSE))</f>
        <v>Pont roulant GH Beasain 12T</v>
      </c>
      <c r="E14" s="6">
        <v>562</v>
      </c>
      <c r="F14" s="6" t="s">
        <v>52</v>
      </c>
      <c r="G14" s="6" t="s">
        <v>53</v>
      </c>
      <c r="H14" s="14"/>
      <c r="I14" s="7" t="s">
        <v>54</v>
      </c>
    </row>
    <row r="15" spans="1:9" ht="18.95" customHeight="1" thickBot="1">
      <c r="A15" s="5">
        <v>43497</v>
      </c>
      <c r="B15" s="6" t="str">
        <f>IF(ISNA(VLOOKUP(Tableau1[[#This Row],[Code]],'CODE mchn'!$A$4:$C$71,2,FALSE))," ",VLOOKUP(Tableau1[[#This Row],[Code]],'CODE mchn'!$A$4:$C$71,2,FALSE))</f>
        <v>Acier</v>
      </c>
      <c r="C15" s="6" t="s">
        <v>13</v>
      </c>
      <c r="D15" s="6" t="str">
        <f>IF(ISNA(VLOOKUP(Tableau1[[#This Row],[Code]],'CODE mchn'!$A$4:$C$71,3,FALSE))," ",VLOOKUP(Tableau1[[#This Row],[Code]],'CODE mchn'!$A$4:$C$71,3,FALSE))</f>
        <v>EVG GE12</v>
      </c>
      <c r="E15" s="6">
        <v>565</v>
      </c>
      <c r="F15" s="6" t="s">
        <v>55</v>
      </c>
      <c r="G15" s="6" t="s">
        <v>56</v>
      </c>
      <c r="H15" s="14"/>
      <c r="I15" s="7" t="s">
        <v>57</v>
      </c>
    </row>
    <row r="16" spans="1:9" ht="18.95" customHeight="1" thickBot="1">
      <c r="A16" s="5">
        <v>43497</v>
      </c>
      <c r="B16" s="6" t="s">
        <v>272</v>
      </c>
      <c r="C16" s="6" t="s">
        <v>30</v>
      </c>
      <c r="D16" s="6" t="s">
        <v>271</v>
      </c>
      <c r="E16" s="6"/>
      <c r="F16" s="6"/>
      <c r="G16" s="6" t="s">
        <v>58</v>
      </c>
      <c r="H16" s="14"/>
      <c r="I16" s="7" t="s">
        <v>59</v>
      </c>
    </row>
    <row r="17" spans="1:9" ht="18.95" customHeight="1" thickBot="1">
      <c r="A17" s="5">
        <v>43500</v>
      </c>
      <c r="B17" s="6" t="str">
        <f>IF(ISNA(VLOOKUP(Tableau1[[#This Row],[Code]],'CODE mchn'!$A$4:$C$71,2,FALSE))," ",VLOOKUP(Tableau1[[#This Row],[Code]],'CODE mchn'!$A$4:$C$71,2,FALSE))</f>
        <v>Béton</v>
      </c>
      <c r="C17" s="6" t="s">
        <v>13</v>
      </c>
      <c r="D17" s="6" t="str">
        <f>IF(ISNA(VLOOKUP(Tableau1[[#This Row],[Code]],'CODE mchn'!$A$4:$C$71,3,FALSE))," ",VLOOKUP(Tableau1[[#This Row],[Code]],'CODE mchn'!$A$4:$C$71,3,FALSE))</f>
        <v>Poyatos 2</v>
      </c>
      <c r="E17" s="6">
        <v>800</v>
      </c>
      <c r="F17" s="6" t="s">
        <v>60</v>
      </c>
      <c r="G17" s="6" t="s">
        <v>61</v>
      </c>
      <c r="H17" s="14"/>
      <c r="I17" s="7" t="s">
        <v>62</v>
      </c>
    </row>
    <row r="18" spans="1:9" ht="18.95" customHeight="1" thickBot="1">
      <c r="A18" s="5">
        <v>43500</v>
      </c>
      <c r="B18" s="6" t="s">
        <v>273</v>
      </c>
      <c r="C18" s="6" t="s">
        <v>63</v>
      </c>
      <c r="D18" s="6" t="s">
        <v>34</v>
      </c>
      <c r="E18" s="6"/>
      <c r="F18" s="6" t="s">
        <v>35</v>
      </c>
      <c r="G18" s="6" t="s">
        <v>64</v>
      </c>
      <c r="H18" s="14"/>
      <c r="I18" s="7" t="s">
        <v>65</v>
      </c>
    </row>
    <row r="19" spans="1:9" ht="18.95" customHeight="1" thickBot="1">
      <c r="A19" s="5">
        <v>43500</v>
      </c>
      <c r="B19" s="6" t="str">
        <f>IF(ISNA(VLOOKUP(Tableau1[[#This Row],[Code]],'CODE mchn'!$A$4:$C$71,2,FALSE))," ",VLOOKUP(Tableau1[[#This Row],[Code]],'CODE mchn'!$A$4:$C$71,2,FALSE))</f>
        <v>Acier</v>
      </c>
      <c r="C19" s="6" t="s">
        <v>13</v>
      </c>
      <c r="D19" s="6" t="str">
        <f>IF(ISNA(VLOOKUP(Tableau1[[#This Row],[Code]],'CODE mchn'!$A$4:$C$71,3,FALSE))," ",VLOOKUP(Tableau1[[#This Row],[Code]],'CODE mchn'!$A$4:$C$71,3,FALSE))</f>
        <v>Teurema 1</v>
      </c>
      <c r="E19" s="6">
        <v>581</v>
      </c>
      <c r="F19" s="6" t="s">
        <v>67</v>
      </c>
      <c r="G19" s="6" t="s">
        <v>68</v>
      </c>
      <c r="H19" s="14"/>
      <c r="I19" s="7" t="s">
        <v>69</v>
      </c>
    </row>
    <row r="20" spans="1:9" ht="18.95" customHeight="1" thickBot="1">
      <c r="A20" s="5">
        <v>43500</v>
      </c>
      <c r="B20" s="6" t="str">
        <f>IF(ISNA(VLOOKUP(Tableau1[[#This Row],[Code]],'CODE mchn'!$A$4:$C$71,2,FALSE))," ",VLOOKUP(Tableau1[[#This Row],[Code]],'CODE mchn'!$A$4:$C$71,2,FALSE))</f>
        <v>Acier</v>
      </c>
      <c r="C20" s="6" t="s">
        <v>13</v>
      </c>
      <c r="D20" s="6" t="str">
        <f>IF(ISNA(VLOOKUP(Tableau1[[#This Row],[Code]],'CODE mchn'!$A$4:$C$71,3,FALSE))," ",VLOOKUP(Tableau1[[#This Row],[Code]],'CODE mchn'!$A$4:$C$71,3,FALSE))</f>
        <v>Techno Impiante</v>
      </c>
      <c r="E20" s="6">
        <v>580</v>
      </c>
      <c r="F20" s="6" t="s">
        <v>70</v>
      </c>
      <c r="G20" s="6" t="s">
        <v>71</v>
      </c>
      <c r="H20" s="14"/>
      <c r="I20" s="7"/>
    </row>
    <row r="21" spans="1:9" ht="18.95" customHeight="1" thickBot="1">
      <c r="A21" s="5">
        <v>43500</v>
      </c>
      <c r="B21" s="6" t="str">
        <f>IF(ISNA(VLOOKUP(Tableau1[[#This Row],[Code]],'CODE mchn'!$A$4:$C$71,2,FALSE))," ",VLOOKUP(Tableau1[[#This Row],[Code]],'CODE mchn'!$A$4:$C$71,2,FALSE))</f>
        <v>Enrobage</v>
      </c>
      <c r="C21" s="6" t="s">
        <v>19</v>
      </c>
      <c r="D21" s="6" t="str">
        <f>IF(ISNA(VLOOKUP(Tableau1[[#This Row],[Code]],'CODE mchn'!$A$4:$C$71,3,FALSE))," ",VLOOKUP(Tableau1[[#This Row],[Code]],'CODE mchn'!$A$4:$C$71,3,FALSE))</f>
        <v>CAROSSEL</v>
      </c>
      <c r="E21" s="6">
        <v>533</v>
      </c>
      <c r="F21" s="6" t="s">
        <v>31</v>
      </c>
      <c r="G21" s="6" t="s">
        <v>72</v>
      </c>
      <c r="H21" s="14"/>
      <c r="I21" s="7" t="s">
        <v>73</v>
      </c>
    </row>
    <row r="22" spans="1:9" ht="18.95" customHeight="1" thickBot="1">
      <c r="A22" s="5">
        <v>43500</v>
      </c>
      <c r="B22" s="6" t="str">
        <f>IF(ISNA(VLOOKUP(Tableau1[[#This Row],[Code]],'CODE mchn'!$A$4:$C$71,2,FALSE))," ",VLOOKUP(Tableau1[[#This Row],[Code]],'CODE mchn'!$A$4:$C$71,2,FALSE))</f>
        <v xml:space="preserve"> </v>
      </c>
      <c r="C22" s="6" t="s">
        <v>8</v>
      </c>
      <c r="D22" s="6" t="str">
        <f>IF(ISNA(VLOOKUP(Tableau1[[#This Row],[Code]],'CODE mchn'!$A$4:$C$71,3,FALSE))," ",VLOOKUP(Tableau1[[#This Row],[Code]],'CODE mchn'!$A$4:$C$71,3,FALSE))</f>
        <v xml:space="preserve"> </v>
      </c>
      <c r="E22" s="6">
        <v>607</v>
      </c>
      <c r="F22" s="6" t="s">
        <v>75</v>
      </c>
      <c r="G22" s="6" t="s">
        <v>76</v>
      </c>
      <c r="H22" s="14"/>
      <c r="I22" s="7" t="s">
        <v>77</v>
      </c>
    </row>
    <row r="23" spans="1:9" ht="18.95" customHeight="1" thickBot="1">
      <c r="A23" s="5">
        <v>43500</v>
      </c>
      <c r="B23" s="6" t="str">
        <f>IF(ISNA(VLOOKUP(Tableau1[[#This Row],[Code]],'CODE mchn'!$A$4:$C$71,2,FALSE))," ",VLOOKUP(Tableau1[[#This Row],[Code]],'CODE mchn'!$A$4:$C$71,2,FALSE))</f>
        <v xml:space="preserve"> </v>
      </c>
      <c r="C23" s="6" t="s">
        <v>8</v>
      </c>
      <c r="D23" s="6" t="str">
        <f>IF(ISNA(VLOOKUP(Tableau1[[#This Row],[Code]],'CODE mchn'!$A$4:$C$71,3,FALSE))," ",VLOOKUP(Tableau1[[#This Row],[Code]],'CODE mchn'!$A$4:$C$71,3,FALSE))</f>
        <v xml:space="preserve"> </v>
      </c>
      <c r="E23" s="6">
        <v>605</v>
      </c>
      <c r="F23" s="6" t="s">
        <v>78</v>
      </c>
      <c r="G23" s="6" t="s">
        <v>79</v>
      </c>
      <c r="H23" s="14"/>
      <c r="I23" s="7" t="s">
        <v>77</v>
      </c>
    </row>
    <row r="24" spans="1:9" ht="18.95" customHeight="1" thickBot="1">
      <c r="A24" s="5">
        <v>43500</v>
      </c>
      <c r="B24" s="6" t="str">
        <f>IF(ISNA(VLOOKUP(Tableau1[[#This Row],[Code]],'CODE mchn'!$A$4:$C$71,2,FALSE))," ",VLOOKUP(Tableau1[[#This Row],[Code]],'CODE mchn'!$A$4:$C$71,2,FALSE))</f>
        <v>Ponts roulants</v>
      </c>
      <c r="C24" s="6" t="s">
        <v>13</v>
      </c>
      <c r="D24" s="6" t="str">
        <f>IF(ISNA(VLOOKUP(Tableau1[[#This Row],[Code]],'CODE mchn'!$A$4:$C$71,3,FALSE))," ",VLOOKUP(Tableau1[[#This Row],[Code]],'CODE mchn'!$A$4:$C$71,3,FALSE))</f>
        <v>Pont roulant Demag 5T (milieu)</v>
      </c>
      <c r="E24" s="6">
        <v>568</v>
      </c>
      <c r="F24" s="6" t="s">
        <v>80</v>
      </c>
      <c r="G24" s="6" t="s">
        <v>81</v>
      </c>
      <c r="H24" s="14"/>
      <c r="I24" s="7" t="s">
        <v>82</v>
      </c>
    </row>
    <row r="25" spans="1:9" ht="18.95" customHeight="1" thickBot="1">
      <c r="A25" s="5">
        <v>43501</v>
      </c>
      <c r="B25" s="6" t="str">
        <f>IF(ISNA(VLOOKUP(Tableau1[[#This Row],[Code]],'CODE mchn'!$A$4:$C$71,2,FALSE))," ",VLOOKUP(Tableau1[[#This Row],[Code]],'CODE mchn'!$A$4:$C$71,2,FALSE))</f>
        <v>Acier</v>
      </c>
      <c r="C25" s="6" t="s">
        <v>26</v>
      </c>
      <c r="D25" s="6" t="str">
        <f>IF(ISNA(VLOOKUP(Tableau1[[#This Row],[Code]],'CODE mchn'!$A$4:$C$71,3,FALSE))," ",VLOOKUP(Tableau1[[#This Row],[Code]],'CODE mchn'!$A$4:$C$71,3,FALSE))</f>
        <v>EVG PN 1</v>
      </c>
      <c r="E25" s="6">
        <v>571</v>
      </c>
      <c r="F25" s="6" t="s">
        <v>27</v>
      </c>
      <c r="G25" s="6" t="s">
        <v>83</v>
      </c>
      <c r="H25" s="14"/>
      <c r="I25" s="7" t="s">
        <v>84</v>
      </c>
    </row>
    <row r="26" spans="1:9" ht="18.95" customHeight="1" thickBot="1">
      <c r="A26" s="5">
        <v>43501</v>
      </c>
      <c r="B26" s="6" t="str">
        <f>IF(ISNA(VLOOKUP(Tableau1[[#This Row],[Code]],'CODE mchn'!$A$4:$C$71,2,FALSE))," ",VLOOKUP(Tableau1[[#This Row],[Code]],'CODE mchn'!$A$4:$C$71,2,FALSE))</f>
        <v>Acier</v>
      </c>
      <c r="C26" s="6" t="s">
        <v>13</v>
      </c>
      <c r="D26" s="6" t="str">
        <f>IF(ISNA(VLOOKUP(Tableau1[[#This Row],[Code]],'CODE mchn'!$A$4:$C$71,3,FALSE))," ",VLOOKUP(Tableau1[[#This Row],[Code]],'CODE mchn'!$A$4:$C$71,3,FALSE))</f>
        <v>Schlatter</v>
      </c>
      <c r="E26" s="6">
        <v>560</v>
      </c>
      <c r="F26" s="6" t="s">
        <v>55</v>
      </c>
      <c r="G26" s="6" t="s">
        <v>56</v>
      </c>
      <c r="H26" s="14"/>
      <c r="I26" s="7" t="s">
        <v>85</v>
      </c>
    </row>
    <row r="27" spans="1:9" ht="18.95" customHeight="1" thickBot="1">
      <c r="A27" s="5">
        <v>43501</v>
      </c>
      <c r="B27" s="6" t="str">
        <f>IF(ISNA(VLOOKUP(Tableau1[[#This Row],[Code]],'CODE mchn'!$A$4:$C$71,2,FALSE))," ",VLOOKUP(Tableau1[[#This Row],[Code]],'CODE mchn'!$A$4:$C$71,2,FALSE))</f>
        <v>Béton</v>
      </c>
      <c r="C27" s="6" t="s">
        <v>13</v>
      </c>
      <c r="D27" s="6" t="str">
        <f>IF(ISNA(VLOOKUP(Tableau1[[#This Row],[Code]],'CODE mchn'!$A$4:$C$71,3,FALSE))," ",VLOOKUP(Tableau1[[#This Row],[Code]],'CODE mchn'!$A$4:$C$71,3,FALSE))</f>
        <v>Poyatos 1</v>
      </c>
      <c r="E27" s="9">
        <v>700</v>
      </c>
      <c r="F27" s="6" t="s">
        <v>43</v>
      </c>
      <c r="G27" s="6" t="s">
        <v>86</v>
      </c>
      <c r="H27" s="14"/>
      <c r="I27" s="7" t="s">
        <v>87</v>
      </c>
    </row>
    <row r="28" spans="1:9" ht="18.95" customHeight="1" thickBot="1">
      <c r="A28" s="5">
        <v>43501</v>
      </c>
      <c r="B28" s="6" t="str">
        <f>IF(ISNA(VLOOKUP(Tableau1[[#This Row],[Code]],'CODE mchn'!$A$4:$C$71,2,FALSE))," ",VLOOKUP(Tableau1[[#This Row],[Code]],'CODE mchn'!$A$4:$C$71,2,FALSE))</f>
        <v>Ponts roulants</v>
      </c>
      <c r="C28" s="6" t="s">
        <v>13</v>
      </c>
      <c r="D28" s="6" t="str">
        <f>IF(ISNA(VLOOKUP(Tableau1[[#This Row],[Code]],'CODE mchn'!$A$4:$C$71,3,FALSE))," ",VLOOKUP(Tableau1[[#This Row],[Code]],'CODE mchn'!$A$4:$C$71,3,FALSE))</f>
        <v>Pont roulant GH Beasain 12T</v>
      </c>
      <c r="E28" s="6">
        <v>562</v>
      </c>
      <c r="F28" s="6" t="s">
        <v>52</v>
      </c>
      <c r="G28" s="6" t="s">
        <v>88</v>
      </c>
      <c r="H28" s="14"/>
      <c r="I28" s="7" t="s">
        <v>82</v>
      </c>
    </row>
    <row r="29" spans="1:9" ht="18.95" customHeight="1" thickBot="1">
      <c r="A29" s="5">
        <v>43501</v>
      </c>
      <c r="B29" s="6" t="str">
        <f>IF(ISNA(VLOOKUP(Tableau1[[#This Row],[Code]],'CODE mchn'!$A$4:$C$71,2,FALSE))," ",VLOOKUP(Tableau1[[#This Row],[Code]],'CODE mchn'!$A$4:$C$71,2,FALSE))</f>
        <v>Acier</v>
      </c>
      <c r="C29" s="6" t="s">
        <v>13</v>
      </c>
      <c r="D29" s="6" t="str">
        <f>IF(ISNA(VLOOKUP(Tableau1[[#This Row],[Code]],'CODE mchn'!$A$4:$C$71,3,FALSE))," ",VLOOKUP(Tableau1[[#This Row],[Code]],'CODE mchn'!$A$4:$C$71,3,FALSE))</f>
        <v>Techno Impiante</v>
      </c>
      <c r="E29" s="6">
        <v>580</v>
      </c>
      <c r="F29" s="6" t="s">
        <v>55</v>
      </c>
      <c r="G29" s="6" t="s">
        <v>89</v>
      </c>
      <c r="H29" s="14"/>
      <c r="I29" s="7" t="s">
        <v>90</v>
      </c>
    </row>
    <row r="30" spans="1:9" ht="18.95" customHeight="1" thickBot="1">
      <c r="A30" s="5">
        <v>43501</v>
      </c>
      <c r="B30" s="6" t="str">
        <f>IF(ISNA(VLOOKUP(Tableau1[[#This Row],[Code]],'CODE mchn'!$A$4:$C$71,2,FALSE))," ",VLOOKUP(Tableau1[[#This Row],[Code]],'CODE mchn'!$A$4:$C$71,2,FALSE))</f>
        <v>Acier</v>
      </c>
      <c r="C30" s="6" t="s">
        <v>13</v>
      </c>
      <c r="D30" s="6" t="str">
        <f>IF(ISNA(VLOOKUP(Tableau1[[#This Row],[Code]],'CODE mchn'!$A$4:$C$71,3,FALSE))," ",VLOOKUP(Tableau1[[#This Row],[Code]],'CODE mchn'!$A$4:$C$71,3,FALSE))</f>
        <v>Teurema 1</v>
      </c>
      <c r="E30" s="6">
        <v>581</v>
      </c>
      <c r="F30" s="6" t="s">
        <v>67</v>
      </c>
      <c r="G30" s="6" t="s">
        <v>91</v>
      </c>
      <c r="H30" s="14"/>
      <c r="I30" s="7" t="s">
        <v>17</v>
      </c>
    </row>
    <row r="31" spans="1:9" ht="18.95" customHeight="1" thickBot="1">
      <c r="A31" s="5">
        <v>43501</v>
      </c>
      <c r="B31" s="6" t="s">
        <v>272</v>
      </c>
      <c r="C31" s="6" t="s">
        <v>92</v>
      </c>
      <c r="D31" s="6" t="str">
        <f>IF(ISNA(VLOOKUP(Tableau1[[#This Row],[Code]],'CODE mchn'!$A$4:$C$71,3,FALSE))," ",VLOOKUP(Tableau1[[#This Row],[Code]],'CODE mchn'!$A$4:$C$71,3,FALSE))</f>
        <v xml:space="preserve"> </v>
      </c>
      <c r="E31" s="6"/>
      <c r="F31" s="6"/>
      <c r="G31" s="6" t="s">
        <v>93</v>
      </c>
      <c r="H31" s="14"/>
      <c r="I31" s="7" t="s">
        <v>94</v>
      </c>
    </row>
    <row r="32" spans="1:9" ht="18.95" customHeight="1" thickBot="1">
      <c r="A32" s="5">
        <v>43502</v>
      </c>
      <c r="B32" s="6" t="str">
        <f>IF(ISNA(VLOOKUP(Tableau1[[#This Row],[Code]],'CODE mchn'!$A$4:$C$71,2,FALSE))," ",VLOOKUP(Tableau1[[#This Row],[Code]],'CODE mchn'!$A$4:$C$71,2,FALSE))</f>
        <v xml:space="preserve"> </v>
      </c>
      <c r="C32" s="6" t="s">
        <v>13</v>
      </c>
      <c r="D32" s="6" t="str">
        <f>IF(ISNA(VLOOKUP(Tableau1[[#This Row],[Code]],'CODE mchn'!$A$4:$C$71,3,FALSE))," ",VLOOKUP(Tableau1[[#This Row],[Code]],'CODE mchn'!$A$4:$C$71,3,FALSE))</f>
        <v xml:space="preserve"> </v>
      </c>
      <c r="E32" s="6">
        <v>605</v>
      </c>
      <c r="F32" s="6" t="s">
        <v>95</v>
      </c>
      <c r="G32" s="6" t="s">
        <v>96</v>
      </c>
      <c r="H32" s="14"/>
      <c r="I32" s="7" t="s">
        <v>77</v>
      </c>
    </row>
    <row r="33" spans="1:9" ht="18.95" customHeight="1" thickBot="1">
      <c r="A33" s="5">
        <v>43502</v>
      </c>
      <c r="B33" s="6" t="str">
        <f>IF(ISNA(VLOOKUP(Tableau1[[#This Row],[Code]],'CODE mchn'!$A$4:$C$71,2,FALSE))," ",VLOOKUP(Tableau1[[#This Row],[Code]],'CODE mchn'!$A$4:$C$71,2,FALSE))</f>
        <v>Acier</v>
      </c>
      <c r="C33" s="6" t="s">
        <v>13</v>
      </c>
      <c r="D33" s="6" t="str">
        <f>IF(ISNA(VLOOKUP(Tableau1[[#This Row],[Code]],'CODE mchn'!$A$4:$C$71,3,FALSE))," ",VLOOKUP(Tableau1[[#This Row],[Code]],'CODE mchn'!$A$4:$C$71,3,FALSE))</f>
        <v>EVG GE12</v>
      </c>
      <c r="E33" s="6">
        <v>565</v>
      </c>
      <c r="F33" s="6" t="s">
        <v>97</v>
      </c>
      <c r="G33" s="6" t="s">
        <v>98</v>
      </c>
      <c r="H33" s="14"/>
      <c r="I33" s="7" t="s">
        <v>77</v>
      </c>
    </row>
    <row r="34" spans="1:9" ht="18.95" customHeight="1" thickBot="1">
      <c r="A34" s="5">
        <v>43502</v>
      </c>
      <c r="B34" s="6" t="str">
        <f>IF(ISNA(VLOOKUP(Tableau1[[#This Row],[Code]],'CODE mchn'!$A$4:$C$71,2,FALSE))," ",VLOOKUP(Tableau1[[#This Row],[Code]],'CODE mchn'!$A$4:$C$71,2,FALSE))</f>
        <v>Acier</v>
      </c>
      <c r="C34" s="6" t="s">
        <v>13</v>
      </c>
      <c r="D34" s="6" t="str">
        <f>IF(ISNA(VLOOKUP(Tableau1[[#This Row],[Code]],'CODE mchn'!$A$4:$C$71,3,FALSE))," ",VLOOKUP(Tableau1[[#This Row],[Code]],'CODE mchn'!$A$4:$C$71,3,FALSE))</f>
        <v>Teurema 1</v>
      </c>
      <c r="E34" s="6">
        <v>581</v>
      </c>
      <c r="F34" s="6" t="s">
        <v>99</v>
      </c>
      <c r="G34" s="6" t="s">
        <v>100</v>
      </c>
      <c r="H34" s="14"/>
      <c r="I34" s="7" t="s">
        <v>17</v>
      </c>
    </row>
    <row r="35" spans="1:9" ht="18.95" customHeight="1" thickBot="1">
      <c r="A35" s="5">
        <v>43502</v>
      </c>
      <c r="B35" s="6" t="str">
        <f>IF(ISNA(VLOOKUP(Tableau1[[#This Row],[Code]],'CODE mchn'!$A$4:$C$71,2,FALSE))," ",VLOOKUP(Tableau1[[#This Row],[Code]],'CODE mchn'!$A$4:$C$71,2,FALSE))</f>
        <v>Enrobage</v>
      </c>
      <c r="C35" s="6" t="s">
        <v>101</v>
      </c>
      <c r="D35" s="6" t="str">
        <f>IF(ISNA(VLOOKUP(Tableau1[[#This Row],[Code]],'CODE mchn'!$A$4:$C$71,3,FALSE))," ",VLOOKUP(Tableau1[[#This Row],[Code]],'CODE mchn'!$A$4:$C$71,3,FALSE))</f>
        <v>CAROSSEL</v>
      </c>
      <c r="E35" s="6">
        <v>533</v>
      </c>
      <c r="F35" s="6" t="s">
        <v>31</v>
      </c>
      <c r="G35" s="6" t="s">
        <v>102</v>
      </c>
      <c r="H35" s="14"/>
      <c r="I35" s="7" t="s">
        <v>103</v>
      </c>
    </row>
    <row r="36" spans="1:9" ht="18.95" customHeight="1" thickBot="1">
      <c r="A36" s="5">
        <v>43502</v>
      </c>
      <c r="B36" s="6" t="str">
        <f>IF(ISNA(VLOOKUP(Tableau1[[#This Row],[Code]],'CODE mchn'!$A$4:$C$71,2,FALSE))," ",VLOOKUP(Tableau1[[#This Row],[Code]],'CODE mchn'!$A$4:$C$71,2,FALSE))</f>
        <v>Acier</v>
      </c>
      <c r="C36" s="6" t="s">
        <v>13</v>
      </c>
      <c r="D36" s="6" t="str">
        <f>IF(ISNA(VLOOKUP(Tableau1[[#This Row],[Code]],'CODE mchn'!$A$4:$C$71,3,FALSE))," ",VLOOKUP(Tableau1[[#This Row],[Code]],'CODE mchn'!$A$4:$C$71,3,FALSE))</f>
        <v>Schlatter</v>
      </c>
      <c r="E36" s="6">
        <v>560</v>
      </c>
      <c r="F36" s="6" t="s">
        <v>104</v>
      </c>
      <c r="G36" s="6" t="s">
        <v>105</v>
      </c>
      <c r="H36" s="14"/>
      <c r="I36" s="7" t="s">
        <v>106</v>
      </c>
    </row>
    <row r="37" spans="1:9" ht="18.95" customHeight="1" thickBot="1">
      <c r="A37" s="5">
        <v>43502</v>
      </c>
      <c r="B37" s="6" t="str">
        <f>IF(ISNA(VLOOKUP(Tableau1[[#This Row],[Code]],'CODE mchn'!$A$4:$C$71,2,FALSE))," ",VLOOKUP(Tableau1[[#This Row],[Code]],'CODE mchn'!$A$4:$C$71,2,FALSE))</f>
        <v>Acier</v>
      </c>
      <c r="C37" s="6" t="s">
        <v>107</v>
      </c>
      <c r="D37" s="6" t="str">
        <f>IF(ISNA(VLOOKUP(Tableau1[[#This Row],[Code]],'CODE mchn'!$A$4:$C$71,3,FALSE))," ",VLOOKUP(Tableau1[[#This Row],[Code]],'CODE mchn'!$A$4:$C$71,3,FALSE))</f>
        <v>Schlatter</v>
      </c>
      <c r="E37" s="6">
        <v>560</v>
      </c>
      <c r="F37" s="6" t="s">
        <v>55</v>
      </c>
      <c r="G37" s="6" t="s">
        <v>108</v>
      </c>
      <c r="H37" s="14"/>
      <c r="I37" s="7" t="s">
        <v>109</v>
      </c>
    </row>
    <row r="38" spans="1:9" ht="18.95" customHeight="1" thickBot="1">
      <c r="A38" s="5">
        <v>43502</v>
      </c>
      <c r="B38" s="6" t="str">
        <f>IF(ISNA(VLOOKUP(Tableau1[[#This Row],[Code]],'CODE mchn'!$A$4:$C$71,2,FALSE))," ",VLOOKUP(Tableau1[[#This Row],[Code]],'CODE mchn'!$A$4:$C$71,2,FALSE))</f>
        <v>Béton</v>
      </c>
      <c r="C38" s="6" t="s">
        <v>13</v>
      </c>
      <c r="D38" s="6" t="str">
        <f>IF(ISNA(VLOOKUP(Tableau1[[#This Row],[Code]],'CODE mchn'!$A$4:$C$71,3,FALSE))," ",VLOOKUP(Tableau1[[#This Row],[Code]],'CODE mchn'!$A$4:$C$71,3,FALSE))</f>
        <v>Poyatos 2</v>
      </c>
      <c r="E38" s="6">
        <v>800</v>
      </c>
      <c r="F38" s="6" t="s">
        <v>110</v>
      </c>
      <c r="G38" s="6" t="s">
        <v>111</v>
      </c>
      <c r="H38" s="14"/>
      <c r="I38" s="7" t="s">
        <v>112</v>
      </c>
    </row>
    <row r="39" spans="1:9" ht="18.95" customHeight="1" thickBot="1">
      <c r="A39" s="5">
        <v>43503</v>
      </c>
      <c r="B39" s="6" t="str">
        <f>IF(ISNA(VLOOKUP(Tableau1[[#This Row],[Code]],'CODE mchn'!$A$4:$C$71,2,FALSE))," ",VLOOKUP(Tableau1[[#This Row],[Code]],'CODE mchn'!$A$4:$C$71,2,FALSE))</f>
        <v>Acier</v>
      </c>
      <c r="C39" s="6" t="s">
        <v>13</v>
      </c>
      <c r="D39" s="6" t="str">
        <f>IF(ISNA(VLOOKUP(Tableau1[[#This Row],[Code]],'CODE mchn'!$A$4:$C$71,3,FALSE))," ",VLOOKUP(Tableau1[[#This Row],[Code]],'CODE mchn'!$A$4:$C$71,3,FALSE))</f>
        <v>EVG GE12</v>
      </c>
      <c r="E39" s="6">
        <v>565</v>
      </c>
      <c r="F39" s="6" t="s">
        <v>97</v>
      </c>
      <c r="G39" s="6" t="s">
        <v>113</v>
      </c>
      <c r="H39" s="14"/>
      <c r="I39" s="7" t="s">
        <v>112</v>
      </c>
    </row>
    <row r="40" spans="1:9" ht="18.95" customHeight="1" thickBot="1">
      <c r="A40" s="5">
        <v>43503</v>
      </c>
      <c r="B40" s="6" t="str">
        <f>IF(ISNA(VLOOKUP(Tableau1[[#This Row],[Code]],'CODE mchn'!$A$4:$C$71,2,FALSE))," ",VLOOKUP(Tableau1[[#This Row],[Code]],'CODE mchn'!$A$4:$C$71,2,FALSE))</f>
        <v>Acier</v>
      </c>
      <c r="C40" s="6" t="s">
        <v>13</v>
      </c>
      <c r="D40" s="6" t="str">
        <f>IF(ISNA(VLOOKUP(Tableau1[[#This Row],[Code]],'CODE mchn'!$A$4:$C$71,3,FALSE))," ",VLOOKUP(Tableau1[[#This Row],[Code]],'CODE mchn'!$A$4:$C$71,3,FALSE))</f>
        <v>EVG PN 1</v>
      </c>
      <c r="E40" s="6">
        <v>571</v>
      </c>
      <c r="F40" s="6" t="s">
        <v>10</v>
      </c>
      <c r="G40" s="6" t="s">
        <v>114</v>
      </c>
      <c r="H40" s="14"/>
      <c r="I40" s="7" t="s">
        <v>115</v>
      </c>
    </row>
    <row r="41" spans="1:9" ht="18.95" customHeight="1" thickBot="1">
      <c r="A41" s="5">
        <v>43503</v>
      </c>
      <c r="B41" s="6" t="str">
        <f>IF(ISNA(VLOOKUP(Tableau1[[#This Row],[Code]],'CODE mchn'!$A$4:$C$71,2,FALSE))," ",VLOOKUP(Tableau1[[#This Row],[Code]],'CODE mchn'!$A$4:$C$71,2,FALSE))</f>
        <v>Enrobage</v>
      </c>
      <c r="C41" s="6" t="s">
        <v>13</v>
      </c>
      <c r="D41" s="6" t="str">
        <f>IF(ISNA(VLOOKUP(Tableau1[[#This Row],[Code]],'CODE mchn'!$A$4:$C$71,3,FALSE))," ",VLOOKUP(Tableau1[[#This Row],[Code]],'CODE mchn'!$A$4:$C$71,3,FALSE))</f>
        <v>CAROSSEL</v>
      </c>
      <c r="E41" s="6">
        <v>533</v>
      </c>
      <c r="F41" s="6" t="s">
        <v>31</v>
      </c>
      <c r="G41" s="6" t="s">
        <v>116</v>
      </c>
      <c r="H41" s="14"/>
      <c r="I41" s="7" t="s">
        <v>115</v>
      </c>
    </row>
    <row r="42" spans="1:9" ht="18.75" customHeight="1" thickBot="1">
      <c r="A42" s="5">
        <v>43503</v>
      </c>
      <c r="B42" s="6" t="str">
        <f>IF(ISNA(VLOOKUP(Tableau1[[#This Row],[Code]],'CODE mchn'!$A$4:$C$71,2,FALSE))," ",VLOOKUP(Tableau1[[#This Row],[Code]],'CODE mchn'!$A$4:$C$71,2,FALSE))</f>
        <v>Béton</v>
      </c>
      <c r="C42" s="6" t="s">
        <v>117</v>
      </c>
      <c r="D42" s="6" t="str">
        <f>IF(ISNA(VLOOKUP(Tableau1[[#This Row],[Code]],'CODE mchn'!$A$4:$C$71,3,FALSE))," ",VLOOKUP(Tableau1[[#This Row],[Code]],'CODE mchn'!$A$4:$C$71,3,FALSE))</f>
        <v>Poyatos 1</v>
      </c>
      <c r="E42" s="6">
        <v>700</v>
      </c>
      <c r="F42" s="6" t="s">
        <v>118</v>
      </c>
      <c r="G42" s="6" t="s">
        <v>119</v>
      </c>
      <c r="H42" s="14"/>
      <c r="I42" s="7" t="s">
        <v>115</v>
      </c>
    </row>
    <row r="43" spans="1:9" ht="18.95" customHeight="1" thickBot="1">
      <c r="A43" s="5">
        <v>43503</v>
      </c>
      <c r="B43" s="6" t="str">
        <f>IF(ISNA(VLOOKUP(Tableau1[[#This Row],[Code]],'CODE mchn'!$A$4:$C$71,2,FALSE))," ",VLOOKUP(Tableau1[[#This Row],[Code]],'CODE mchn'!$A$4:$C$71,2,FALSE))</f>
        <v>Béton</v>
      </c>
      <c r="C43" s="6" t="s">
        <v>13</v>
      </c>
      <c r="D43" s="6" t="str">
        <f>IF(ISNA(VLOOKUP(Tableau1[[#This Row],[Code]],'CODE mchn'!$A$4:$C$71,3,FALSE))," ",VLOOKUP(Tableau1[[#This Row],[Code]],'CODE mchn'!$A$4:$C$71,3,FALSE))</f>
        <v>Poyatos 1</v>
      </c>
      <c r="E43" s="6">
        <v>700</v>
      </c>
      <c r="F43" s="6" t="s">
        <v>120</v>
      </c>
      <c r="G43" s="6" t="s">
        <v>121</v>
      </c>
      <c r="H43" s="14"/>
      <c r="I43" s="7" t="s">
        <v>115</v>
      </c>
    </row>
    <row r="44" spans="1:9" ht="18.95" customHeight="1" thickBot="1">
      <c r="A44" s="5">
        <v>43503</v>
      </c>
      <c r="B44" s="6" t="str">
        <f>IF(ISNA(VLOOKUP(Tableau1[[#This Row],[Code]],'CODE mchn'!$A$4:$C$71,2,FALSE))," ",VLOOKUP(Tableau1[[#This Row],[Code]],'CODE mchn'!$A$4:$C$71,2,FALSE))</f>
        <v>Acier</v>
      </c>
      <c r="C44" s="6" t="s">
        <v>13</v>
      </c>
      <c r="D44" s="6" t="str">
        <f>IF(ISNA(VLOOKUP(Tableau1[[#This Row],[Code]],'CODE mchn'!$A$4:$C$71,3,FALSE))," ",VLOOKUP(Tableau1[[#This Row],[Code]],'CODE mchn'!$A$4:$C$71,3,FALSE))</f>
        <v>Teurema 2</v>
      </c>
      <c r="E44" s="6">
        <v>582</v>
      </c>
      <c r="F44" s="6" t="s">
        <v>122</v>
      </c>
      <c r="G44" s="6" t="s">
        <v>123</v>
      </c>
      <c r="H44" s="14"/>
      <c r="I44" s="7" t="s">
        <v>124</v>
      </c>
    </row>
    <row r="45" spans="1:9" ht="18.95" customHeight="1" thickBot="1">
      <c r="A45" s="5">
        <v>43503</v>
      </c>
      <c r="B45" s="6" t="str">
        <f>IF(ISNA(VLOOKUP(Tableau1[[#This Row],[Code]],'CODE mchn'!$A$4:$C$71,2,FALSE))," ",VLOOKUP(Tableau1[[#This Row],[Code]],'CODE mchn'!$A$4:$C$71,2,FALSE))</f>
        <v>Acier</v>
      </c>
      <c r="C45" s="6" t="s">
        <v>125</v>
      </c>
      <c r="D45" s="6" t="str">
        <f>IF(ISNA(VLOOKUP(Tableau1[[#This Row],[Code]],'CODE mchn'!$A$4:$C$71,3,FALSE))," ",VLOOKUP(Tableau1[[#This Row],[Code]],'CODE mchn'!$A$4:$C$71,3,FALSE))</f>
        <v>Techno Impiante</v>
      </c>
      <c r="E45" s="6">
        <v>580</v>
      </c>
      <c r="F45" s="6" t="s">
        <v>55</v>
      </c>
      <c r="G45" s="6" t="s">
        <v>126</v>
      </c>
      <c r="H45" s="14"/>
      <c r="I45" s="7" t="s">
        <v>127</v>
      </c>
    </row>
    <row r="46" spans="1:9" ht="18.95" customHeight="1" thickBot="1">
      <c r="A46" s="5">
        <v>43504</v>
      </c>
      <c r="B46" s="6" t="str">
        <f>IF(ISNA(VLOOKUP(Tableau1[[#This Row],[Code]],'CODE mchn'!$A$4:$C$71,2,FALSE))," ",VLOOKUP(Tableau1[[#This Row],[Code]],'CODE mchn'!$A$4:$C$71,2,FALSE))</f>
        <v>Béton</v>
      </c>
      <c r="C46" s="6" t="s">
        <v>13</v>
      </c>
      <c r="D46" s="6" t="str">
        <f>IF(ISNA(VLOOKUP(Tableau1[[#This Row],[Code]],'CODE mchn'!$A$4:$C$71,3,FALSE))," ",VLOOKUP(Tableau1[[#This Row],[Code]],'CODE mchn'!$A$4:$C$71,3,FALSE))</f>
        <v>Poyatos 2</v>
      </c>
      <c r="E46" s="6">
        <v>800</v>
      </c>
      <c r="F46" s="6" t="s">
        <v>128</v>
      </c>
      <c r="G46" s="6" t="s">
        <v>129</v>
      </c>
      <c r="H46" s="14"/>
      <c r="I46" s="7" t="s">
        <v>130</v>
      </c>
    </row>
    <row r="47" spans="1:9" ht="18.95" customHeight="1" thickBot="1">
      <c r="A47" s="5">
        <v>43504</v>
      </c>
      <c r="B47" s="6" t="str">
        <f>IF(ISNA(VLOOKUP(Tableau1[[#This Row],[Code]],'CODE mchn'!$A$4:$C$71,2,FALSE))," ",VLOOKUP(Tableau1[[#This Row],[Code]],'CODE mchn'!$A$4:$C$71,2,FALSE))</f>
        <v>Béton</v>
      </c>
      <c r="C47" s="6" t="s">
        <v>131</v>
      </c>
      <c r="D47" s="6" t="str">
        <f>IF(ISNA(VLOOKUP(Tableau1[[#This Row],[Code]],'CODE mchn'!$A$4:$C$71,3,FALSE))," ",VLOOKUP(Tableau1[[#This Row],[Code]],'CODE mchn'!$A$4:$C$71,3,FALSE))</f>
        <v>Poyatos 1</v>
      </c>
      <c r="E47" s="6">
        <v>700</v>
      </c>
      <c r="F47" s="6" t="s">
        <v>132</v>
      </c>
      <c r="G47" s="6" t="s">
        <v>133</v>
      </c>
      <c r="H47" s="14"/>
      <c r="I47" s="7" t="s">
        <v>134</v>
      </c>
    </row>
    <row r="48" spans="1:9" ht="18.95" customHeight="1" thickBot="1">
      <c r="A48" s="5">
        <v>43504</v>
      </c>
      <c r="B48" s="6" t="str">
        <f>IF(ISNA(VLOOKUP(Tableau1[[#This Row],[Code]],'CODE mchn'!$A$4:$C$71,2,FALSE))," ",VLOOKUP(Tableau1[[#This Row],[Code]],'CODE mchn'!$A$4:$C$71,2,FALSE))</f>
        <v>Acier</v>
      </c>
      <c r="C48" s="6" t="s">
        <v>13</v>
      </c>
      <c r="D48" s="6" t="str">
        <f>IF(ISNA(VLOOKUP(Tableau1[[#This Row],[Code]],'CODE mchn'!$A$4:$C$71,3,FALSE))," ",VLOOKUP(Tableau1[[#This Row],[Code]],'CODE mchn'!$A$4:$C$71,3,FALSE))</f>
        <v>Sigmatic</v>
      </c>
      <c r="E48" s="6">
        <v>570</v>
      </c>
      <c r="F48" s="6" t="s">
        <v>136</v>
      </c>
      <c r="G48" s="6" t="s">
        <v>137</v>
      </c>
      <c r="H48" s="14"/>
      <c r="I48" s="7" t="s">
        <v>109</v>
      </c>
    </row>
    <row r="49" spans="1:9" ht="18.95" customHeight="1" thickBot="1">
      <c r="A49" s="5">
        <v>43504</v>
      </c>
      <c r="B49" s="6" t="str">
        <f>IF(ISNA(VLOOKUP(Tableau1[[#This Row],[Code]],'CODE mchn'!$A$4:$C$71,2,FALSE))," ",VLOOKUP(Tableau1[[#This Row],[Code]],'CODE mchn'!$A$4:$C$71,2,FALSE))</f>
        <v>Acier</v>
      </c>
      <c r="C49" s="6" t="s">
        <v>13</v>
      </c>
      <c r="D49" s="6" t="str">
        <f>IF(ISNA(VLOOKUP(Tableau1[[#This Row],[Code]],'CODE mchn'!$A$4:$C$71,3,FALSE))," ",VLOOKUP(Tableau1[[#This Row],[Code]],'CODE mchn'!$A$4:$C$71,3,FALSE))</f>
        <v>Sigmatic</v>
      </c>
      <c r="E49" s="6">
        <v>570</v>
      </c>
      <c r="F49" s="6" t="s">
        <v>10</v>
      </c>
      <c r="G49" s="6" t="s">
        <v>138</v>
      </c>
      <c r="H49" s="14"/>
      <c r="I49" s="7" t="s">
        <v>85</v>
      </c>
    </row>
    <row r="50" spans="1:9" ht="18.95" customHeight="1" thickBot="1">
      <c r="A50" s="5">
        <v>43504</v>
      </c>
      <c r="B50" s="6" t="str">
        <f>IF(ISNA(VLOOKUP(Tableau1[[#This Row],[Code]],'CODE mchn'!$A$4:$C$71,2,FALSE))," ",VLOOKUP(Tableau1[[#This Row],[Code]],'CODE mchn'!$A$4:$C$71,2,FALSE))</f>
        <v xml:space="preserve"> </v>
      </c>
      <c r="C50" s="6" t="s">
        <v>13</v>
      </c>
      <c r="D50" s="6" t="str">
        <f>IF(ISNA(VLOOKUP(Tableau1[[#This Row],[Code]],'CODE mchn'!$A$4:$C$71,3,FALSE))," ",VLOOKUP(Tableau1[[#This Row],[Code]],'CODE mchn'!$A$4:$C$71,3,FALSE))</f>
        <v xml:space="preserve"> </v>
      </c>
      <c r="E50" s="6">
        <v>606</v>
      </c>
      <c r="F50" s="6" t="s">
        <v>75</v>
      </c>
      <c r="G50" s="6" t="s">
        <v>139</v>
      </c>
      <c r="H50" s="14"/>
      <c r="I50" s="7" t="s">
        <v>85</v>
      </c>
    </row>
    <row r="51" spans="1:9" ht="18.95" customHeight="1" thickBot="1">
      <c r="A51" s="5">
        <v>43505</v>
      </c>
      <c r="B51" s="6" t="str">
        <f>IF(ISNA(VLOOKUP(Tableau1[[#This Row],[Code]],'CODE mchn'!$A$4:$C$71,2,FALSE))," ",VLOOKUP(Tableau1[[#This Row],[Code]],'CODE mchn'!$A$4:$C$71,2,FALSE))</f>
        <v>Béton</v>
      </c>
      <c r="C51" s="6" t="s">
        <v>13</v>
      </c>
      <c r="D51" s="6" t="str">
        <f>IF(ISNA(VLOOKUP(Tableau1[[#This Row],[Code]],'CODE mchn'!$A$4:$C$71,3,FALSE))," ",VLOOKUP(Tableau1[[#This Row],[Code]],'CODE mchn'!$A$4:$C$71,3,FALSE))</f>
        <v>Poyatos 2</v>
      </c>
      <c r="E51" s="6">
        <v>800</v>
      </c>
      <c r="F51" s="6" t="s">
        <v>120</v>
      </c>
      <c r="G51" s="6" t="s">
        <v>121</v>
      </c>
      <c r="H51" s="14"/>
      <c r="I51" s="7" t="s">
        <v>85</v>
      </c>
    </row>
    <row r="52" spans="1:9" ht="18.95" customHeight="1" thickBot="1">
      <c r="A52" s="5">
        <v>43505</v>
      </c>
      <c r="B52" s="6" t="str">
        <f>IF(ISNA(VLOOKUP(Tableau1[[#This Row],[Code]],'CODE mchn'!$A$4:$C$71,2,FALSE))," ",VLOOKUP(Tableau1[[#This Row],[Code]],'CODE mchn'!$A$4:$C$71,2,FALSE))</f>
        <v>Béton</v>
      </c>
      <c r="C52" s="6" t="s">
        <v>13</v>
      </c>
      <c r="D52" s="6" t="str">
        <f>IF(ISNA(VLOOKUP(Tableau1[[#This Row],[Code]],'CODE mchn'!$A$4:$C$71,3,FALSE))," ",VLOOKUP(Tableau1[[#This Row],[Code]],'CODE mchn'!$A$4:$C$71,3,FALSE))</f>
        <v>Poyatos 2</v>
      </c>
      <c r="E52" s="6">
        <v>800</v>
      </c>
      <c r="F52" s="6" t="s">
        <v>128</v>
      </c>
      <c r="G52" s="6" t="s">
        <v>140</v>
      </c>
      <c r="H52" s="14"/>
      <c r="I52" s="7" t="s">
        <v>141</v>
      </c>
    </row>
    <row r="53" spans="1:9" ht="18.95" customHeight="1" thickBot="1">
      <c r="A53" s="5">
        <v>43505</v>
      </c>
      <c r="B53" s="6" t="str">
        <f>IF(ISNA(VLOOKUP(Tableau1[[#This Row],[Code]],'CODE mchn'!$A$4:$C$71,2,FALSE))," ",VLOOKUP(Tableau1[[#This Row],[Code]],'CODE mchn'!$A$4:$C$71,2,FALSE))</f>
        <v>Béton</v>
      </c>
      <c r="C53" s="6" t="s">
        <v>19</v>
      </c>
      <c r="D53" s="6" t="str">
        <f>IF(ISNA(VLOOKUP(Tableau1[[#This Row],[Code]],'CODE mchn'!$A$4:$C$71,3,FALSE))," ",VLOOKUP(Tableau1[[#This Row],[Code]],'CODE mchn'!$A$4:$C$71,3,FALSE))</f>
        <v>Poyatos 1</v>
      </c>
      <c r="E53" s="6">
        <v>700</v>
      </c>
      <c r="F53" s="6" t="s">
        <v>110</v>
      </c>
      <c r="G53" s="6" t="s">
        <v>142</v>
      </c>
      <c r="H53" s="14"/>
      <c r="I53" s="7" t="s">
        <v>143</v>
      </c>
    </row>
    <row r="54" spans="1:9" ht="18.95" customHeight="1" thickBot="1">
      <c r="A54" s="5">
        <v>43505</v>
      </c>
      <c r="B54" s="6" t="str">
        <f>IF(ISNA(VLOOKUP(Tableau1[[#This Row],[Code]],'CODE mchn'!$A$4:$C$71,2,FALSE))," ",VLOOKUP(Tableau1[[#This Row],[Code]],'CODE mchn'!$A$4:$C$71,2,FALSE))</f>
        <v>Acier</v>
      </c>
      <c r="C54" s="6" t="s">
        <v>144</v>
      </c>
      <c r="D54" s="6" t="str">
        <f>IF(ISNA(VLOOKUP(Tableau1[[#This Row],[Code]],'CODE mchn'!$A$4:$C$71,3,FALSE))," ",VLOOKUP(Tableau1[[#This Row],[Code]],'CODE mchn'!$A$4:$C$71,3,FALSE))</f>
        <v>EVG GE12</v>
      </c>
      <c r="E54" s="6">
        <v>565</v>
      </c>
      <c r="F54" s="6" t="s">
        <v>145</v>
      </c>
      <c r="G54" s="6" t="s">
        <v>146</v>
      </c>
      <c r="H54" s="14"/>
      <c r="I54" s="7" t="s">
        <v>147</v>
      </c>
    </row>
    <row r="55" spans="1:9" ht="18.95" customHeight="1" thickBot="1">
      <c r="A55" s="5">
        <v>43505</v>
      </c>
      <c r="B55" s="6" t="str">
        <f>IF(ISNA(VLOOKUP(Tableau1[[#This Row],[Code]],'CODE mchn'!$A$4:$C$71,2,FALSE))," ",VLOOKUP(Tableau1[[#This Row],[Code]],'CODE mchn'!$A$4:$C$71,2,FALSE))</f>
        <v>Ponts roulants</v>
      </c>
      <c r="C55" s="6" t="s">
        <v>63</v>
      </c>
      <c r="D55" s="6" t="str">
        <f>IF(ISNA(VLOOKUP(Tableau1[[#This Row],[Code]],'CODE mchn'!$A$4:$C$71,3,FALSE))," ",VLOOKUP(Tableau1[[#This Row],[Code]],'CODE mchn'!$A$4:$C$71,3,FALSE))</f>
        <v>Pont roulant Demag 5T (milieu)</v>
      </c>
      <c r="E55" s="6">
        <v>568</v>
      </c>
      <c r="F55" s="6" t="s">
        <v>80</v>
      </c>
      <c r="G55" s="6" t="s">
        <v>148</v>
      </c>
      <c r="H55" s="14"/>
      <c r="I55" s="7" t="s">
        <v>149</v>
      </c>
    </row>
    <row r="56" spans="1:9" ht="18.95" customHeight="1" thickBot="1">
      <c r="A56" s="5">
        <v>43505</v>
      </c>
      <c r="B56" s="6" t="str">
        <f>IF(ISNA(VLOOKUP(Tableau1[[#This Row],[Code]],'CODE mchn'!$A$4:$C$71,2,FALSE))," ",VLOOKUP(Tableau1[[#This Row],[Code]],'CODE mchn'!$A$4:$C$71,2,FALSE))</f>
        <v>Acier</v>
      </c>
      <c r="C56" s="6" t="s">
        <v>13</v>
      </c>
      <c r="D56" s="6" t="str">
        <f>IF(ISNA(VLOOKUP(Tableau1[[#This Row],[Code]],'CODE mchn'!$A$4:$C$71,3,FALSE))," ",VLOOKUP(Tableau1[[#This Row],[Code]],'CODE mchn'!$A$4:$C$71,3,FALSE))</f>
        <v>Teurema 2</v>
      </c>
      <c r="E56" s="6">
        <v>582</v>
      </c>
      <c r="F56" s="6" t="s">
        <v>122</v>
      </c>
      <c r="G56" s="6" t="s">
        <v>150</v>
      </c>
      <c r="H56" s="14"/>
      <c r="I56" s="7" t="s">
        <v>151</v>
      </c>
    </row>
    <row r="57" spans="1:9" ht="18.95" customHeight="1" thickBot="1">
      <c r="A57" s="5">
        <v>43507</v>
      </c>
      <c r="B57" s="6" t="str">
        <f>IF(ISNA(VLOOKUP(Tableau1[[#This Row],[Code]],'CODE mchn'!$A$4:$C$71,2,FALSE))," ",VLOOKUP(Tableau1[[#This Row],[Code]],'CODE mchn'!$A$4:$C$71,2,FALSE))</f>
        <v>Béton</v>
      </c>
      <c r="C57" s="6" t="s">
        <v>152</v>
      </c>
      <c r="D57" s="6" t="str">
        <f>IF(ISNA(VLOOKUP(Tableau1[[#This Row],[Code]],'CODE mchn'!$A$4:$C$71,3,FALSE))," ",VLOOKUP(Tableau1[[#This Row],[Code]],'CODE mchn'!$A$4:$C$71,3,FALSE))</f>
        <v>Poyatos 1</v>
      </c>
      <c r="E57" s="6">
        <v>700</v>
      </c>
      <c r="F57" s="6" t="s">
        <v>120</v>
      </c>
      <c r="G57" s="6" t="s">
        <v>153</v>
      </c>
      <c r="H57" s="14"/>
      <c r="I57" s="7" t="s">
        <v>154</v>
      </c>
    </row>
    <row r="58" spans="1:9" ht="18.95" customHeight="1" thickBot="1">
      <c r="A58" s="5">
        <v>43507</v>
      </c>
      <c r="B58" s="6" t="str">
        <f>IF(ISNA(VLOOKUP(Tableau1[[#This Row],[Code]],'CODE mchn'!$A$4:$C$71,2,FALSE))," ",VLOOKUP(Tableau1[[#This Row],[Code]],'CODE mchn'!$A$4:$C$71,2,FALSE))</f>
        <v>Béton</v>
      </c>
      <c r="C58" s="6" t="s">
        <v>13</v>
      </c>
      <c r="D58" s="6" t="str">
        <f>IF(ISNA(VLOOKUP(Tableau1[[#This Row],[Code]],'CODE mchn'!$A$4:$C$71,3,FALSE))," ",VLOOKUP(Tableau1[[#This Row],[Code]],'CODE mchn'!$A$4:$C$71,3,FALSE))</f>
        <v>Poyatos 1</v>
      </c>
      <c r="E58" s="6">
        <v>700</v>
      </c>
      <c r="F58" s="6" t="s">
        <v>43</v>
      </c>
      <c r="G58" s="6" t="s">
        <v>155</v>
      </c>
      <c r="H58" s="14"/>
      <c r="I58" s="7" t="s">
        <v>85</v>
      </c>
    </row>
    <row r="59" spans="1:9" ht="18.95" customHeight="1" thickBot="1">
      <c r="A59" s="5">
        <v>43507</v>
      </c>
      <c r="B59" s="6" t="str">
        <f>IF(ISNA(VLOOKUP(Tableau1[[#This Row],[Code]],'CODE mchn'!$A$4:$C$71,2,FALSE))," ",VLOOKUP(Tableau1[[#This Row],[Code]],'CODE mchn'!$A$4:$C$71,2,FALSE))</f>
        <v>Ponts roulants</v>
      </c>
      <c r="C59" s="6" t="s">
        <v>13</v>
      </c>
      <c r="D59" s="6" t="str">
        <f>IF(ISNA(VLOOKUP(Tableau1[[#This Row],[Code]],'CODE mchn'!$A$4:$C$71,3,FALSE))," ",VLOOKUP(Tableau1[[#This Row],[Code]],'CODE mchn'!$A$4:$C$71,3,FALSE))</f>
        <v>Pont roulant Demag 5T TS</v>
      </c>
      <c r="E59" s="6">
        <v>561</v>
      </c>
      <c r="F59" s="6" t="s">
        <v>52</v>
      </c>
      <c r="G59" s="6" t="s">
        <v>156</v>
      </c>
      <c r="H59" s="14"/>
      <c r="I59" s="7" t="s">
        <v>85</v>
      </c>
    </row>
    <row r="60" spans="1:9" ht="18.95" customHeight="1" thickBot="1">
      <c r="A60" s="5">
        <v>43507</v>
      </c>
      <c r="B60" s="6" t="str">
        <f>IF(ISNA(VLOOKUP(Tableau1[[#This Row],[Code]],'CODE mchn'!$A$4:$C$71,2,FALSE))," ",VLOOKUP(Tableau1[[#This Row],[Code]],'CODE mchn'!$A$4:$C$71,2,FALSE))</f>
        <v xml:space="preserve"> </v>
      </c>
      <c r="C60" s="6" t="s">
        <v>13</v>
      </c>
      <c r="D60" s="6" t="str">
        <f>IF(ISNA(VLOOKUP(Tableau1[[#This Row],[Code]],'CODE mchn'!$A$4:$C$71,3,FALSE))," ",VLOOKUP(Tableau1[[#This Row],[Code]],'CODE mchn'!$A$4:$C$71,3,FALSE))</f>
        <v xml:space="preserve"> </v>
      </c>
      <c r="E60" s="6">
        <v>603</v>
      </c>
      <c r="F60" s="6" t="s">
        <v>158</v>
      </c>
      <c r="G60" s="6" t="s">
        <v>159</v>
      </c>
      <c r="H60" s="14"/>
      <c r="I60" s="7" t="s">
        <v>85</v>
      </c>
    </row>
    <row r="61" spans="1:9" ht="18.95" customHeight="1" thickBot="1">
      <c r="A61" s="5">
        <v>43507</v>
      </c>
      <c r="B61" s="6" t="str">
        <f>IF(ISNA(VLOOKUP(Tableau1[[#This Row],[Code]],'CODE mchn'!$A$4:$C$71,2,FALSE))," ",VLOOKUP(Tableau1[[#This Row],[Code]],'CODE mchn'!$A$4:$C$71,2,FALSE))</f>
        <v>Acier</v>
      </c>
      <c r="C61" s="6" t="s">
        <v>13</v>
      </c>
      <c r="D61" s="6" t="str">
        <f>IF(ISNA(VLOOKUP(Tableau1[[#This Row],[Code]],'CODE mchn'!$A$4:$C$71,3,FALSE))," ",VLOOKUP(Tableau1[[#This Row],[Code]],'CODE mchn'!$A$4:$C$71,3,FALSE))</f>
        <v>Teurema 3</v>
      </c>
      <c r="E61" s="6">
        <v>590</v>
      </c>
      <c r="F61" s="6" t="s">
        <v>161</v>
      </c>
      <c r="G61" s="6" t="s">
        <v>162</v>
      </c>
      <c r="H61" s="14"/>
      <c r="I61" s="7" t="s">
        <v>163</v>
      </c>
    </row>
    <row r="62" spans="1:9" ht="18.95" customHeight="1" thickBot="1">
      <c r="A62" s="5">
        <v>43507</v>
      </c>
      <c r="B62" s="6" t="str">
        <f>IF(ISNA(VLOOKUP(Tableau1[[#This Row],[Code]],'CODE mchn'!$A$4:$C$71,2,FALSE))," ",VLOOKUP(Tableau1[[#This Row],[Code]],'CODE mchn'!$A$4:$C$71,2,FALSE))</f>
        <v>Ponts roulants</v>
      </c>
      <c r="C62" s="6" t="s">
        <v>13</v>
      </c>
      <c r="D62" s="6" t="str">
        <f>IF(ISNA(VLOOKUP(Tableau1[[#This Row],[Code]],'CODE mchn'!$A$4:$C$71,3,FALSE))," ",VLOOKUP(Tableau1[[#This Row],[Code]],'CODE mchn'!$A$4:$C$71,3,FALSE))</f>
        <v>Pont roulant Abus 5T (teurema1)</v>
      </c>
      <c r="E62" s="6">
        <v>583</v>
      </c>
      <c r="F62" s="6" t="s">
        <v>80</v>
      </c>
      <c r="G62" s="6" t="s">
        <v>164</v>
      </c>
      <c r="H62" s="14"/>
      <c r="I62" s="7" t="s">
        <v>82</v>
      </c>
    </row>
    <row r="63" spans="1:9" ht="18.95" customHeight="1" thickBot="1">
      <c r="A63" s="5">
        <v>43507</v>
      </c>
      <c r="B63" s="6" t="str">
        <f>IF(ISNA(VLOOKUP(Tableau1[[#This Row],[Code]],'CODE mchn'!$A$4:$C$71,2,FALSE))," ",VLOOKUP(Tableau1[[#This Row],[Code]],'CODE mchn'!$A$4:$C$71,2,FALSE))</f>
        <v>Acier</v>
      </c>
      <c r="C63" s="6" t="s">
        <v>13</v>
      </c>
      <c r="D63" s="6" t="str">
        <f>IF(ISNA(VLOOKUP(Tableau1[[#This Row],[Code]],'CODE mchn'!$A$4:$C$71,3,FALSE))," ",VLOOKUP(Tableau1[[#This Row],[Code]],'CODE mchn'!$A$4:$C$71,3,FALSE))</f>
        <v>EVG GE12</v>
      </c>
      <c r="E63" s="6">
        <v>565</v>
      </c>
      <c r="F63" s="6" t="s">
        <v>165</v>
      </c>
      <c r="G63" s="6" t="s">
        <v>166</v>
      </c>
      <c r="H63" s="14"/>
      <c r="I63" s="7" t="s">
        <v>112</v>
      </c>
    </row>
    <row r="64" spans="1:9" ht="18.95" customHeight="1" thickBot="1">
      <c r="A64" s="5">
        <v>43507</v>
      </c>
      <c r="B64" s="6" t="str">
        <f>IF(ISNA(VLOOKUP(Tableau1[[#This Row],[Code]],'CODE mchn'!$A$4:$C$71,2,FALSE))," ",VLOOKUP(Tableau1[[#This Row],[Code]],'CODE mchn'!$A$4:$C$71,2,FALSE))</f>
        <v>Acier</v>
      </c>
      <c r="C64" s="6" t="s">
        <v>26</v>
      </c>
      <c r="D64" s="6" t="str">
        <f>IF(ISNA(VLOOKUP(Tableau1[[#This Row],[Code]],'CODE mchn'!$A$4:$C$71,3,FALSE))," ",VLOOKUP(Tableau1[[#This Row],[Code]],'CODE mchn'!$A$4:$C$71,3,FALSE))</f>
        <v>EVG PN 1</v>
      </c>
      <c r="E64" s="6">
        <v>571</v>
      </c>
      <c r="F64" s="6" t="s">
        <v>27</v>
      </c>
      <c r="G64" s="6" t="s">
        <v>167</v>
      </c>
      <c r="H64" s="14"/>
      <c r="I64" s="7" t="s">
        <v>168</v>
      </c>
    </row>
    <row r="65" spans="1:9" ht="18.95" customHeight="1" thickBot="1">
      <c r="A65" s="5">
        <v>43507</v>
      </c>
      <c r="B65" s="6" t="str">
        <f>IF(ISNA(VLOOKUP(Tableau1[[#This Row],[Code]],'CODE mchn'!$A$4:$C$71,2,FALSE))," ",VLOOKUP(Tableau1[[#This Row],[Code]],'CODE mchn'!$A$4:$C$71,2,FALSE))</f>
        <v>Acier</v>
      </c>
      <c r="C65" s="6" t="s">
        <v>13</v>
      </c>
      <c r="D65" s="6" t="str">
        <f>IF(ISNA(VLOOKUP(Tableau1[[#This Row],[Code]],'CODE mchn'!$A$4:$C$71,3,FALSE))," ",VLOOKUP(Tableau1[[#This Row],[Code]],'CODE mchn'!$A$4:$C$71,3,FALSE))</f>
        <v>Schlatter</v>
      </c>
      <c r="E65" s="6">
        <v>560</v>
      </c>
      <c r="F65" s="6" t="s">
        <v>104</v>
      </c>
      <c r="G65" s="6" t="s">
        <v>169</v>
      </c>
      <c r="H65" s="14"/>
      <c r="I65" s="7" t="s">
        <v>85</v>
      </c>
    </row>
    <row r="66" spans="1:9" ht="18.95" customHeight="1" thickBot="1">
      <c r="A66" s="5">
        <v>43507</v>
      </c>
      <c r="B66" s="6" t="str">
        <f>IF(ISNA(VLOOKUP(Tableau1[[#This Row],[Code]],'CODE mchn'!$A$4:$C$71,2,FALSE))," ",VLOOKUP(Tableau1[[#This Row],[Code]],'CODE mchn'!$A$4:$C$71,2,FALSE))</f>
        <v>Acier</v>
      </c>
      <c r="C66" s="6" t="s">
        <v>13</v>
      </c>
      <c r="D66" s="6" t="str">
        <f>IF(ISNA(VLOOKUP(Tableau1[[#This Row],[Code]],'CODE mchn'!$A$4:$C$71,3,FALSE))," ",VLOOKUP(Tableau1[[#This Row],[Code]],'CODE mchn'!$A$4:$C$71,3,FALSE))</f>
        <v>EVG GE12</v>
      </c>
      <c r="E66" s="6">
        <v>565</v>
      </c>
      <c r="F66" s="6" t="s">
        <v>104</v>
      </c>
      <c r="G66" s="6" t="s">
        <v>170</v>
      </c>
      <c r="H66" s="14"/>
      <c r="I66" s="7" t="s">
        <v>85</v>
      </c>
    </row>
    <row r="67" spans="1:9" ht="18.95" customHeight="1" thickBot="1">
      <c r="A67" s="5">
        <v>43507</v>
      </c>
      <c r="B67" s="6" t="str">
        <f>IF(ISNA(VLOOKUP(Tableau1[[#This Row],[Code]],'CODE mchn'!$A$4:$C$71,2,FALSE))," ",VLOOKUP(Tableau1[[#This Row],[Code]],'CODE mchn'!$A$4:$C$71,2,FALSE))</f>
        <v>Acier</v>
      </c>
      <c r="C67" s="6" t="s">
        <v>19</v>
      </c>
      <c r="D67" s="6" t="str">
        <f>IF(ISNA(VLOOKUP(Tableau1[[#This Row],[Code]],'CODE mchn'!$A$4:$C$71,3,FALSE))," ",VLOOKUP(Tableau1[[#This Row],[Code]],'CODE mchn'!$A$4:$C$71,3,FALSE))</f>
        <v>Teurema 2</v>
      </c>
      <c r="E67" s="6">
        <v>582</v>
      </c>
      <c r="F67" s="6" t="s">
        <v>171</v>
      </c>
      <c r="G67" s="6" t="s">
        <v>172</v>
      </c>
      <c r="H67" s="14"/>
      <c r="I67" s="7" t="s">
        <v>85</v>
      </c>
    </row>
    <row r="68" spans="1:9" ht="18.95" customHeight="1" thickBot="1">
      <c r="A68" s="5">
        <v>43507</v>
      </c>
      <c r="B68" s="6" t="str">
        <f>IF(ISNA(VLOOKUP(Tableau1[[#This Row],[Code]],'CODE mchn'!$A$4:$C$71,2,FALSE))," ",VLOOKUP(Tableau1[[#This Row],[Code]],'CODE mchn'!$A$4:$C$71,2,FALSE))</f>
        <v>Acier</v>
      </c>
      <c r="C68" s="6" t="s">
        <v>144</v>
      </c>
      <c r="D68" s="6" t="str">
        <f>IF(ISNA(VLOOKUP(Tableau1[[#This Row],[Code]],'CODE mchn'!$A$4:$C$71,3,FALSE))," ",VLOOKUP(Tableau1[[#This Row],[Code]],'CODE mchn'!$A$4:$C$71,3,FALSE))</f>
        <v>Teurema 2</v>
      </c>
      <c r="E68" s="6">
        <v>582</v>
      </c>
      <c r="F68" s="6" t="s">
        <v>173</v>
      </c>
      <c r="G68" s="6" t="s">
        <v>174</v>
      </c>
      <c r="H68" s="14"/>
      <c r="I68" s="7" t="s">
        <v>175</v>
      </c>
    </row>
    <row r="69" spans="1:9" ht="18.95" customHeight="1" thickBot="1">
      <c r="A69" s="5">
        <v>43507</v>
      </c>
      <c r="B69" s="6" t="str">
        <f>IF(ISNA(VLOOKUP(Tableau1[[#This Row],[Code]],'CODE mchn'!$A$4:$C$71,2,FALSE))," ",VLOOKUP(Tableau1[[#This Row],[Code]],'CODE mchn'!$A$4:$C$71,2,FALSE))</f>
        <v>Acier</v>
      </c>
      <c r="C69" s="6" t="s">
        <v>13</v>
      </c>
      <c r="D69" s="6" t="str">
        <f>IF(ISNA(VLOOKUP(Tableau1[[#This Row],[Code]],'CODE mchn'!$A$4:$C$71,3,FALSE))," ",VLOOKUP(Tableau1[[#This Row],[Code]],'CODE mchn'!$A$4:$C$71,3,FALSE))</f>
        <v>Teurema 2</v>
      </c>
      <c r="E69" s="6">
        <v>582</v>
      </c>
      <c r="F69" s="6" t="s">
        <v>122</v>
      </c>
      <c r="G69" s="6" t="s">
        <v>176</v>
      </c>
      <c r="H69" s="14"/>
      <c r="I69" s="7" t="s">
        <v>112</v>
      </c>
    </row>
    <row r="70" spans="1:9" ht="18.95" customHeight="1" thickBot="1">
      <c r="A70" s="5">
        <v>43508</v>
      </c>
      <c r="B70" s="6" t="str">
        <f>IF(ISNA(VLOOKUP(Tableau1[[#This Row],[Code]],'CODE mchn'!$A$4:$C$71,2,FALSE))," ",VLOOKUP(Tableau1[[#This Row],[Code]],'CODE mchn'!$A$4:$C$71,2,FALSE))</f>
        <v>Acier</v>
      </c>
      <c r="C70" s="6" t="s">
        <v>13</v>
      </c>
      <c r="D70" s="6" t="str">
        <f>IF(ISNA(VLOOKUP(Tableau1[[#This Row],[Code]],'CODE mchn'!$A$4:$C$71,3,FALSE))," ",VLOOKUP(Tableau1[[#This Row],[Code]],'CODE mchn'!$A$4:$C$71,3,FALSE))</f>
        <v>TI</v>
      </c>
      <c r="E70" s="6">
        <v>604</v>
      </c>
      <c r="F70" s="6" t="s">
        <v>177</v>
      </c>
      <c r="G70" s="6" t="s">
        <v>178</v>
      </c>
      <c r="H70" s="14"/>
      <c r="I70" s="7" t="s">
        <v>112</v>
      </c>
    </row>
    <row r="71" spans="1:9" ht="18.95" customHeight="1" thickBot="1">
      <c r="A71" s="5">
        <v>43508</v>
      </c>
      <c r="B71" s="6" t="str">
        <f>IF(ISNA(VLOOKUP(Tableau1[[#This Row],[Code]],'CODE mchn'!$A$4:$C$71,2,FALSE))," ",VLOOKUP(Tableau1[[#This Row],[Code]],'CODE mchn'!$A$4:$C$71,2,FALSE))</f>
        <v>Acier</v>
      </c>
      <c r="C71" s="6" t="s">
        <v>13</v>
      </c>
      <c r="D71" s="6" t="str">
        <f>IF(ISNA(VLOOKUP(Tableau1[[#This Row],[Code]],'CODE mchn'!$A$4:$C$71,3,FALSE))," ",VLOOKUP(Tableau1[[#This Row],[Code]],'CODE mchn'!$A$4:$C$71,3,FALSE))</f>
        <v>EVG GE12</v>
      </c>
      <c r="E71" s="6">
        <v>565</v>
      </c>
      <c r="F71" s="6" t="s">
        <v>104</v>
      </c>
      <c r="G71" s="6" t="s">
        <v>179</v>
      </c>
      <c r="H71" s="14"/>
      <c r="I71" s="7" t="s">
        <v>112</v>
      </c>
    </row>
    <row r="72" spans="1:9" ht="18.95" customHeight="1" thickBot="1">
      <c r="A72" s="5">
        <v>43508</v>
      </c>
      <c r="B72" s="6" t="str">
        <f>IF(ISNA(VLOOKUP(Tableau1[[#This Row],[Code]],'CODE mchn'!$A$4:$C$71,2,FALSE))," ",VLOOKUP(Tableau1[[#This Row],[Code]],'CODE mchn'!$A$4:$C$71,2,FALSE))</f>
        <v>Acier</v>
      </c>
      <c r="C72" s="6" t="s">
        <v>26</v>
      </c>
      <c r="D72" s="6" t="str">
        <f>IF(ISNA(VLOOKUP(Tableau1[[#This Row],[Code]],'CODE mchn'!$A$4:$C$71,3,FALSE))," ",VLOOKUP(Tableau1[[#This Row],[Code]],'CODE mchn'!$A$4:$C$71,3,FALSE))</f>
        <v>EVG GE12</v>
      </c>
      <c r="E72" s="6">
        <v>565</v>
      </c>
      <c r="F72" s="6" t="s">
        <v>27</v>
      </c>
      <c r="G72" s="6" t="s">
        <v>180</v>
      </c>
      <c r="H72" s="14"/>
      <c r="I72" s="7" t="s">
        <v>181</v>
      </c>
    </row>
    <row r="73" spans="1:9" ht="18.95" customHeight="1" thickBot="1">
      <c r="A73" s="5">
        <v>43508</v>
      </c>
      <c r="B73" s="6" t="str">
        <f>IF(ISNA(VLOOKUP(Tableau1[[#This Row],[Code]],'CODE mchn'!$A$4:$C$71,2,FALSE))," ",VLOOKUP(Tableau1[[#This Row],[Code]],'CODE mchn'!$A$4:$C$71,2,FALSE))</f>
        <v>Acier</v>
      </c>
      <c r="C73" s="6" t="s">
        <v>182</v>
      </c>
      <c r="D73" s="6" t="str">
        <f>IF(ISNA(VLOOKUP(Tableau1[[#This Row],[Code]],'CODE mchn'!$A$4:$C$71,3,FALSE))," ",VLOOKUP(Tableau1[[#This Row],[Code]],'CODE mchn'!$A$4:$C$71,3,FALSE))</f>
        <v>Schlatter</v>
      </c>
      <c r="E73" s="6">
        <v>560</v>
      </c>
      <c r="F73" s="6" t="s">
        <v>104</v>
      </c>
      <c r="G73" s="6" t="s">
        <v>183</v>
      </c>
      <c r="H73" s="14"/>
      <c r="I73" s="7" t="s">
        <v>184</v>
      </c>
    </row>
    <row r="74" spans="1:9" ht="18.95" customHeight="1" thickBot="1">
      <c r="A74" s="5">
        <v>43508</v>
      </c>
      <c r="B74" s="6" t="str">
        <f>IF(ISNA(VLOOKUP(Tableau1[[#This Row],[Code]],'CODE mchn'!$A$4:$C$71,2,FALSE))," ",VLOOKUP(Tableau1[[#This Row],[Code]],'CODE mchn'!$A$4:$C$71,2,FALSE))</f>
        <v>Béton</v>
      </c>
      <c r="C74" s="6" t="s">
        <v>13</v>
      </c>
      <c r="D74" s="6" t="str">
        <f>IF(ISNA(VLOOKUP(Tableau1[[#This Row],[Code]],'CODE mchn'!$A$4:$C$71,3,FALSE))," ",VLOOKUP(Tableau1[[#This Row],[Code]],'CODE mchn'!$A$4:$C$71,3,FALSE))</f>
        <v>Poyatos 1</v>
      </c>
      <c r="E74" s="6">
        <v>700</v>
      </c>
      <c r="F74" s="6" t="s">
        <v>185</v>
      </c>
      <c r="G74" s="6" t="s">
        <v>186</v>
      </c>
      <c r="H74" s="14"/>
      <c r="I74" s="7" t="s">
        <v>112</v>
      </c>
    </row>
    <row r="75" spans="1:9" ht="18.95" customHeight="1" thickBot="1">
      <c r="A75" s="5">
        <v>43508</v>
      </c>
      <c r="B75" s="6" t="str">
        <f>IF(ISNA(VLOOKUP(Tableau1[[#This Row],[Code]],'CODE mchn'!$A$4:$C$71,2,FALSE))," ",VLOOKUP(Tableau1[[#This Row],[Code]],'CODE mchn'!$A$4:$C$71,2,FALSE))</f>
        <v>Béton</v>
      </c>
      <c r="C75" s="6" t="s">
        <v>107</v>
      </c>
      <c r="D75" s="6" t="str">
        <f>IF(ISNA(VLOOKUP(Tableau1[[#This Row],[Code]],'CODE mchn'!$A$4:$C$71,3,FALSE))," ",VLOOKUP(Tableau1[[#This Row],[Code]],'CODE mchn'!$A$4:$C$71,3,FALSE))</f>
        <v>Poyatos 2</v>
      </c>
      <c r="E75" s="6">
        <v>800</v>
      </c>
      <c r="F75" s="6" t="s">
        <v>185</v>
      </c>
      <c r="G75" s="6" t="s">
        <v>187</v>
      </c>
      <c r="H75" s="14"/>
      <c r="I75" s="7" t="s">
        <v>115</v>
      </c>
    </row>
    <row r="76" spans="1:9" ht="18.95" customHeight="1" thickBot="1">
      <c r="A76" s="5">
        <v>43508</v>
      </c>
      <c r="B76" s="6" t="str">
        <f>IF(ISNA(VLOOKUP(Tableau1[[#This Row],[Code]],'CODE mchn'!$A$4:$C$71,2,FALSE))," ",VLOOKUP(Tableau1[[#This Row],[Code]],'CODE mchn'!$A$4:$C$71,2,FALSE))</f>
        <v>Béton</v>
      </c>
      <c r="C76" s="6" t="s">
        <v>107</v>
      </c>
      <c r="D76" s="6" t="str">
        <f>IF(ISNA(VLOOKUP(Tableau1[[#This Row],[Code]],'CODE mchn'!$A$4:$C$71,3,FALSE))," ",VLOOKUP(Tableau1[[#This Row],[Code]],'CODE mchn'!$A$4:$C$71,3,FALSE))</f>
        <v>Poyatos 2</v>
      </c>
      <c r="E76" s="6">
        <v>800</v>
      </c>
      <c r="F76" s="6" t="s">
        <v>188</v>
      </c>
      <c r="G76" s="6" t="s">
        <v>189</v>
      </c>
      <c r="H76" s="14"/>
      <c r="I76" s="7" t="s">
        <v>115</v>
      </c>
    </row>
    <row r="77" spans="1:9" ht="18.95" customHeight="1" thickBot="1">
      <c r="A77" s="5">
        <v>43508</v>
      </c>
      <c r="B77" s="6" t="str">
        <f>IF(ISNA(VLOOKUP(Tableau1[[#This Row],[Code]],'CODE mchn'!$A$4:$C$71,2,FALSE))," ",VLOOKUP(Tableau1[[#This Row],[Code]],'CODE mchn'!$A$4:$C$71,2,FALSE))</f>
        <v>Acier</v>
      </c>
      <c r="C77" s="6" t="s">
        <v>13</v>
      </c>
      <c r="D77" s="6" t="str">
        <f>IF(ISNA(VLOOKUP(Tableau1[[#This Row],[Code]],'CODE mchn'!$A$4:$C$71,3,FALSE))," ",VLOOKUP(Tableau1[[#This Row],[Code]],'CODE mchn'!$A$4:$C$71,3,FALSE))</f>
        <v>Teurema 1</v>
      </c>
      <c r="E77" s="6">
        <v>581</v>
      </c>
      <c r="F77" s="6" t="s">
        <v>190</v>
      </c>
      <c r="G77" s="6" t="s">
        <v>191</v>
      </c>
      <c r="H77" s="14"/>
      <c r="I77" s="7" t="s">
        <v>112</v>
      </c>
    </row>
    <row r="78" spans="1:9" ht="18.95" customHeight="1" thickBot="1">
      <c r="A78" s="5">
        <v>43508</v>
      </c>
      <c r="B78" s="6" t="str">
        <f>IF(ISNA(VLOOKUP(Tableau1[[#This Row],[Code]],'CODE mchn'!$A$4:$C$71,2,FALSE))," ",VLOOKUP(Tableau1[[#This Row],[Code]],'CODE mchn'!$A$4:$C$71,2,FALSE))</f>
        <v>Acier</v>
      </c>
      <c r="C78" s="6"/>
      <c r="D78" s="6" t="str">
        <f>IF(ISNA(VLOOKUP(Tableau1[[#This Row],[Code]],'CODE mchn'!$A$4:$C$71,3,FALSE))," ",VLOOKUP(Tableau1[[#This Row],[Code]],'CODE mchn'!$A$4:$C$71,3,FALSE))</f>
        <v>Teurema 2</v>
      </c>
      <c r="E78" s="6">
        <v>582</v>
      </c>
      <c r="F78" s="6" t="s">
        <v>192</v>
      </c>
      <c r="G78" s="6" t="s">
        <v>193</v>
      </c>
      <c r="H78" s="14"/>
      <c r="I78" s="7" t="s">
        <v>17</v>
      </c>
    </row>
    <row r="79" spans="1:9" ht="18.75" customHeight="1" thickBot="1">
      <c r="A79" s="5">
        <v>43509</v>
      </c>
      <c r="B79" s="6" t="str">
        <f>IF(ISNA(VLOOKUP(Tableau1[[#This Row],[Code]],'CODE mchn'!$A$4:$C$71,2,FALSE))," ",VLOOKUP(Tableau1[[#This Row],[Code]],'CODE mchn'!$A$4:$C$71,2,FALSE))</f>
        <v>Acier</v>
      </c>
      <c r="C79" s="6" t="s">
        <v>13</v>
      </c>
      <c r="D79" s="6" t="str">
        <f>IF(ISNA(VLOOKUP(Tableau1[[#This Row],[Code]],'CODE mchn'!$A$4:$C$71,3,FALSE))," ",VLOOKUP(Tableau1[[#This Row],[Code]],'CODE mchn'!$A$4:$C$71,3,FALSE))</f>
        <v>EVG GE12</v>
      </c>
      <c r="E79" s="6">
        <v>565</v>
      </c>
      <c r="F79" s="6" t="s">
        <v>104</v>
      </c>
      <c r="G79" s="6" t="s">
        <v>179</v>
      </c>
      <c r="H79" s="14"/>
      <c r="I79" s="7" t="s">
        <v>112</v>
      </c>
    </row>
    <row r="80" spans="1:9" ht="18.75" customHeight="1" thickBot="1">
      <c r="A80" s="5">
        <v>43509</v>
      </c>
      <c r="B80" s="6" t="str">
        <f>IF(ISNA(VLOOKUP(Tableau1[[#This Row],[Code]],'CODE mchn'!$A$4:$C$71,2,FALSE))," ",VLOOKUP(Tableau1[[#This Row],[Code]],'CODE mchn'!$A$4:$C$71,2,FALSE))</f>
        <v xml:space="preserve"> </v>
      </c>
      <c r="C80" s="6" t="s">
        <v>13</v>
      </c>
      <c r="D80" s="6" t="str">
        <f>IF(ISNA(VLOOKUP(Tableau1[[#This Row],[Code]],'CODE mchn'!$A$4:$C$71,3,FALSE))," ",VLOOKUP(Tableau1[[#This Row],[Code]],'CODE mchn'!$A$4:$C$71,3,FALSE))</f>
        <v xml:space="preserve"> </v>
      </c>
      <c r="E80" s="6">
        <v>605</v>
      </c>
      <c r="F80" s="6" t="s">
        <v>78</v>
      </c>
      <c r="G80" s="6" t="s">
        <v>194</v>
      </c>
      <c r="H80" s="14"/>
      <c r="I80" s="7" t="s">
        <v>112</v>
      </c>
    </row>
    <row r="81" spans="1:9" ht="18.95" customHeight="1" thickBot="1">
      <c r="A81" s="5">
        <v>43509</v>
      </c>
      <c r="B81" s="6" t="str">
        <f>IF(ISNA(VLOOKUP(Tableau1[[#This Row],[Code]],'CODE mchn'!$A$4:$C$71,2,FALSE))," ",VLOOKUP(Tableau1[[#This Row],[Code]],'CODE mchn'!$A$4:$C$71,2,FALSE))</f>
        <v>Acier</v>
      </c>
      <c r="C81" s="6" t="s">
        <v>13</v>
      </c>
      <c r="D81" s="6" t="str">
        <f>IF(ISNA(VLOOKUP(Tableau1[[#This Row],[Code]],'CODE mchn'!$A$4:$C$71,3,FALSE))," ",VLOOKUP(Tableau1[[#This Row],[Code]],'CODE mchn'!$A$4:$C$71,3,FALSE))</f>
        <v>Schlatter</v>
      </c>
      <c r="E81" s="6">
        <v>560</v>
      </c>
      <c r="F81" s="6" t="s">
        <v>104</v>
      </c>
      <c r="G81" s="6" t="s">
        <v>195</v>
      </c>
      <c r="H81" s="14"/>
      <c r="I81" s="7" t="s">
        <v>112</v>
      </c>
    </row>
    <row r="82" spans="1:9" ht="18.95" customHeight="1" thickBot="1">
      <c r="A82" s="5">
        <v>43509</v>
      </c>
      <c r="B82" s="6" t="str">
        <f>IF(ISNA(VLOOKUP(Tableau1[[#This Row],[Code]],'CODE mchn'!$A$4:$C$71,2,FALSE))," ",VLOOKUP(Tableau1[[#This Row],[Code]],'CODE mchn'!$A$4:$C$71,2,FALSE))</f>
        <v>Ponts roulants</v>
      </c>
      <c r="C82" s="6" t="s">
        <v>196</v>
      </c>
      <c r="D82" s="6" t="str">
        <f>IF(ISNA(VLOOKUP(Tableau1[[#This Row],[Code]],'CODE mchn'!$A$4:$C$71,3,FALSE))," ",VLOOKUP(Tableau1[[#This Row],[Code]],'CODE mchn'!$A$4:$C$71,3,FALSE))</f>
        <v>Pont roulant Demag 5T (milieu)</v>
      </c>
      <c r="E82" s="6">
        <v>568</v>
      </c>
      <c r="F82" s="6" t="s">
        <v>80</v>
      </c>
      <c r="G82" s="6" t="s">
        <v>81</v>
      </c>
      <c r="H82" s="14"/>
      <c r="I82" s="7" t="s">
        <v>85</v>
      </c>
    </row>
    <row r="83" spans="1:9" ht="18.95" customHeight="1" thickBot="1">
      <c r="A83" s="5">
        <v>43509</v>
      </c>
      <c r="B83" s="6" t="str">
        <f>IF(ISNA(VLOOKUP(Tableau1[[#This Row],[Code]],'CODE mchn'!$A$4:$C$71,2,FALSE))," ",VLOOKUP(Tableau1[[#This Row],[Code]],'CODE mchn'!$A$4:$C$71,2,FALSE))</f>
        <v>Acier</v>
      </c>
      <c r="C83" s="6" t="s">
        <v>19</v>
      </c>
      <c r="D83" s="6" t="str">
        <f>IF(ISNA(VLOOKUP(Tableau1[[#This Row],[Code]],'CODE mchn'!$A$4:$C$71,3,FALSE))," ",VLOOKUP(Tableau1[[#This Row],[Code]],'CODE mchn'!$A$4:$C$71,3,FALSE))</f>
        <v>Teurema 2</v>
      </c>
      <c r="E83" s="6">
        <v>582</v>
      </c>
      <c r="F83" s="6" t="s">
        <v>197</v>
      </c>
      <c r="G83" s="6" t="s">
        <v>198</v>
      </c>
      <c r="H83" s="14"/>
      <c r="I83" s="7" t="s">
        <v>85</v>
      </c>
    </row>
    <row r="84" spans="1:9" ht="18.95" customHeight="1" thickBot="1">
      <c r="A84" s="5">
        <v>43509</v>
      </c>
      <c r="B84" s="6" t="str">
        <f>IF(ISNA(VLOOKUP(Tableau1[[#This Row],[Code]],'CODE mchn'!$A$4:$C$71,2,FALSE))," ",VLOOKUP(Tableau1[[#This Row],[Code]],'CODE mchn'!$A$4:$C$71,2,FALSE))</f>
        <v>Acier</v>
      </c>
      <c r="C84" s="6" t="s">
        <v>13</v>
      </c>
      <c r="D84" s="6" t="str">
        <f>IF(ISNA(VLOOKUP(Tableau1[[#This Row],[Code]],'CODE mchn'!$A$4:$C$71,3,FALSE))," ",VLOOKUP(Tableau1[[#This Row],[Code]],'CODE mchn'!$A$4:$C$71,3,FALSE))</f>
        <v>Schlatter</v>
      </c>
      <c r="E84" s="6">
        <v>560</v>
      </c>
      <c r="F84" s="6" t="s">
        <v>104</v>
      </c>
      <c r="G84" s="6" t="s">
        <v>199</v>
      </c>
      <c r="H84" s="14"/>
      <c r="I84" s="7" t="s">
        <v>85</v>
      </c>
    </row>
    <row r="85" spans="1:9" ht="18.95" customHeight="1" thickBot="1">
      <c r="A85" s="5">
        <v>43510</v>
      </c>
      <c r="B85" s="6" t="str">
        <f>IF(ISNA(VLOOKUP(Tableau1[[#This Row],[Code]],'CODE mchn'!$A$4:$C$71,2,FALSE))," ",VLOOKUP(Tableau1[[#This Row],[Code]],'CODE mchn'!$A$4:$C$71,2,FALSE))</f>
        <v>Béton</v>
      </c>
      <c r="C85" s="6" t="s">
        <v>13</v>
      </c>
      <c r="D85" s="6" t="str">
        <f>IF(ISNA(VLOOKUP(Tableau1[[#This Row],[Code]],'CODE mchn'!$A$4:$C$71,3,FALSE))," ",VLOOKUP(Tableau1[[#This Row],[Code]],'CODE mchn'!$A$4:$C$71,3,FALSE))</f>
        <v>Poyatos 2</v>
      </c>
      <c r="E85" s="6">
        <v>800</v>
      </c>
      <c r="F85" s="6" t="s">
        <v>200</v>
      </c>
      <c r="G85" s="6" t="s">
        <v>302</v>
      </c>
      <c r="H85" s="14"/>
      <c r="I85" s="7"/>
    </row>
    <row r="86" spans="1:9" ht="18.95" customHeight="1" thickBot="1">
      <c r="A86" s="5">
        <v>43516</v>
      </c>
      <c r="B86" s="6" t="str">
        <f>IF(ISNA(VLOOKUP(Tableau1[[#This Row],[Code]],'CODE mchn'!$A$4:$C$71,2,FALSE))," ",VLOOKUP(Tableau1[[#This Row],[Code]],'CODE mchn'!$A$4:$C$71,2,FALSE))</f>
        <v>Ponts roulants</v>
      </c>
      <c r="C86" s="6" t="s">
        <v>13</v>
      </c>
      <c r="D86" s="6" t="str">
        <f>IF(ISNA(VLOOKUP(Tableau1[[#This Row],[Code]],'CODE mchn'!$A$4:$C$71,3,FALSE))," ",VLOOKUP(Tableau1[[#This Row],[Code]],'CODE mchn'!$A$4:$C$71,3,FALSE))</f>
        <v>Pont roulant Demag 5T (milieu)</v>
      </c>
      <c r="E86" s="6">
        <v>568</v>
      </c>
      <c r="F86" s="6" t="s">
        <v>80</v>
      </c>
      <c r="G86" s="6" t="s">
        <v>148</v>
      </c>
      <c r="H86" s="14"/>
      <c r="I86" s="18" t="s">
        <v>207</v>
      </c>
    </row>
    <row r="87" spans="1:9" ht="18.95" customHeight="1" thickBot="1">
      <c r="A87" s="5">
        <v>43519</v>
      </c>
      <c r="B87" s="6" t="str">
        <f>IF(ISNA(VLOOKUP(Tableau1[[#This Row],[Code]],'CODE mchn'!$A$4:$C$71,2,FALSE))," ",VLOOKUP(Tableau1[[#This Row],[Code]],'CODE mchn'!$A$4:$C$71,2,FALSE))</f>
        <v>Acier</v>
      </c>
      <c r="C87" s="6" t="s">
        <v>13</v>
      </c>
      <c r="D87" s="6" t="str">
        <f>IF(ISNA(VLOOKUP(Tableau1[[#This Row],[Code]],'CODE mchn'!$A$4:$C$71,3,FALSE))," ",VLOOKUP(Tableau1[[#This Row],[Code]],'CODE mchn'!$A$4:$C$71,3,FALSE))</f>
        <v>Schlatter</v>
      </c>
      <c r="E87" s="6">
        <v>560</v>
      </c>
      <c r="F87" s="6" t="s">
        <v>104</v>
      </c>
      <c r="G87" s="6" t="s">
        <v>203</v>
      </c>
      <c r="H87" s="14"/>
      <c r="I87" s="7" t="s">
        <v>85</v>
      </c>
    </row>
    <row r="88" spans="1:9" ht="18.95" customHeight="1" thickBot="1">
      <c r="A88" s="5">
        <v>43519</v>
      </c>
      <c r="B88" s="6" t="str">
        <f>IF(ISNA(VLOOKUP(Tableau1[[#This Row],[Code]],'CODE mchn'!$A$4:$C$71,2,FALSE))," ",VLOOKUP(Tableau1[[#This Row],[Code]],'CODE mchn'!$A$4:$C$71,2,FALSE))</f>
        <v>Ponts roulants</v>
      </c>
      <c r="C88" s="6" t="s">
        <v>13</v>
      </c>
      <c r="D88" s="6" t="str">
        <f>IF(ISNA(VLOOKUP(Tableau1[[#This Row],[Code]],'CODE mchn'!$A$4:$C$71,3,FALSE))," ",VLOOKUP(Tableau1[[#This Row],[Code]],'CODE mchn'!$A$4:$C$71,3,FALSE))</f>
        <v xml:space="preserve">Pont roulant Demag 1 3,5T </v>
      </c>
      <c r="E88" s="6">
        <v>573</v>
      </c>
      <c r="F88" s="6" t="s">
        <v>204</v>
      </c>
      <c r="G88" s="6" t="s">
        <v>205</v>
      </c>
      <c r="H88" s="14"/>
      <c r="I88" s="18" t="s">
        <v>206</v>
      </c>
    </row>
    <row r="89" spans="1:9" ht="18.95" customHeight="1" thickBot="1">
      <c r="A89" s="5">
        <v>43521</v>
      </c>
      <c r="B89" s="6" t="str">
        <f>IF(ISNA(VLOOKUP(Tableau1[[#This Row],[Code]],'CODE mchn'!$A$4:$C$71,2,FALSE))," ",VLOOKUP(Tableau1[[#This Row],[Code]],'CODE mchn'!$A$4:$C$71,2,FALSE))</f>
        <v>Acier</v>
      </c>
      <c r="C89" s="6" t="s">
        <v>13</v>
      </c>
      <c r="D89" s="6" t="str">
        <f>IF(ISNA(VLOOKUP(Tableau1[[#This Row],[Code]],'CODE mchn'!$A$4:$C$71,3,FALSE))," ",VLOOKUP(Tableau1[[#This Row],[Code]],'CODE mchn'!$A$4:$C$71,3,FALSE))</f>
        <v>Schlatter</v>
      </c>
      <c r="E89" s="6">
        <v>560</v>
      </c>
      <c r="F89" s="6" t="s">
        <v>104</v>
      </c>
      <c r="G89" s="6" t="s">
        <v>202</v>
      </c>
      <c r="H89" s="14"/>
      <c r="I89" s="7" t="s">
        <v>85</v>
      </c>
    </row>
    <row r="90" spans="1:9" ht="18.95" customHeight="1" thickBot="1">
      <c r="A90" s="5">
        <v>43522</v>
      </c>
      <c r="B90" s="6" t="str">
        <f>IF(ISNA(VLOOKUP(Tableau1[[#This Row],[Code]],'CODE mchn'!$A$4:$C$71,2,FALSE))," ",VLOOKUP(Tableau1[[#This Row],[Code]],'CODE mchn'!$A$4:$C$71,2,FALSE))</f>
        <v>Acier</v>
      </c>
      <c r="C90" s="6" t="s">
        <v>13</v>
      </c>
      <c r="D90" s="6" t="str">
        <f>IF(ISNA(VLOOKUP(Tableau1[[#This Row],[Code]],'CODE mchn'!$A$4:$C$71,3,FALSE))," ",VLOOKUP(Tableau1[[#This Row],[Code]],'CODE mchn'!$A$4:$C$71,3,FALSE))</f>
        <v>Schlatter</v>
      </c>
      <c r="E90" s="6">
        <v>560</v>
      </c>
      <c r="F90" s="6" t="s">
        <v>104</v>
      </c>
      <c r="G90" s="6" t="s">
        <v>201</v>
      </c>
      <c r="H90" s="14"/>
      <c r="I90" s="7" t="s">
        <v>85</v>
      </c>
    </row>
    <row r="91" spans="1:9" ht="18.95" customHeight="1" thickBot="1">
      <c r="A91" s="5">
        <v>43522</v>
      </c>
      <c r="B91" s="6" t="str">
        <f>IF(ISNA(VLOOKUP(Tableau1[[#This Row],[Code]],'CODE mchn'!$A$4:$C$71,2,FALSE))," ",VLOOKUP(Tableau1[[#This Row],[Code]],'CODE mchn'!$A$4:$C$71,2,FALSE))</f>
        <v>Ponts roulants</v>
      </c>
      <c r="C91" s="6" t="s">
        <v>13</v>
      </c>
      <c r="D91" s="6" t="str">
        <f>IF(ISNA(VLOOKUP(Tableau1[[#This Row],[Code]],'CODE mchn'!$A$4:$C$71,3,FALSE))," ",VLOOKUP(Tableau1[[#This Row],[Code]],'CODE mchn'!$A$4:$C$71,3,FALSE))</f>
        <v>Pont roulant Demag 5T (milieu)</v>
      </c>
      <c r="E91" s="6">
        <v>568</v>
      </c>
      <c r="F91" s="6" t="s">
        <v>80</v>
      </c>
      <c r="G91" s="6" t="s">
        <v>208</v>
      </c>
      <c r="H91" s="14"/>
      <c r="I91" s="18" t="s">
        <v>209</v>
      </c>
    </row>
    <row r="92" spans="1:9" ht="18.95" customHeight="1" thickBot="1">
      <c r="A92" s="5">
        <v>43523</v>
      </c>
      <c r="B92" s="6" t="str">
        <f>IF(ISNA(VLOOKUP(Tableau1[[#This Row],[Code]],'CODE mchn'!$A$4:$C$71,2,FALSE))," ",VLOOKUP(Tableau1[[#This Row],[Code]],'CODE mchn'!$A$4:$C$71,2,FALSE))</f>
        <v>Béton</v>
      </c>
      <c r="C92" s="6" t="s">
        <v>13</v>
      </c>
      <c r="D92" s="6" t="str">
        <f>IF(ISNA(VLOOKUP(Tableau1[[#This Row],[Code]],'CODE mchn'!$A$4:$C$71,3,FALSE))," ",VLOOKUP(Tableau1[[#This Row],[Code]],'CODE mchn'!$A$4:$C$71,3,FALSE))</f>
        <v>Poyatos 2</v>
      </c>
      <c r="E92" s="6">
        <v>800</v>
      </c>
      <c r="F92" s="6" t="s">
        <v>210</v>
      </c>
      <c r="G92" s="6" t="s">
        <v>211</v>
      </c>
      <c r="H92" s="14"/>
      <c r="I92" s="7" t="s">
        <v>85</v>
      </c>
    </row>
    <row r="93" spans="1:9" ht="18.95" customHeight="1" thickBot="1">
      <c r="A93" s="5">
        <v>43523</v>
      </c>
      <c r="B93" s="6" t="str">
        <f>IF(ISNA(VLOOKUP(Tableau1[[#This Row],[Code]],'CODE mchn'!$A$4:$C$71,2,FALSE))," ",VLOOKUP(Tableau1[[#This Row],[Code]],'CODE mchn'!$A$4:$C$71,2,FALSE))</f>
        <v>Béton</v>
      </c>
      <c r="C93" s="6" t="s">
        <v>13</v>
      </c>
      <c r="D93" s="6" t="str">
        <f>IF(ISNA(VLOOKUP(Tableau1[[#This Row],[Code]],'CODE mchn'!$A$4:$C$71,3,FALSE))," ",VLOOKUP(Tableau1[[#This Row],[Code]],'CODE mchn'!$A$4:$C$71,3,FALSE))</f>
        <v>Poyatos 1</v>
      </c>
      <c r="E93" s="6">
        <v>700</v>
      </c>
      <c r="F93" s="6" t="s">
        <v>43</v>
      </c>
      <c r="G93" s="6" t="s">
        <v>212</v>
      </c>
      <c r="H93" s="14"/>
      <c r="I93" s="7" t="s">
        <v>85</v>
      </c>
    </row>
    <row r="94" spans="1:9" ht="18.95" customHeight="1" thickBot="1">
      <c r="A94" s="5">
        <v>43525</v>
      </c>
      <c r="B94" s="6" t="str">
        <f>IF(ISNA(VLOOKUP(Tableau1[[#This Row],[Code]],'CODE mchn'!$A$4:$C$71,2,FALSE))," ",VLOOKUP(Tableau1[[#This Row],[Code]],'CODE mchn'!$A$4:$C$71,2,FALSE))</f>
        <v>Acier</v>
      </c>
      <c r="C94" s="6" t="s">
        <v>13</v>
      </c>
      <c r="D94" s="6" t="str">
        <f>IF(ISNA(VLOOKUP(Tableau1[[#This Row],[Code]],'CODE mchn'!$A$4:$C$71,3,FALSE))," ",VLOOKUP(Tableau1[[#This Row],[Code]],'CODE mchn'!$A$4:$C$71,3,FALSE))</f>
        <v>Teurema 1</v>
      </c>
      <c r="E94" s="6">
        <v>581</v>
      </c>
      <c r="F94" s="6" t="s">
        <v>274</v>
      </c>
      <c r="G94" s="6" t="s">
        <v>276</v>
      </c>
      <c r="H94" s="14"/>
      <c r="I94" s="7" t="s">
        <v>85</v>
      </c>
    </row>
    <row r="95" spans="1:9" ht="15" customHeight="1" thickBot="1">
      <c r="A95" s="5">
        <v>43526</v>
      </c>
      <c r="B95" s="6" t="str">
        <f>IF(ISNA(VLOOKUP(Tableau1[[#This Row],[Code]],'CODE mchn'!$A$4:$C$71,2,FALSE))," ",VLOOKUP(Tableau1[[#This Row],[Code]],'CODE mchn'!$A$4:$C$71,2,FALSE))</f>
        <v>Acier</v>
      </c>
      <c r="C95" s="6" t="s">
        <v>13</v>
      </c>
      <c r="D95" s="6" t="str">
        <f>IF(ISNA(VLOOKUP(Tableau1[[#This Row],[Code]],'CODE mchn'!$A$4:$C$71,3,FALSE))," ",VLOOKUP(Tableau1[[#This Row],[Code]],'CODE mchn'!$A$4:$C$71,3,FALSE))</f>
        <v>Schlatter</v>
      </c>
      <c r="E95" s="6">
        <v>560</v>
      </c>
      <c r="F95" s="6" t="s">
        <v>104</v>
      </c>
      <c r="G95" s="6" t="s">
        <v>199</v>
      </c>
      <c r="H95" s="14"/>
      <c r="I95" s="7"/>
    </row>
    <row r="96" spans="1:9" ht="15" customHeight="1" thickBot="1">
      <c r="A96" s="5">
        <v>43528</v>
      </c>
      <c r="B96" s="6" t="str">
        <f>IF(ISNA(VLOOKUP(Tableau1[[#This Row],[Code]],'CODE mchn'!$A$4:$C$71,2,FALSE))," ",VLOOKUP(Tableau1[[#This Row],[Code]],'CODE mchn'!$A$4:$C$71,2,FALSE))</f>
        <v>Béton</v>
      </c>
      <c r="C96" s="6" t="s">
        <v>13</v>
      </c>
      <c r="D96" s="6" t="str">
        <f>IF(ISNA(VLOOKUP(Tableau1[[#This Row],[Code]],'CODE mchn'!$A$4:$C$71,3,FALSE))," ",VLOOKUP(Tableau1[[#This Row],[Code]],'CODE mchn'!$A$4:$C$71,3,FALSE))</f>
        <v>Poyatos 2</v>
      </c>
      <c r="E96" s="6">
        <v>800</v>
      </c>
      <c r="F96" s="6" t="s">
        <v>213</v>
      </c>
      <c r="G96" s="6" t="s">
        <v>297</v>
      </c>
      <c r="H96" s="14"/>
      <c r="I96" s="18" t="s">
        <v>298</v>
      </c>
    </row>
    <row r="97" spans="1:9" ht="15" customHeight="1" thickBot="1">
      <c r="A97" s="5">
        <v>43528</v>
      </c>
      <c r="B97" s="6" t="str">
        <f>IF(ISNA(VLOOKUP(Tableau1[[#This Row],[Code]],'CODE mchn'!$A$4:$C$71,2,FALSE))," ",VLOOKUP(Tableau1[[#This Row],[Code]],'CODE mchn'!$A$4:$C$71,2,FALSE))</f>
        <v>Béton</v>
      </c>
      <c r="C97" s="6" t="s">
        <v>13</v>
      </c>
      <c r="D97" s="6" t="str">
        <f>IF(ISNA(VLOOKUP(Tableau1[[#This Row],[Code]],'CODE mchn'!$A$4:$C$71,3,FALSE))," ",VLOOKUP(Tableau1[[#This Row],[Code]],'CODE mchn'!$A$4:$C$71,3,FALSE))</f>
        <v>Poyatos 1</v>
      </c>
      <c r="E97" s="6">
        <v>700</v>
      </c>
      <c r="F97" s="6" t="s">
        <v>118</v>
      </c>
      <c r="G97" s="6" t="s">
        <v>119</v>
      </c>
      <c r="H97" s="14"/>
      <c r="I97" s="7" t="s">
        <v>85</v>
      </c>
    </row>
    <row r="98" spans="1:9" ht="15" customHeight="1" thickBot="1">
      <c r="A98" s="5">
        <v>43528</v>
      </c>
      <c r="B98" s="6" t="str">
        <f>IF(ISNA(VLOOKUP(Tableau1[[#This Row],[Code]],'CODE mchn'!$A$4:$C$71,2,FALSE))," ",VLOOKUP(Tableau1[[#This Row],[Code]],'CODE mchn'!$A$4:$C$71,2,FALSE))</f>
        <v>Acier</v>
      </c>
      <c r="C98" s="6" t="s">
        <v>13</v>
      </c>
      <c r="D98" s="6" t="str">
        <f>IF(ISNA(VLOOKUP(Tableau1[[#This Row],[Code]],'CODE mchn'!$A$4:$C$71,3,FALSE))," ",VLOOKUP(Tableau1[[#This Row],[Code]],'CODE mchn'!$A$4:$C$71,3,FALSE))</f>
        <v>EVG GE12</v>
      </c>
      <c r="E98" s="6">
        <v>565</v>
      </c>
      <c r="F98" s="6" t="s">
        <v>104</v>
      </c>
      <c r="G98" s="6" t="s">
        <v>277</v>
      </c>
      <c r="H98" s="14"/>
      <c r="I98" s="7"/>
    </row>
    <row r="99" spans="1:9" ht="15" customHeight="1" thickBot="1">
      <c r="A99" s="5">
        <v>43530</v>
      </c>
      <c r="B99" s="6" t="str">
        <f>IF(ISNA(VLOOKUP(Tableau1[[#This Row],[Code]],'CODE mchn'!$A$4:$C$71,2,FALSE))," ",VLOOKUP(Tableau1[[#This Row],[Code]],'CODE mchn'!$A$4:$C$71,2,FALSE))</f>
        <v>Ponts roulants</v>
      </c>
      <c r="C99" s="6" t="s">
        <v>13</v>
      </c>
      <c r="D99" s="6" t="str">
        <f>IF(ISNA(VLOOKUP(Tableau1[[#This Row],[Code]],'CODE mchn'!$A$4:$C$71,3,FALSE))," ",VLOOKUP(Tableau1[[#This Row],[Code]],'CODE mchn'!$A$4:$C$71,3,FALSE))</f>
        <v xml:space="preserve">Pont roulant Demag 1 3,5T </v>
      </c>
      <c r="E99" s="6">
        <v>573</v>
      </c>
      <c r="F99" s="6" t="s">
        <v>52</v>
      </c>
      <c r="G99" s="6" t="s">
        <v>156</v>
      </c>
      <c r="H99" s="14"/>
      <c r="I99" s="7"/>
    </row>
    <row r="100" spans="1:9" ht="15" customHeight="1" thickBot="1">
      <c r="A100" s="5">
        <v>43530</v>
      </c>
      <c r="B100" s="6" t="str">
        <f>IF(ISNA(VLOOKUP(Tableau1[[#This Row],[Code]],'CODE mchn'!$A$4:$C$71,2,FALSE))," ",VLOOKUP(Tableau1[[#This Row],[Code]],'CODE mchn'!$A$4:$C$71,2,FALSE))</f>
        <v>Ponts roulants</v>
      </c>
      <c r="C100" s="6" t="s">
        <v>13</v>
      </c>
      <c r="D100" s="6" t="str">
        <f>IF(ISNA(VLOOKUP(Tableau1[[#This Row],[Code]],'CODE mchn'!$A$4:$C$71,3,FALSE))," ",VLOOKUP(Tableau1[[#This Row],[Code]],'CODE mchn'!$A$4:$C$71,3,FALSE))</f>
        <v>Pont roulant Demag 3,2T (teurema2)</v>
      </c>
      <c r="E100" s="6">
        <v>584</v>
      </c>
      <c r="F100" s="6" t="s">
        <v>35</v>
      </c>
      <c r="G100" s="6" t="s">
        <v>310</v>
      </c>
      <c r="H100" s="14"/>
      <c r="I100" s="7"/>
    </row>
    <row r="101" spans="1:9" ht="15" customHeight="1" thickBot="1">
      <c r="A101" s="5">
        <v>43530</v>
      </c>
      <c r="B101" s="6" t="str">
        <f>IF(ISNA(VLOOKUP(Tableau1[[#This Row],[Code]],'CODE mchn'!$A$4:$C$71,2,FALSE))," ",VLOOKUP(Tableau1[[#This Row],[Code]],'CODE mchn'!$A$4:$C$71,2,FALSE))</f>
        <v>Ponts roulants</v>
      </c>
      <c r="C101" s="6" t="s">
        <v>13</v>
      </c>
      <c r="D101" s="6" t="str">
        <f>IF(ISNA(VLOOKUP(Tableau1[[#This Row],[Code]],'CODE mchn'!$A$4:$C$71,3,FALSE))," ",VLOOKUP(Tableau1[[#This Row],[Code]],'CODE mchn'!$A$4:$C$71,3,FALSE))</f>
        <v>Pont roulant GH Beasain 12T</v>
      </c>
      <c r="E101" s="6">
        <v>562</v>
      </c>
      <c r="F101" s="6" t="s">
        <v>35</v>
      </c>
      <c r="G101" s="6" t="s">
        <v>278</v>
      </c>
      <c r="H101" s="14"/>
      <c r="I101" s="7"/>
    </row>
    <row r="102" spans="1:9" ht="15" customHeight="1" thickBot="1">
      <c r="A102" s="5">
        <v>43531</v>
      </c>
      <c r="B102" s="6" t="str">
        <f>IF(ISNA(VLOOKUP(Tableau1[[#This Row],[Code]],'CODE mchn'!$A$4:$C$71,2,FALSE))," ",VLOOKUP(Tableau1[[#This Row],[Code]],'CODE mchn'!$A$4:$C$71,2,FALSE))</f>
        <v>Acier</v>
      </c>
      <c r="C102" s="6" t="s">
        <v>13</v>
      </c>
      <c r="D102" s="6" t="str">
        <f>IF(ISNA(VLOOKUP(Tableau1[[#This Row],[Code]],'CODE mchn'!$A$4:$C$71,3,FALSE))," ",VLOOKUP(Tableau1[[#This Row],[Code]],'CODE mchn'!$A$4:$C$71,3,FALSE))</f>
        <v>Sigmatic</v>
      </c>
      <c r="E102" s="6">
        <v>570</v>
      </c>
      <c r="F102" s="6" t="s">
        <v>279</v>
      </c>
      <c r="G102" s="6" t="s">
        <v>280</v>
      </c>
      <c r="H102" s="14"/>
      <c r="I102" s="7"/>
    </row>
    <row r="103" spans="1:9" ht="15" customHeight="1" thickBot="1">
      <c r="A103" s="5">
        <v>43531</v>
      </c>
      <c r="B103" s="6" t="str">
        <f>IF(ISNA(VLOOKUP(Tableau1[[#This Row],[Code]],'CODE mchn'!$A$4:$C$71,2,FALSE))," ",VLOOKUP(Tableau1[[#This Row],[Code]],'CODE mchn'!$A$4:$C$71,2,FALSE))</f>
        <v>Acier</v>
      </c>
      <c r="C103" s="6" t="s">
        <v>13</v>
      </c>
      <c r="D103" s="6" t="str">
        <f>IF(ISNA(VLOOKUP(Tableau1[[#This Row],[Code]],'CODE mchn'!$A$4:$C$71,3,FALSE))," ",VLOOKUP(Tableau1[[#This Row],[Code]],'CODE mchn'!$A$4:$C$71,3,FALSE))</f>
        <v>Teurema 3</v>
      </c>
      <c r="E103" s="6">
        <v>590</v>
      </c>
      <c r="F103" s="6" t="s">
        <v>200</v>
      </c>
      <c r="G103" s="6" t="s">
        <v>281</v>
      </c>
      <c r="H103" s="14"/>
      <c r="I103" s="7"/>
    </row>
    <row r="104" spans="1:9" ht="15" customHeight="1" thickBot="1">
      <c r="A104" s="5">
        <v>43531</v>
      </c>
      <c r="B104" s="6" t="str">
        <f>IF(ISNA(VLOOKUP(Tableau1[[#This Row],[Code]],'CODE mchn'!$A$4:$C$71,2,FALSE))," ",VLOOKUP(Tableau1[[#This Row],[Code]],'CODE mchn'!$A$4:$C$71,2,FALSE))</f>
        <v>Ponts roulants</v>
      </c>
      <c r="C104" s="6" t="s">
        <v>13</v>
      </c>
      <c r="D104" s="6" t="str">
        <f>IF(ISNA(VLOOKUP(Tableau1[[#This Row],[Code]],'CODE mchn'!$A$4:$C$71,3,FALSE))," ",VLOOKUP(Tableau1[[#This Row],[Code]],'CODE mchn'!$A$4:$C$71,3,FALSE))</f>
        <v>Pont roulant Abus 5T (teurema1)</v>
      </c>
      <c r="E104" s="6">
        <v>583</v>
      </c>
      <c r="F104" s="6" t="s">
        <v>80</v>
      </c>
      <c r="G104" s="6" t="s">
        <v>311</v>
      </c>
      <c r="H104" s="14"/>
      <c r="I104" s="7"/>
    </row>
    <row r="105" spans="1:9" ht="15" customHeight="1" thickBot="1">
      <c r="A105" s="5">
        <v>43531</v>
      </c>
      <c r="B105" s="6" t="str">
        <f>IF(ISNA(VLOOKUP(Tableau1[[#This Row],[Code]],'CODE mchn'!$A$4:$C$71,2,FALSE))," ",VLOOKUP(Tableau1[[#This Row],[Code]],'CODE mchn'!$A$4:$C$71,2,FALSE))</f>
        <v>Béton</v>
      </c>
      <c r="C105" s="6" t="s">
        <v>13</v>
      </c>
      <c r="D105" s="6" t="str">
        <f>IF(ISNA(VLOOKUP(Tableau1[[#This Row],[Code]],'CODE mchn'!$A$4:$C$71,3,FALSE))," ",VLOOKUP(Tableau1[[#This Row],[Code]],'CODE mchn'!$A$4:$C$71,3,FALSE))</f>
        <v>Poyatos 2</v>
      </c>
      <c r="E105" s="6">
        <v>800</v>
      </c>
      <c r="F105" s="6" t="s">
        <v>289</v>
      </c>
      <c r="G105" s="6" t="s">
        <v>290</v>
      </c>
      <c r="H105" s="14"/>
      <c r="I105" s="7" t="s">
        <v>85</v>
      </c>
    </row>
    <row r="106" spans="1:9" ht="15" customHeight="1" thickBot="1">
      <c r="A106" s="5">
        <v>43531</v>
      </c>
      <c r="B106" s="6" t="str">
        <f>IF(ISNA(VLOOKUP(Tableau1[[#This Row],[Code]],'CODE mchn'!$A$4:$C$71,2,FALSE))," ",VLOOKUP(Tableau1[[#This Row],[Code]],'CODE mchn'!$A$4:$C$71,2,FALSE))</f>
        <v>Acier</v>
      </c>
      <c r="C106" s="6" t="s">
        <v>107</v>
      </c>
      <c r="D106" s="6" t="str">
        <f>IF(ISNA(VLOOKUP(Tableau1[[#This Row],[Code]],'CODE mchn'!$A$4:$C$71,3,FALSE))," ",VLOOKUP(Tableau1[[#This Row],[Code]],'CODE mchn'!$A$4:$C$71,3,FALSE))</f>
        <v>Teurema 1</v>
      </c>
      <c r="E106" s="6">
        <v>581</v>
      </c>
      <c r="F106" s="6" t="s">
        <v>70</v>
      </c>
      <c r="G106" s="6" t="s">
        <v>312</v>
      </c>
      <c r="H106" s="14"/>
      <c r="I106" s="18" t="s">
        <v>313</v>
      </c>
    </row>
    <row r="107" spans="1:9" ht="15" customHeight="1" thickBot="1">
      <c r="A107" s="5">
        <v>43532</v>
      </c>
      <c r="B107" s="6" t="str">
        <f>IF(ISNA(VLOOKUP(Tableau1[[#This Row],[Code]],'CODE mchn'!$A$4:$C$71,2,FALSE))," ",VLOOKUP(Tableau1[[#This Row],[Code]],'CODE mchn'!$A$4:$C$71,2,FALSE))</f>
        <v>Acier</v>
      </c>
      <c r="C107" s="6" t="s">
        <v>13</v>
      </c>
      <c r="D107" s="6" t="str">
        <f>IF(ISNA(VLOOKUP(Tableau1[[#This Row],[Code]],'CODE mchn'!$A$4:$C$71,3,FALSE))," ",VLOOKUP(Tableau1[[#This Row],[Code]],'CODE mchn'!$A$4:$C$71,3,FALSE))</f>
        <v>TI 9505/9</v>
      </c>
      <c r="E107" s="6">
        <v>601</v>
      </c>
      <c r="F107" s="10"/>
      <c r="G107" s="6"/>
      <c r="H107" s="14"/>
      <c r="I107" s="7"/>
    </row>
    <row r="108" spans="1:9" ht="15" customHeight="1" thickBot="1">
      <c r="A108" s="11">
        <v>43532</v>
      </c>
      <c r="B108" s="6" t="str">
        <f>IF(ISNA(VLOOKUP(Tableau1[[#This Row],[Code]],'CODE mchn'!$A$4:$C$71,2,FALSE))," ",VLOOKUP(Tableau1[[#This Row],[Code]],'CODE mchn'!$A$4:$C$71,2,FALSE))</f>
        <v>Acier</v>
      </c>
      <c r="C108" s="12" t="s">
        <v>13</v>
      </c>
      <c r="D108" s="6" t="str">
        <f>IF(ISNA(VLOOKUP(Tableau1[[#This Row],[Code]],'CODE mchn'!$A$4:$C$71,3,FALSE))," ",VLOOKUP(Tableau1[[#This Row],[Code]],'CODE mchn'!$A$4:$C$71,3,FALSE))</f>
        <v>EVG GE12</v>
      </c>
      <c r="E108" s="12">
        <v>565</v>
      </c>
      <c r="F108" s="12" t="s">
        <v>145</v>
      </c>
      <c r="G108" s="6" t="s">
        <v>309</v>
      </c>
      <c r="H108" s="16"/>
      <c r="I108" s="13"/>
    </row>
    <row r="109" spans="1:9" ht="15.75" thickBot="1">
      <c r="A109" s="11">
        <v>43532</v>
      </c>
      <c r="B109" s="6" t="str">
        <f>IF(ISNA(VLOOKUP(Tableau1[[#This Row],[Code]],'CODE mchn'!$A$4:$C$71,2,FALSE))," ",VLOOKUP(Tableau1[[#This Row],[Code]],'CODE mchn'!$A$4:$C$71,2,FALSE))</f>
        <v>Béton</v>
      </c>
      <c r="C109" s="12" t="s">
        <v>13</v>
      </c>
      <c r="D109" s="6" t="str">
        <f>IF(ISNA(VLOOKUP(Tableau1[[#This Row],[Code]],'CODE mchn'!$A$4:$C$71,3,FALSE))," ",VLOOKUP(Tableau1[[#This Row],[Code]],'CODE mchn'!$A$4:$C$71,3,FALSE))</f>
        <v>Poyatos 2</v>
      </c>
      <c r="E109" s="12">
        <v>800</v>
      </c>
      <c r="F109" s="12" t="s">
        <v>291</v>
      </c>
      <c r="G109" s="12" t="s">
        <v>292</v>
      </c>
      <c r="H109" s="16"/>
      <c r="I109" s="17" t="s">
        <v>299</v>
      </c>
    </row>
    <row r="110" spans="1:9" ht="15.75" thickBot="1">
      <c r="A110" s="11">
        <v>43536</v>
      </c>
      <c r="B110" s="6" t="str">
        <f>IF(ISNA(VLOOKUP(Tableau1[[#This Row],[Code]],'CODE mchn'!$A$4:$C$71,2,FALSE))," ",VLOOKUP(Tableau1[[#This Row],[Code]],'CODE mchn'!$A$4:$C$71,2,FALSE))</f>
        <v>Acier</v>
      </c>
      <c r="C110" s="12" t="s">
        <v>13</v>
      </c>
      <c r="D110" s="6" t="str">
        <f>IF(ISNA(VLOOKUP(Tableau1[[#This Row],[Code]],'CODE mchn'!$A$4:$C$71,3,FALSE))," ",VLOOKUP(Tableau1[[#This Row],[Code]],'CODE mchn'!$A$4:$C$71,3,FALSE))</f>
        <v>EVG GE12</v>
      </c>
      <c r="E110" s="12">
        <v>565</v>
      </c>
      <c r="F110" s="12" t="s">
        <v>145</v>
      </c>
      <c r="G110" s="12" t="s">
        <v>282</v>
      </c>
      <c r="H110" s="16"/>
      <c r="I110" s="13"/>
    </row>
    <row r="111" spans="1:9" ht="15.75" thickBot="1">
      <c r="A111" s="11">
        <v>43536</v>
      </c>
      <c r="B111" s="6" t="str">
        <f>IF(ISNA(VLOOKUP(Tableau1[[#This Row],[Code]],'CODE mchn'!$A$4:$C$71,2,FALSE))," ",VLOOKUP(Tableau1[[#This Row],[Code]],'CODE mchn'!$A$4:$C$71,2,FALSE))</f>
        <v>Béton</v>
      </c>
      <c r="C111" s="12" t="s">
        <v>13</v>
      </c>
      <c r="D111" s="6" t="str">
        <f>IF(ISNA(VLOOKUP(Tableau1[[#This Row],[Code]],'CODE mchn'!$A$4:$C$71,3,FALSE))," ",VLOOKUP(Tableau1[[#This Row],[Code]],'CODE mchn'!$A$4:$C$71,3,FALSE))</f>
        <v>Poyatos 2</v>
      </c>
      <c r="E111" s="12">
        <v>800</v>
      </c>
      <c r="F111" s="12" t="s">
        <v>300</v>
      </c>
      <c r="G111" s="12" t="s">
        <v>297</v>
      </c>
      <c r="H111" s="16"/>
      <c r="I111" s="17" t="s">
        <v>301</v>
      </c>
    </row>
    <row r="112" spans="1:9" ht="15.75" thickBot="1">
      <c r="A112" s="11">
        <v>43536</v>
      </c>
      <c r="B112" s="6" t="str">
        <f>IF(ISNA(VLOOKUP(Tableau1[[#This Row],[Code]],'CODE mchn'!$A$4:$C$71,2,FALSE))," ",VLOOKUP(Tableau1[[#This Row],[Code]],'CODE mchn'!$A$4:$C$71,2,FALSE))</f>
        <v>Béton</v>
      </c>
      <c r="C112" s="12" t="s">
        <v>13</v>
      </c>
      <c r="D112" s="6" t="str">
        <f>IF(ISNA(VLOOKUP(Tableau1[[#This Row],[Code]],'CODE mchn'!$A$4:$C$71,3,FALSE))," ",VLOOKUP(Tableau1[[#This Row],[Code]],'CODE mchn'!$A$4:$C$71,3,FALSE))</f>
        <v>Poyatos 1</v>
      </c>
      <c r="E112" s="12">
        <v>700</v>
      </c>
      <c r="F112" s="12" t="s">
        <v>118</v>
      </c>
      <c r="G112" s="12" t="s">
        <v>304</v>
      </c>
      <c r="H112" s="16"/>
      <c r="I112" s="17" t="s">
        <v>305</v>
      </c>
    </row>
    <row r="113" spans="1:9" ht="15.75" thickBot="1">
      <c r="A113" s="11">
        <v>43537</v>
      </c>
      <c r="B113" s="6" t="str">
        <f>IF(ISNA(VLOOKUP(Tableau1[[#This Row],[Code]],'CODE mchn'!$A$4:$C$71,2,FALSE))," ",VLOOKUP(Tableau1[[#This Row],[Code]],'CODE mchn'!$A$4:$C$71,2,FALSE))</f>
        <v>Acier</v>
      </c>
      <c r="C113" s="12" t="s">
        <v>13</v>
      </c>
      <c r="D113" s="6" t="str">
        <f>IF(ISNA(VLOOKUP(Tableau1[[#This Row],[Code]],'CODE mchn'!$A$4:$C$71,3,FALSE))," ",VLOOKUP(Tableau1[[#This Row],[Code]],'CODE mchn'!$A$4:$C$71,3,FALSE))</f>
        <v>Schlatter</v>
      </c>
      <c r="E113" s="12">
        <v>560</v>
      </c>
      <c r="F113" s="12" t="s">
        <v>104</v>
      </c>
      <c r="G113" s="12" t="s">
        <v>199</v>
      </c>
      <c r="H113" s="16"/>
      <c r="I113" s="13"/>
    </row>
    <row r="114" spans="1:9" ht="15.75" thickBot="1">
      <c r="A114" s="11">
        <v>43537</v>
      </c>
      <c r="B114" s="6" t="str">
        <f>IF(ISNA(VLOOKUP(Tableau1[[#This Row],[Code]],'CODE mchn'!$A$4:$C$71,2,FALSE))," ",VLOOKUP(Tableau1[[#This Row],[Code]],'CODE mchn'!$A$4:$C$71,2,FALSE))</f>
        <v>Acier</v>
      </c>
      <c r="C114" s="12" t="s">
        <v>13</v>
      </c>
      <c r="D114" s="6" t="str">
        <f>IF(ISNA(VLOOKUP(Tableau1[[#This Row],[Code]],'CODE mchn'!$A$4:$C$71,3,FALSE))," ",VLOOKUP(Tableau1[[#This Row],[Code]],'CODE mchn'!$A$4:$C$71,3,FALSE))</f>
        <v>Teurema 1</v>
      </c>
      <c r="E114" s="12">
        <v>581</v>
      </c>
      <c r="F114" s="12" t="s">
        <v>274</v>
      </c>
      <c r="G114" s="12" t="s">
        <v>283</v>
      </c>
      <c r="H114" s="16"/>
      <c r="I114" s="13"/>
    </row>
    <row r="115" spans="1:9" ht="15.75" thickBot="1">
      <c r="A115" s="11">
        <v>43538</v>
      </c>
      <c r="B115" s="6" t="str">
        <f>IF(ISNA(VLOOKUP(Tableau1[[#This Row],[Code]],'CODE mchn'!$A$4:$C$71,2,FALSE))," ",VLOOKUP(Tableau1[[#This Row],[Code]],'CODE mchn'!$A$4:$C$71,2,FALSE))</f>
        <v>Ponts roulants</v>
      </c>
      <c r="C115" s="12" t="s">
        <v>63</v>
      </c>
      <c r="D115" s="6" t="str">
        <f>IF(ISNA(VLOOKUP(Tableau1[[#This Row],[Code]],'CODE mchn'!$A$4:$C$71,3,FALSE))," ",VLOOKUP(Tableau1[[#This Row],[Code]],'CODE mchn'!$A$4:$C$71,3,FALSE))</f>
        <v xml:space="preserve">Pont roulant Demag 1 3,5T </v>
      </c>
      <c r="E115" s="12">
        <v>573</v>
      </c>
      <c r="F115" s="12" t="s">
        <v>204</v>
      </c>
      <c r="G115" s="12" t="s">
        <v>284</v>
      </c>
      <c r="H115" s="16"/>
      <c r="I115" s="17" t="s">
        <v>285</v>
      </c>
    </row>
    <row r="116" spans="1:9" ht="15.75" thickBot="1">
      <c r="A116" s="11">
        <v>43538</v>
      </c>
      <c r="B116" s="6" t="str">
        <f>IF(ISNA(VLOOKUP(Tableau1[[#This Row],[Code]],'CODE mchn'!$A$4:$C$71,2,FALSE))," ",VLOOKUP(Tableau1[[#This Row],[Code]],'CODE mchn'!$A$4:$C$71,2,FALSE))</f>
        <v>Béton</v>
      </c>
      <c r="C116" s="12" t="s">
        <v>13</v>
      </c>
      <c r="D116" s="6" t="str">
        <f>IF(ISNA(VLOOKUP(Tableau1[[#This Row],[Code]],'CODE mchn'!$A$4:$C$71,3,FALSE))," ",VLOOKUP(Tableau1[[#This Row],[Code]],'CODE mchn'!$A$4:$C$71,3,FALSE))</f>
        <v>Poyatos 2</v>
      </c>
      <c r="E116" s="12">
        <v>800</v>
      </c>
      <c r="F116" s="12" t="s">
        <v>306</v>
      </c>
      <c r="G116" s="12" t="s">
        <v>307</v>
      </c>
      <c r="H116" s="16"/>
      <c r="I116" s="13" t="s">
        <v>85</v>
      </c>
    </row>
    <row r="117" spans="1:9" ht="15.75" thickBot="1">
      <c r="A117" s="11">
        <v>43539</v>
      </c>
      <c r="B117" s="6" t="str">
        <f>IF(ISNA(VLOOKUP(Tableau1[[#This Row],[Code]],'CODE mchn'!$A$4:$C$71,2,FALSE))," ",VLOOKUP(Tableau1[[#This Row],[Code]],'CODE mchn'!$A$4:$C$71,2,FALSE))</f>
        <v>Ponts roulants</v>
      </c>
      <c r="C117" s="12" t="s">
        <v>63</v>
      </c>
      <c r="D117" s="6" t="str">
        <f>IF(ISNA(VLOOKUP(Tableau1[[#This Row],[Code]],'CODE mchn'!$A$4:$C$71,3,FALSE))," ",VLOOKUP(Tableau1[[#This Row],[Code]],'CODE mchn'!$A$4:$C$71,3,FALSE))</f>
        <v>Pont roulant Abus 5T (teurema1)</v>
      </c>
      <c r="E117" s="12">
        <v>583</v>
      </c>
      <c r="F117" s="12" t="s">
        <v>204</v>
      </c>
      <c r="G117" s="12" t="s">
        <v>286</v>
      </c>
      <c r="H117" s="16"/>
      <c r="I117" s="13"/>
    </row>
    <row r="118" spans="1:9" ht="15.75" thickBot="1">
      <c r="A118" s="11">
        <v>43539</v>
      </c>
      <c r="B118" s="6" t="str">
        <f>IF(ISNA(VLOOKUP(Tableau1[[#This Row],[Code]],'CODE mchn'!$A$4:$C$71,2,FALSE))," ",VLOOKUP(Tableau1[[#This Row],[Code]],'CODE mchn'!$A$4:$C$71,2,FALSE))</f>
        <v>Béton</v>
      </c>
      <c r="C118" s="12" t="s">
        <v>13</v>
      </c>
      <c r="D118" s="6" t="str">
        <f>IF(ISNA(VLOOKUP(Tableau1[[#This Row],[Code]],'CODE mchn'!$A$4:$C$71,3,FALSE))," ",VLOOKUP(Tableau1[[#This Row],[Code]],'CODE mchn'!$A$4:$C$71,3,FALSE))</f>
        <v>Poyatos 2</v>
      </c>
      <c r="E118" s="12">
        <v>800</v>
      </c>
      <c r="F118" s="12" t="s">
        <v>185</v>
      </c>
      <c r="G118" s="12" t="s">
        <v>303</v>
      </c>
      <c r="H118" s="16"/>
      <c r="I118" s="13" t="s">
        <v>85</v>
      </c>
    </row>
    <row r="119" spans="1:9" ht="15.75" thickBot="1">
      <c r="A119" s="11">
        <v>43539</v>
      </c>
      <c r="B119" s="6" t="str">
        <f>IF(ISNA(VLOOKUP(Tableau1[[#This Row],[Code]],'CODE mchn'!$A$4:$C$71,2,FALSE))," ",VLOOKUP(Tableau1[[#This Row],[Code]],'CODE mchn'!$A$4:$C$71,2,FALSE))</f>
        <v>Béton</v>
      </c>
      <c r="C119" s="12" t="s">
        <v>13</v>
      </c>
      <c r="D119" s="6" t="str">
        <f>IF(ISNA(VLOOKUP(Tableau1[[#This Row],[Code]],'CODE mchn'!$A$4:$C$71,3,FALSE))," ",VLOOKUP(Tableau1[[#This Row],[Code]],'CODE mchn'!$A$4:$C$71,3,FALSE))</f>
        <v>Poyatos 2</v>
      </c>
      <c r="E119" s="12">
        <v>800</v>
      </c>
      <c r="F119" s="12" t="s">
        <v>43</v>
      </c>
      <c r="G119" s="12" t="s">
        <v>308</v>
      </c>
      <c r="H119" s="16"/>
      <c r="I119" s="13" t="s">
        <v>85</v>
      </c>
    </row>
    <row r="120" spans="1:9" ht="15.75" thickBot="1">
      <c r="A120" s="11">
        <v>43540</v>
      </c>
      <c r="B120" s="6" t="str">
        <f>IF(ISNA(VLOOKUP(Tableau1[[#This Row],[Code]],'CODE mchn'!$A$4:$C$71,2,FALSE))," ",VLOOKUP(Tableau1[[#This Row],[Code]],'CODE mchn'!$A$4:$C$71,2,FALSE))</f>
        <v xml:space="preserve"> </v>
      </c>
      <c r="C120" s="12" t="s">
        <v>63</v>
      </c>
      <c r="D120" s="6" t="str">
        <f>IF(ISNA(VLOOKUP(Tableau1[[#This Row],[Code]],'CODE mchn'!$A$4:$C$71,3,FALSE))," ",VLOOKUP(Tableau1[[#This Row],[Code]],'CODE mchn'!$A$4:$C$71,3,FALSE))</f>
        <v xml:space="preserve"> </v>
      </c>
      <c r="E120" s="12">
        <v>605</v>
      </c>
      <c r="F120" s="12" t="s">
        <v>78</v>
      </c>
      <c r="G120" s="12" t="s">
        <v>287</v>
      </c>
      <c r="H120" s="16"/>
      <c r="I120" s="17" t="s">
        <v>288</v>
      </c>
    </row>
    <row r="121" spans="1:9" ht="15.75" thickBot="1">
      <c r="A121" s="11">
        <v>43542</v>
      </c>
      <c r="B121" s="6" t="str">
        <f>IF(ISNA(VLOOKUP(Tableau1[[#This Row],[Code]],'CODE mchn'!$A$4:$C$71,2,FALSE))," ",VLOOKUP(Tableau1[[#This Row],[Code]],'CODE mchn'!$A$4:$C$71,2,FALSE))</f>
        <v>Acier</v>
      </c>
      <c r="C121" s="12" t="s">
        <v>13</v>
      </c>
      <c r="D121" s="6" t="str">
        <f>IF(ISNA(VLOOKUP(Tableau1[[#This Row],[Code]],'CODE mchn'!$A$4:$C$71,3,FALSE))," ",VLOOKUP(Tableau1[[#This Row],[Code]],'CODE mchn'!$A$4:$C$71,3,FALSE))</f>
        <v>Schlatter</v>
      </c>
      <c r="E121" s="12">
        <v>560</v>
      </c>
      <c r="F121" s="12" t="s">
        <v>10</v>
      </c>
      <c r="G121" s="12" t="s">
        <v>320</v>
      </c>
      <c r="H121" s="16"/>
      <c r="I121" s="13"/>
    </row>
    <row r="122" spans="1:9" ht="15.75" thickBot="1">
      <c r="A122" s="11">
        <v>43543</v>
      </c>
      <c r="B122" s="6" t="str">
        <f>IF(ISNA(VLOOKUP(Tableau1[[#This Row],[Code]],'CODE mchn'!$A$4:$C$71,2,FALSE))," ",VLOOKUP(Tableau1[[#This Row],[Code]],'CODE mchn'!$A$4:$C$71,2,FALSE))</f>
        <v>Acier</v>
      </c>
      <c r="C122" s="12" t="s">
        <v>13</v>
      </c>
      <c r="D122" s="6" t="str">
        <f>IF(ISNA(VLOOKUP(Tableau1[[#This Row],[Code]],'CODE mchn'!$A$4:$C$71,3,FALSE))," ",VLOOKUP(Tableau1[[#This Row],[Code]],'CODE mchn'!$A$4:$C$71,3,FALSE))</f>
        <v>Teurema 2</v>
      </c>
      <c r="E122" s="12">
        <v>582</v>
      </c>
      <c r="F122" s="12" t="s">
        <v>275</v>
      </c>
      <c r="G122" s="12" t="s">
        <v>214</v>
      </c>
      <c r="H122" s="16"/>
      <c r="I122" s="13"/>
    </row>
    <row r="123" spans="1:9" ht="15.75" thickBot="1">
      <c r="A123" s="11">
        <v>43535</v>
      </c>
      <c r="B123" s="6" t="str">
        <f>IF(ISNA(VLOOKUP(Tableau1[[#This Row],[Code]],'CODE mchn'!$A$4:$C$71,2,FALSE))," ",VLOOKUP(Tableau1[[#This Row],[Code]],'CODE mchn'!$A$4:$C$71,2,FALSE))</f>
        <v>Béton</v>
      </c>
      <c r="C123" s="12" t="s">
        <v>315</v>
      </c>
      <c r="D123" s="6" t="str">
        <f>IF(ISNA(VLOOKUP(Tableau1[[#This Row],[Code]],'CODE mchn'!$A$4:$C$71,3,FALSE))," ",VLOOKUP(Tableau1[[#This Row],[Code]],'CODE mchn'!$A$4:$C$71,3,FALSE))</f>
        <v>Poyatos 1</v>
      </c>
      <c r="E123" s="12">
        <v>700</v>
      </c>
      <c r="F123" s="12" t="s">
        <v>20</v>
      </c>
      <c r="G123" s="12" t="s">
        <v>314</v>
      </c>
      <c r="H123" s="16"/>
      <c r="I123" s="17" t="s">
        <v>316</v>
      </c>
    </row>
    <row r="124" spans="1:9" ht="15.75" thickBot="1">
      <c r="A124" s="11">
        <v>43544</v>
      </c>
      <c r="B124" s="6" t="str">
        <f>IF(ISNA(VLOOKUP(Tableau1[[#This Row],[Code]],'CODE mchn'!$A$4:$C$71,2,FALSE))," ",VLOOKUP(Tableau1[[#This Row],[Code]],'CODE mchn'!$A$4:$C$71,2,FALSE))</f>
        <v>Béton</v>
      </c>
      <c r="C124" s="12" t="s">
        <v>13</v>
      </c>
      <c r="D124" s="6" t="str">
        <f>IF(ISNA(VLOOKUP(Tableau1[[#This Row],[Code]],'CODE mchn'!$A$4:$C$71,3,FALSE))," ",VLOOKUP(Tableau1[[#This Row],[Code]],'CODE mchn'!$A$4:$C$71,3,FALSE))</f>
        <v>Poyatos 2</v>
      </c>
      <c r="E124" s="12">
        <v>800</v>
      </c>
      <c r="F124" s="12" t="s">
        <v>319</v>
      </c>
      <c r="G124" s="12" t="s">
        <v>317</v>
      </c>
      <c r="H124" s="16"/>
      <c r="I124" s="17" t="s">
        <v>318</v>
      </c>
    </row>
    <row r="125" spans="1:9" ht="15.75" thickBot="1">
      <c r="A125" s="11">
        <v>43552</v>
      </c>
      <c r="B125" s="6" t="str">
        <f>IF(ISNA(VLOOKUP(Tableau1[[#This Row],[Code]],'CODE mchn'!$A$4:$C$71,2,FALSE))," ",VLOOKUP(Tableau1[[#This Row],[Code]],'CODE mchn'!$A$4:$C$71,2,FALSE))</f>
        <v>Acier</v>
      </c>
      <c r="C125" s="12" t="s">
        <v>13</v>
      </c>
      <c r="D125" s="6" t="str">
        <f>IF(ISNA(VLOOKUP(Tableau1[[#This Row],[Code]],'CODE mchn'!$A$4:$C$71,3,FALSE))," ",VLOOKUP(Tableau1[[#This Row],[Code]],'CODE mchn'!$A$4:$C$71,3,FALSE))</f>
        <v>Teurema 1</v>
      </c>
      <c r="E125" s="12">
        <v>581</v>
      </c>
      <c r="F125" s="12" t="s">
        <v>274</v>
      </c>
      <c r="G125" s="12" t="s">
        <v>324</v>
      </c>
      <c r="H125" s="16"/>
      <c r="I125" s="13" t="s">
        <v>85</v>
      </c>
    </row>
    <row r="126" spans="1:9" ht="15.75" thickBot="1">
      <c r="A126" s="11">
        <v>43547</v>
      </c>
      <c r="B126" s="6" t="str">
        <f>IF(ISNA(VLOOKUP(Tableau1[[#This Row],[Code]],'CODE mchn'!$A$4:$C$71,2,FALSE))," ",VLOOKUP(Tableau1[[#This Row],[Code]],'CODE mchn'!$A$4:$C$71,2,FALSE))</f>
        <v xml:space="preserve"> </v>
      </c>
      <c r="C126" s="12" t="s">
        <v>13</v>
      </c>
      <c r="D126" s="6" t="str">
        <f>IF(ISNA(VLOOKUP(Tableau1[[#This Row],[Code]],'CODE mchn'!$A$4:$C$71,3,FALSE))," ",VLOOKUP(Tableau1[[#This Row],[Code]],'CODE mchn'!$A$4:$C$71,3,FALSE))</f>
        <v xml:space="preserve"> </v>
      </c>
      <c r="E126" s="12">
        <v>605</v>
      </c>
      <c r="F126" s="12" t="s">
        <v>78</v>
      </c>
      <c r="G126" s="12" t="s">
        <v>322</v>
      </c>
      <c r="H126" s="16"/>
      <c r="I126" s="17" t="s">
        <v>323</v>
      </c>
    </row>
    <row r="127" spans="1:9" ht="15.75" thickBot="1">
      <c r="A127" s="11">
        <v>43540</v>
      </c>
      <c r="B127" s="6" t="str">
        <f>IF(ISNA(VLOOKUP(Tableau1[[#This Row],[Code]],'CODE mchn'!$A$4:$C$71,2,FALSE))," ",VLOOKUP(Tableau1[[#This Row],[Code]],'CODE mchn'!$A$4:$C$71,2,FALSE))</f>
        <v>Béton</v>
      </c>
      <c r="C127" s="12" t="s">
        <v>13</v>
      </c>
      <c r="D127" s="6" t="str">
        <f>IF(ISNA(VLOOKUP(Tableau1[[#This Row],[Code]],'CODE mchn'!$A$4:$C$71,3,FALSE))," ",VLOOKUP(Tableau1[[#This Row],[Code]],'CODE mchn'!$A$4:$C$71,3,FALSE))</f>
        <v>Poyatos 1</v>
      </c>
      <c r="E127" s="12">
        <v>700</v>
      </c>
      <c r="F127" s="12" t="s">
        <v>325</v>
      </c>
      <c r="G127" s="12" t="s">
        <v>326</v>
      </c>
      <c r="H127" s="16"/>
      <c r="I127" s="17" t="s">
        <v>85</v>
      </c>
    </row>
    <row r="128" spans="1:9" ht="15.75" thickBot="1">
      <c r="A128" s="11">
        <v>43552</v>
      </c>
      <c r="B128" s="6" t="str">
        <f>IF(ISNA(VLOOKUP(Tableau1[[#This Row],[Code]],'CODE mchn'!$A$4:$C$71,2,FALSE))," ",VLOOKUP(Tableau1[[#This Row],[Code]],'CODE mchn'!$A$4:$C$71,2,FALSE))</f>
        <v>Acier</v>
      </c>
      <c r="C128" s="12" t="s">
        <v>13</v>
      </c>
      <c r="D128" s="6" t="str">
        <f>IF(ISNA(VLOOKUP(Tableau1[[#This Row],[Code]],'CODE mchn'!$A$4:$C$71,3,FALSE))," ",VLOOKUP(Tableau1[[#This Row],[Code]],'CODE mchn'!$A$4:$C$71,3,FALSE))</f>
        <v>Teurema 2</v>
      </c>
      <c r="E128" s="12">
        <v>582</v>
      </c>
      <c r="F128" s="12" t="s">
        <v>192</v>
      </c>
      <c r="G128" s="12"/>
      <c r="H128" s="16"/>
      <c r="I128" s="17" t="s">
        <v>327</v>
      </c>
    </row>
    <row r="129" spans="1:9" ht="15.75" thickBot="1">
      <c r="A129" s="11">
        <v>43556</v>
      </c>
      <c r="B129" s="6" t="str">
        <f>IF(ISNA(VLOOKUP(Tableau1[[#This Row],[Code]],'CODE mchn'!$A$4:$C$71,2,FALSE))," ",VLOOKUP(Tableau1[[#This Row],[Code]],'CODE mchn'!$A$4:$C$71,2,FALSE))</f>
        <v>Ponts roulants</v>
      </c>
      <c r="C129" s="12" t="s">
        <v>13</v>
      </c>
      <c r="D129" s="6" t="str">
        <f>IF(ISNA(VLOOKUP(Tableau1[[#This Row],[Code]],'CODE mchn'!$A$4:$C$71,3,FALSE))," ",VLOOKUP(Tableau1[[#This Row],[Code]],'CODE mchn'!$A$4:$C$71,3,FALSE))</f>
        <v>Pont roulant Demag 5T TS</v>
      </c>
      <c r="E129" s="12">
        <v>561</v>
      </c>
      <c r="F129" s="12" t="s">
        <v>52</v>
      </c>
      <c r="G129" s="12" t="s">
        <v>156</v>
      </c>
      <c r="H129" s="16"/>
      <c r="I129" s="17" t="s">
        <v>328</v>
      </c>
    </row>
    <row r="130" spans="1:9" ht="15.75" thickBot="1">
      <c r="A130" s="11">
        <v>43556</v>
      </c>
      <c r="B130" s="6" t="str">
        <f>IF(ISNA(VLOOKUP(Tableau1[[#This Row],[Code]],'CODE mchn'!$A$4:$C$71,2,FALSE))," ",VLOOKUP(Tableau1[[#This Row],[Code]],'CODE mchn'!$A$4:$C$71,2,FALSE))</f>
        <v>Acier</v>
      </c>
      <c r="C130" s="12" t="s">
        <v>13</v>
      </c>
      <c r="D130" s="6" t="str">
        <f>IF(ISNA(VLOOKUP(Tableau1[[#This Row],[Code]],'CODE mchn'!$A$4:$C$71,3,FALSE))," ",VLOOKUP(Tableau1[[#This Row],[Code]],'CODE mchn'!$A$4:$C$71,3,FALSE))</f>
        <v>Schlatter</v>
      </c>
      <c r="E130" s="12">
        <v>560</v>
      </c>
      <c r="F130" s="12" t="s">
        <v>104</v>
      </c>
      <c r="G130" s="12" t="s">
        <v>330</v>
      </c>
      <c r="H130" s="16"/>
      <c r="I130" s="17" t="s">
        <v>85</v>
      </c>
    </row>
    <row r="131" spans="1:9" ht="15.75" thickBot="1">
      <c r="A131" s="11">
        <v>43556</v>
      </c>
      <c r="B131" s="6" t="str">
        <f>IF(ISNA(VLOOKUP(Tableau1[[#This Row],[Code]],'CODE mchn'!$A$4:$C$71,2,FALSE))," ",VLOOKUP(Tableau1[[#This Row],[Code]],'CODE mchn'!$A$4:$C$71,2,FALSE))</f>
        <v xml:space="preserve"> </v>
      </c>
      <c r="C131" s="12" t="s">
        <v>13</v>
      </c>
      <c r="D131" s="6" t="str">
        <f>IF(ISNA(VLOOKUP(Tableau1[[#This Row],[Code]],'CODE mchn'!$A$4:$C$71,3,FALSE))," ",VLOOKUP(Tableau1[[#This Row],[Code]],'CODE mchn'!$A$4:$C$71,3,FALSE))</f>
        <v xml:space="preserve"> </v>
      </c>
      <c r="E131" s="12">
        <v>605</v>
      </c>
      <c r="F131" s="12" t="s">
        <v>78</v>
      </c>
      <c r="G131" s="12" t="s">
        <v>329</v>
      </c>
      <c r="H131" s="16"/>
      <c r="I131" s="17" t="s">
        <v>85</v>
      </c>
    </row>
    <row r="132" spans="1:9" ht="15.75" thickBot="1">
      <c r="A132" s="11">
        <v>43556</v>
      </c>
      <c r="B132" s="6" t="str">
        <f>IF(ISNA(VLOOKUP(Tableau1[[#This Row],[Code]],'CODE mchn'!$A$4:$C$71,2,FALSE))," ",VLOOKUP(Tableau1[[#This Row],[Code]],'CODE mchn'!$A$4:$C$71,2,FALSE))</f>
        <v>Béton</v>
      </c>
      <c r="C132" s="12" t="s">
        <v>13</v>
      </c>
      <c r="D132" s="6" t="str">
        <f>IF(ISNA(VLOOKUP(Tableau1[[#This Row],[Code]],'CODE mchn'!$A$4:$C$71,3,FALSE))," ",VLOOKUP(Tableau1[[#This Row],[Code]],'CODE mchn'!$A$4:$C$71,3,FALSE))</f>
        <v>Poyatos 1</v>
      </c>
      <c r="E132" s="12">
        <v>700</v>
      </c>
      <c r="F132" s="12" t="s">
        <v>331</v>
      </c>
      <c r="G132" s="12" t="s">
        <v>332</v>
      </c>
      <c r="H132" s="19">
        <v>0.125</v>
      </c>
      <c r="I132" s="17" t="s">
        <v>85</v>
      </c>
    </row>
    <row r="133" spans="1:9" ht="15.75" thickBot="1">
      <c r="A133" s="11">
        <v>43556</v>
      </c>
      <c r="B133" s="6" t="str">
        <f>IF(ISNA(VLOOKUP(Tableau1[[#This Row],[Code]],'CODE mchn'!$A$4:$C$71,2,FALSE))," ",VLOOKUP(Tableau1[[#This Row],[Code]],'CODE mchn'!$A$4:$C$71,2,FALSE))</f>
        <v>Béton</v>
      </c>
      <c r="C133" s="12" t="s">
        <v>8</v>
      </c>
      <c r="D133" s="6" t="str">
        <f>IF(ISNA(VLOOKUP(Tableau1[[#This Row],[Code]],'CODE mchn'!$A$4:$C$71,3,FALSE))," ",VLOOKUP(Tableau1[[#This Row],[Code]],'CODE mchn'!$A$4:$C$71,3,FALSE))</f>
        <v>Poyatos 2</v>
      </c>
      <c r="E133" s="12">
        <v>800</v>
      </c>
      <c r="F133" s="12" t="s">
        <v>331</v>
      </c>
      <c r="G133" s="12" t="s">
        <v>333</v>
      </c>
      <c r="H133" s="16">
        <v>2.0833333333333332E-2</v>
      </c>
      <c r="I133" s="17"/>
    </row>
    <row r="134" spans="1:9" ht="15.75" thickBot="1">
      <c r="A134" s="11">
        <v>43556</v>
      </c>
      <c r="B134" s="6" t="str">
        <f>IF(ISNA(VLOOKUP(Tableau1[[#This Row],[Code]],'CODE mchn'!$A$4:$C$71,2,FALSE))," ",VLOOKUP(Tableau1[[#This Row],[Code]],'CODE mchn'!$A$4:$C$71,2,FALSE))</f>
        <v>Béton</v>
      </c>
      <c r="C134" s="12" t="s">
        <v>13</v>
      </c>
      <c r="D134" s="6" t="str">
        <f>IF(ISNA(VLOOKUP(Tableau1[[#This Row],[Code]],'CODE mchn'!$A$4:$C$71,3,FALSE))," ",VLOOKUP(Tableau1[[#This Row],[Code]],'CODE mchn'!$A$4:$C$71,3,FALSE))</f>
        <v>Poyatos 2</v>
      </c>
      <c r="E134" s="12">
        <v>800</v>
      </c>
      <c r="F134" s="12" t="s">
        <v>335</v>
      </c>
      <c r="G134" s="12" t="s">
        <v>334</v>
      </c>
      <c r="H134" s="16">
        <v>0.125</v>
      </c>
      <c r="I134" s="17"/>
    </row>
    <row r="135" spans="1:9" ht="15.75" thickBot="1">
      <c r="A135" s="11">
        <v>43557</v>
      </c>
      <c r="B135" s="6" t="str">
        <f>IF(ISNA(VLOOKUP(Tableau1[[#This Row],[Code]],'CODE mchn'!$A$4:$C$71,2,FALSE))," ",VLOOKUP(Tableau1[[#This Row],[Code]],'CODE mchn'!$A$4:$C$71,2,FALSE))</f>
        <v>Béton</v>
      </c>
      <c r="C135" s="12" t="s">
        <v>13</v>
      </c>
      <c r="D135" s="6" t="str">
        <f>IF(ISNA(VLOOKUP(Tableau1[[#This Row],[Code]],'CODE mchn'!$A$4:$C$71,3,FALSE))," ",VLOOKUP(Tableau1[[#This Row],[Code]],'CODE mchn'!$A$4:$C$71,3,FALSE))</f>
        <v>Poyatos 1</v>
      </c>
      <c r="E135" s="12">
        <v>700</v>
      </c>
      <c r="F135" s="12" t="s">
        <v>43</v>
      </c>
      <c r="G135" s="12" t="s">
        <v>336</v>
      </c>
      <c r="H135" s="16">
        <v>1.3888888888888888E-2</v>
      </c>
      <c r="I135" s="17"/>
    </row>
    <row r="136" spans="1:9" ht="15.75" thickBot="1">
      <c r="A136" s="11">
        <v>43557</v>
      </c>
      <c r="B136" s="6" t="str">
        <f>IF(ISNA(VLOOKUP(Tableau1[[#This Row],[Code]],'CODE mchn'!$A$4:$C$71,2,FALSE))," ",VLOOKUP(Tableau1[[#This Row],[Code]],'CODE mchn'!$A$4:$C$71,2,FALSE))</f>
        <v>Béton</v>
      </c>
      <c r="C136" s="12" t="s">
        <v>13</v>
      </c>
      <c r="D136" s="6" t="str">
        <f>IF(ISNA(VLOOKUP(Tableau1[[#This Row],[Code]],'CODE mchn'!$A$4:$C$71,3,FALSE))," ",VLOOKUP(Tableau1[[#This Row],[Code]],'CODE mchn'!$A$4:$C$71,3,FALSE))</f>
        <v>Poyatos 1</v>
      </c>
      <c r="E136" s="12">
        <v>700</v>
      </c>
      <c r="F136" s="12" t="s">
        <v>132</v>
      </c>
      <c r="G136" s="12" t="s">
        <v>337</v>
      </c>
      <c r="H136" s="16">
        <v>0</v>
      </c>
      <c r="I136" s="17"/>
    </row>
    <row r="137" spans="1:9" ht="15.75" thickBot="1">
      <c r="A137" s="11">
        <v>43559</v>
      </c>
      <c r="B137" s="6" t="str">
        <f>IF(ISNA(VLOOKUP(Tableau1[[#This Row],[Code]],'CODE mchn'!$A$4:$C$71,2,FALSE))," ",VLOOKUP(Tableau1[[#This Row],[Code]],'CODE mchn'!$A$4:$C$71,2,FALSE))</f>
        <v>Béton</v>
      </c>
      <c r="C137" s="12" t="s">
        <v>13</v>
      </c>
      <c r="D137" s="6" t="str">
        <f>IF(ISNA(VLOOKUP(Tableau1[[#This Row],[Code]],'CODE mchn'!$A$4:$C$71,3,FALSE))," ",VLOOKUP(Tableau1[[#This Row],[Code]],'CODE mchn'!$A$4:$C$71,3,FALSE))</f>
        <v>Poyatos 1</v>
      </c>
      <c r="E137" s="12">
        <v>700</v>
      </c>
      <c r="F137" s="12" t="s">
        <v>291</v>
      </c>
      <c r="G137" s="12" t="s">
        <v>338</v>
      </c>
      <c r="H137" s="16"/>
      <c r="I137" s="17" t="s">
        <v>339</v>
      </c>
    </row>
    <row r="138" spans="1:9" ht="15.75" thickBot="1">
      <c r="A138" s="11">
        <v>43563</v>
      </c>
      <c r="B138" s="6" t="str">
        <f>IF(ISNA(VLOOKUP(Tableau1[[#This Row],[Code]],'CODE mchn'!$A$4:$C$71,2,FALSE))," ",VLOOKUP(Tableau1[[#This Row],[Code]],'CODE mchn'!$A$4:$C$71,2,FALSE))</f>
        <v>Béton</v>
      </c>
      <c r="C138" s="12" t="s">
        <v>13</v>
      </c>
      <c r="D138" s="6" t="str">
        <f>IF(ISNA(VLOOKUP(Tableau1[[#This Row],[Code]],'CODE mchn'!$A$4:$C$71,3,FALSE))," ",VLOOKUP(Tableau1[[#This Row],[Code]],'CODE mchn'!$A$4:$C$71,3,FALSE))</f>
        <v>Poyatos 2</v>
      </c>
      <c r="E138" s="12">
        <v>800</v>
      </c>
      <c r="F138" s="12" t="s">
        <v>331</v>
      </c>
      <c r="G138" s="12" t="s">
        <v>297</v>
      </c>
      <c r="H138" s="16"/>
      <c r="I138" s="17"/>
    </row>
    <row r="139" spans="1:9" ht="15.75" thickBot="1">
      <c r="A139" s="11">
        <v>43563</v>
      </c>
      <c r="B139" s="6" t="str">
        <f>IF(ISNA(VLOOKUP(Tableau1[[#This Row],[Code]],'CODE mchn'!$A$4:$C$71,2,FALSE))," ",VLOOKUP(Tableau1[[#This Row],[Code]],'CODE mchn'!$A$4:$C$71,2,FALSE))</f>
        <v>Béton</v>
      </c>
      <c r="C139" s="12" t="s">
        <v>13</v>
      </c>
      <c r="D139" s="6" t="str">
        <f>IF(ISNA(VLOOKUP(Tableau1[[#This Row],[Code]],'CODE mchn'!$A$4:$C$71,3,FALSE))," ",VLOOKUP(Tableau1[[#This Row],[Code]],'CODE mchn'!$A$4:$C$71,3,FALSE))</f>
        <v>Poyatos 2</v>
      </c>
      <c r="E139" s="12">
        <v>800</v>
      </c>
      <c r="F139" s="12" t="s">
        <v>60</v>
      </c>
      <c r="G139" s="12" t="s">
        <v>340</v>
      </c>
      <c r="H139" s="16"/>
      <c r="I139" s="17"/>
    </row>
  </sheetData>
  <conditionalFormatting sqref="I126">
    <cfRule type="cellIs" dxfId="250" priority="17" operator="equal">
      <formula>"RAS"</formula>
    </cfRule>
  </conditionalFormatting>
  <conditionalFormatting sqref="I127:I139">
    <cfRule type="cellIs" dxfId="249" priority="8" operator="equal">
      <formula>"RAS"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3">
    <tabColor theme="0" tint="-0.499984740745262"/>
  </sheetPr>
  <dimension ref="A1:B140"/>
  <sheetViews>
    <sheetView zoomScale="70" zoomScaleNormal="70" workbookViewId="0">
      <selection activeCell="B1" sqref="B1"/>
    </sheetView>
  </sheetViews>
  <sheetFormatPr baseColWidth="10" defaultRowHeight="15"/>
  <cols>
    <col min="1" max="1" width="35.7109375" bestFit="1" customWidth="1"/>
    <col min="2" max="2" width="30.42578125" bestFit="1" customWidth="1"/>
  </cols>
  <sheetData>
    <row r="1" spans="1:2" ht="15.75" thickBot="1">
      <c r="A1" s="28" t="s">
        <v>3</v>
      </c>
      <c r="B1" s="29" t="s">
        <v>5</v>
      </c>
    </row>
    <row r="2" spans="1:2">
      <c r="A2" s="20" t="s">
        <v>512</v>
      </c>
      <c r="B2" s="20"/>
    </row>
    <row r="3" spans="1:2">
      <c r="A3" s="20" t="s">
        <v>269</v>
      </c>
      <c r="B3" s="20" t="s">
        <v>31</v>
      </c>
    </row>
    <row r="4" spans="1:2">
      <c r="A4" s="20" t="s">
        <v>269</v>
      </c>
      <c r="B4" s="20" t="s">
        <v>378</v>
      </c>
    </row>
    <row r="5" spans="1:2">
      <c r="A5" s="20" t="s">
        <v>240</v>
      </c>
      <c r="B5" s="20" t="s">
        <v>27</v>
      </c>
    </row>
    <row r="6" spans="1:2">
      <c r="A6" s="20" t="s">
        <v>240</v>
      </c>
      <c r="B6" s="20" t="s">
        <v>55</v>
      </c>
    </row>
    <row r="7" spans="1:2">
      <c r="A7" s="20" t="s">
        <v>240</v>
      </c>
      <c r="B7" s="20" t="s">
        <v>97</v>
      </c>
    </row>
    <row r="8" spans="1:2">
      <c r="A8" s="20" t="s">
        <v>240</v>
      </c>
      <c r="B8" s="20" t="s">
        <v>145</v>
      </c>
    </row>
    <row r="9" spans="1:2">
      <c r="A9" s="20" t="s">
        <v>240</v>
      </c>
      <c r="B9" s="20" t="s">
        <v>165</v>
      </c>
    </row>
    <row r="10" spans="1:2">
      <c r="A10" s="20" t="s">
        <v>240</v>
      </c>
      <c r="B10" s="20" t="s">
        <v>104</v>
      </c>
    </row>
    <row r="11" spans="1:2">
      <c r="A11" s="20" t="s">
        <v>240</v>
      </c>
      <c r="B11" s="20" t="s">
        <v>478</v>
      </c>
    </row>
    <row r="12" spans="1:2">
      <c r="A12" s="20" t="s">
        <v>240</v>
      </c>
      <c r="B12" s="20" t="s">
        <v>75</v>
      </c>
    </row>
    <row r="13" spans="1:2">
      <c r="A13" s="20" t="s">
        <v>245</v>
      </c>
      <c r="B13" s="20" t="s">
        <v>10</v>
      </c>
    </row>
    <row r="14" spans="1:2">
      <c r="A14" s="20" t="s">
        <v>245</v>
      </c>
      <c r="B14" s="20" t="s">
        <v>27</v>
      </c>
    </row>
    <row r="15" spans="1:2">
      <c r="A15" s="20" t="s">
        <v>245</v>
      </c>
      <c r="B15" s="20" t="s">
        <v>474</v>
      </c>
    </row>
    <row r="16" spans="1:2">
      <c r="A16" s="20" t="s">
        <v>252</v>
      </c>
      <c r="B16" s="20" t="s">
        <v>470</v>
      </c>
    </row>
    <row r="17" spans="1:2">
      <c r="A17" s="20" t="s">
        <v>638</v>
      </c>
      <c r="B17" s="20"/>
    </row>
    <row r="18" spans="1:2">
      <c r="A18" s="20" t="s">
        <v>639</v>
      </c>
      <c r="B18" s="20" t="s">
        <v>35</v>
      </c>
    </row>
    <row r="19" spans="1:2">
      <c r="A19" s="20" t="s">
        <v>270</v>
      </c>
      <c r="B19" s="20" t="s">
        <v>378</v>
      </c>
    </row>
    <row r="20" spans="1:2">
      <c r="A20" s="20" t="s">
        <v>270</v>
      </c>
      <c r="B20" s="20" t="s">
        <v>413</v>
      </c>
    </row>
    <row r="21" spans="1:2">
      <c r="A21" s="20" t="s">
        <v>266</v>
      </c>
      <c r="B21" s="20" t="s">
        <v>519</v>
      </c>
    </row>
    <row r="22" spans="1:2">
      <c r="A22" s="20" t="s">
        <v>629</v>
      </c>
      <c r="B22" s="20"/>
    </row>
    <row r="23" spans="1:2">
      <c r="A23" s="20" t="s">
        <v>254</v>
      </c>
      <c r="B23" s="20" t="s">
        <v>80</v>
      </c>
    </row>
    <row r="24" spans="1:2">
      <c r="A24" s="20" t="s">
        <v>254</v>
      </c>
      <c r="B24" s="20" t="s">
        <v>204</v>
      </c>
    </row>
    <row r="25" spans="1:2">
      <c r="A25" s="20" t="s">
        <v>254</v>
      </c>
      <c r="B25" s="20" t="s">
        <v>35</v>
      </c>
    </row>
    <row r="26" spans="1:2">
      <c r="A26" s="20" t="s">
        <v>243</v>
      </c>
      <c r="B26" s="20" t="s">
        <v>204</v>
      </c>
    </row>
    <row r="27" spans="1:2">
      <c r="A27" s="20" t="s">
        <v>243</v>
      </c>
      <c r="B27" s="20" t="s">
        <v>52</v>
      </c>
    </row>
    <row r="28" spans="1:2">
      <c r="A28" s="20" t="s">
        <v>244</v>
      </c>
      <c r="B28" s="20" t="s">
        <v>52</v>
      </c>
    </row>
    <row r="29" spans="1:2">
      <c r="A29" s="20" t="s">
        <v>253</v>
      </c>
      <c r="B29" s="20" t="s">
        <v>35</v>
      </c>
    </row>
    <row r="30" spans="1:2">
      <c r="A30" s="20" t="s">
        <v>236</v>
      </c>
      <c r="B30" s="20" t="s">
        <v>52</v>
      </c>
    </row>
    <row r="31" spans="1:2">
      <c r="A31" s="20" t="s">
        <v>237</v>
      </c>
      <c r="B31" s="20" t="s">
        <v>80</v>
      </c>
    </row>
    <row r="32" spans="1:2">
      <c r="A32" s="20" t="s">
        <v>237</v>
      </c>
      <c r="B32" s="20" t="s">
        <v>35</v>
      </c>
    </row>
    <row r="33" spans="1:2">
      <c r="A33" s="20" t="s">
        <v>237</v>
      </c>
      <c r="B33" s="20" t="s">
        <v>52</v>
      </c>
    </row>
    <row r="34" spans="1:2">
      <c r="A34" s="20" t="s">
        <v>235</v>
      </c>
      <c r="B34" s="20" t="s">
        <v>52</v>
      </c>
    </row>
    <row r="35" spans="1:2">
      <c r="A35" s="20" t="s">
        <v>235</v>
      </c>
      <c r="B35" s="20" t="s">
        <v>35</v>
      </c>
    </row>
    <row r="36" spans="1:2">
      <c r="A36" s="20" t="s">
        <v>227</v>
      </c>
      <c r="B36" s="20" t="s">
        <v>23</v>
      </c>
    </row>
    <row r="37" spans="1:2">
      <c r="A37" s="20" t="s">
        <v>227</v>
      </c>
      <c r="B37" s="20" t="s">
        <v>43</v>
      </c>
    </row>
    <row r="38" spans="1:2">
      <c r="A38" s="20" t="s">
        <v>227</v>
      </c>
      <c r="B38" s="20" t="s">
        <v>118</v>
      </c>
    </row>
    <row r="39" spans="1:2">
      <c r="A39" s="20" t="s">
        <v>227</v>
      </c>
      <c r="B39" s="20" t="s">
        <v>120</v>
      </c>
    </row>
    <row r="40" spans="1:2">
      <c r="A40" s="20" t="s">
        <v>227</v>
      </c>
      <c r="B40" s="20" t="s">
        <v>132</v>
      </c>
    </row>
    <row r="41" spans="1:2">
      <c r="A41" s="20" t="s">
        <v>227</v>
      </c>
      <c r="B41" s="20" t="s">
        <v>110</v>
      </c>
    </row>
    <row r="42" spans="1:2">
      <c r="A42" s="20" t="s">
        <v>227</v>
      </c>
      <c r="B42" s="20" t="s">
        <v>185</v>
      </c>
    </row>
    <row r="43" spans="1:2">
      <c r="A43" s="20" t="s">
        <v>227</v>
      </c>
      <c r="B43" s="20" t="s">
        <v>20</v>
      </c>
    </row>
    <row r="44" spans="1:2">
      <c r="A44" s="20" t="s">
        <v>227</v>
      </c>
      <c r="B44" s="20" t="s">
        <v>325</v>
      </c>
    </row>
    <row r="45" spans="1:2">
      <c r="A45" s="20" t="s">
        <v>227</v>
      </c>
      <c r="B45" s="20" t="s">
        <v>331</v>
      </c>
    </row>
    <row r="46" spans="1:2">
      <c r="A46" s="20" t="s">
        <v>227</v>
      </c>
      <c r="B46" s="20" t="s">
        <v>291</v>
      </c>
    </row>
    <row r="47" spans="1:2">
      <c r="A47" s="20" t="s">
        <v>227</v>
      </c>
      <c r="B47" s="20" t="s">
        <v>128</v>
      </c>
    </row>
    <row r="48" spans="1:2">
      <c r="A48" s="20" t="s">
        <v>227</v>
      </c>
      <c r="B48" s="20" t="s">
        <v>360</v>
      </c>
    </row>
    <row r="49" spans="1:2">
      <c r="A49" s="20" t="s">
        <v>227</v>
      </c>
      <c r="B49" s="20" t="s">
        <v>46</v>
      </c>
    </row>
    <row r="50" spans="1:2">
      <c r="A50" s="20" t="s">
        <v>227</v>
      </c>
      <c r="B50" s="20" t="s">
        <v>375</v>
      </c>
    </row>
    <row r="51" spans="1:2">
      <c r="A51" s="20" t="s">
        <v>227</v>
      </c>
      <c r="B51" s="20" t="s">
        <v>213</v>
      </c>
    </row>
    <row r="52" spans="1:2">
      <c r="A52" s="20" t="s">
        <v>227</v>
      </c>
      <c r="B52" t="s">
        <v>289</v>
      </c>
    </row>
    <row r="53" spans="1:2">
      <c r="A53" s="20" t="s">
        <v>227</v>
      </c>
      <c r="B53" t="s">
        <v>397</v>
      </c>
    </row>
    <row r="54" spans="1:2">
      <c r="A54" s="20" t="s">
        <v>227</v>
      </c>
      <c r="B54" s="20" t="s">
        <v>409</v>
      </c>
    </row>
    <row r="55" spans="1:2">
      <c r="A55" s="20" t="s">
        <v>227</v>
      </c>
      <c r="B55" s="20" t="s">
        <v>427</v>
      </c>
    </row>
    <row r="56" spans="1:2">
      <c r="A56" s="20" t="s">
        <v>227</v>
      </c>
      <c r="B56" s="20" t="s">
        <v>394</v>
      </c>
    </row>
    <row r="57" spans="1:2">
      <c r="A57" s="20" t="s">
        <v>227</v>
      </c>
      <c r="B57" s="20" t="s">
        <v>319</v>
      </c>
    </row>
    <row r="58" spans="1:2">
      <c r="A58" s="20" t="s">
        <v>227</v>
      </c>
      <c r="B58" s="20" t="s">
        <v>528</v>
      </c>
    </row>
    <row r="59" spans="1:2">
      <c r="A59" s="20" t="s">
        <v>227</v>
      </c>
      <c r="B59" s="20" t="s">
        <v>306</v>
      </c>
    </row>
    <row r="60" spans="1:2">
      <c r="A60" s="20" t="s">
        <v>227</v>
      </c>
      <c r="B60" s="20" t="s">
        <v>3</v>
      </c>
    </row>
    <row r="61" spans="1:2">
      <c r="A61" s="20" t="s">
        <v>229</v>
      </c>
      <c r="B61" s="20" t="s">
        <v>20</v>
      </c>
    </row>
    <row r="62" spans="1:2">
      <c r="A62" s="20" t="s">
        <v>229</v>
      </c>
      <c r="B62" s="20" t="s">
        <v>46</v>
      </c>
    </row>
    <row r="63" spans="1:2">
      <c r="A63" s="20" t="s">
        <v>229</v>
      </c>
      <c r="B63" s="21" t="s">
        <v>49</v>
      </c>
    </row>
    <row r="64" spans="1:2">
      <c r="A64" s="20" t="s">
        <v>229</v>
      </c>
      <c r="B64" s="20" t="s">
        <v>60</v>
      </c>
    </row>
    <row r="65" spans="1:2">
      <c r="A65" s="20" t="s">
        <v>229</v>
      </c>
      <c r="B65" s="20" t="s">
        <v>110</v>
      </c>
    </row>
    <row r="66" spans="1:2">
      <c r="A66" s="20" t="s">
        <v>229</v>
      </c>
      <c r="B66" s="20" t="s">
        <v>128</v>
      </c>
    </row>
    <row r="67" spans="1:2">
      <c r="A67" s="20" t="s">
        <v>229</v>
      </c>
      <c r="B67" s="20" t="s">
        <v>120</v>
      </c>
    </row>
    <row r="68" spans="1:2">
      <c r="A68" s="20" t="s">
        <v>229</v>
      </c>
      <c r="B68" s="20" t="s">
        <v>185</v>
      </c>
    </row>
    <row r="69" spans="1:2">
      <c r="A69" s="20" t="s">
        <v>229</v>
      </c>
      <c r="B69" s="20" t="s">
        <v>188</v>
      </c>
    </row>
    <row r="70" spans="1:2">
      <c r="A70" s="20" t="s">
        <v>229</v>
      </c>
      <c r="B70" s="20" t="s">
        <v>210</v>
      </c>
    </row>
    <row r="71" spans="1:2">
      <c r="A71" s="20" t="s">
        <v>229</v>
      </c>
      <c r="B71" s="20" t="s">
        <v>213</v>
      </c>
    </row>
    <row r="72" spans="1:2">
      <c r="A72" s="20" t="s">
        <v>229</v>
      </c>
      <c r="B72" s="20" t="s">
        <v>289</v>
      </c>
    </row>
    <row r="73" spans="1:2">
      <c r="A73" s="20" t="s">
        <v>229</v>
      </c>
      <c r="B73" s="20" t="s">
        <v>291</v>
      </c>
    </row>
    <row r="74" spans="1:2">
      <c r="A74" s="20" t="s">
        <v>229</v>
      </c>
      <c r="B74" s="20" t="s">
        <v>300</v>
      </c>
    </row>
    <row r="75" spans="1:2">
      <c r="A75" s="20" t="s">
        <v>229</v>
      </c>
      <c r="B75" s="20" t="s">
        <v>306</v>
      </c>
    </row>
    <row r="76" spans="1:2">
      <c r="A76" s="20" t="s">
        <v>229</v>
      </c>
      <c r="B76" s="20" t="s">
        <v>43</v>
      </c>
    </row>
    <row r="77" spans="1:2">
      <c r="A77" s="20" t="s">
        <v>229</v>
      </c>
      <c r="B77" s="20" t="s">
        <v>319</v>
      </c>
    </row>
    <row r="78" spans="1:2">
      <c r="A78" s="20" t="s">
        <v>229</v>
      </c>
      <c r="B78" s="20" t="s">
        <v>331</v>
      </c>
    </row>
    <row r="79" spans="1:2">
      <c r="A79" s="20" t="s">
        <v>229</v>
      </c>
      <c r="B79" s="20" t="s">
        <v>335</v>
      </c>
    </row>
    <row r="80" spans="1:2">
      <c r="A80" s="20" t="s">
        <v>229</v>
      </c>
      <c r="B80" s="20" t="s">
        <v>365</v>
      </c>
    </row>
    <row r="81" spans="1:2">
      <c r="A81" s="20" t="s">
        <v>229</v>
      </c>
      <c r="B81" s="20" t="s">
        <v>118</v>
      </c>
    </row>
    <row r="82" spans="1:2">
      <c r="A82" s="20" t="s">
        <v>229</v>
      </c>
      <c r="B82" s="20" t="s">
        <v>394</v>
      </c>
    </row>
    <row r="83" spans="1:2">
      <c r="A83" s="20" t="s">
        <v>229</v>
      </c>
      <c r="B83" s="20" t="s">
        <v>416</v>
      </c>
    </row>
    <row r="84" spans="1:2">
      <c r="A84" s="20" t="s">
        <v>229</v>
      </c>
      <c r="B84" s="20" t="s">
        <v>397</v>
      </c>
    </row>
    <row r="85" spans="1:2">
      <c r="A85" s="20" t="s">
        <v>9</v>
      </c>
      <c r="B85" s="20" t="s">
        <v>10</v>
      </c>
    </row>
    <row r="86" spans="1:2">
      <c r="A86" s="20" t="s">
        <v>9</v>
      </c>
      <c r="B86" s="20" t="s">
        <v>55</v>
      </c>
    </row>
    <row r="87" spans="1:2">
      <c r="A87" s="20" t="s">
        <v>9</v>
      </c>
      <c r="B87" s="20" t="s">
        <v>104</v>
      </c>
    </row>
    <row r="88" spans="1:2">
      <c r="A88" s="20" t="s">
        <v>9</v>
      </c>
      <c r="B88" s="20" t="s">
        <v>463</v>
      </c>
    </row>
    <row r="89" spans="1:2">
      <c r="A89" s="20" t="s">
        <v>9</v>
      </c>
      <c r="B89" s="20" t="s">
        <v>560</v>
      </c>
    </row>
    <row r="90" spans="1:2">
      <c r="A90" s="20" t="s">
        <v>9</v>
      </c>
      <c r="B90" s="20" t="s">
        <v>145</v>
      </c>
    </row>
    <row r="91" spans="1:2">
      <c r="A91" s="20" t="s">
        <v>135</v>
      </c>
      <c r="B91" s="20" t="s">
        <v>136</v>
      </c>
    </row>
    <row r="92" spans="1:2">
      <c r="A92" s="20" t="s">
        <v>135</v>
      </c>
      <c r="B92" s="20" t="s">
        <v>10</v>
      </c>
    </row>
    <row r="93" spans="1:2">
      <c r="A93" s="20" t="s">
        <v>135</v>
      </c>
      <c r="B93" s="20" t="s">
        <v>279</v>
      </c>
    </row>
    <row r="94" spans="1:2">
      <c r="A94" s="20" t="s">
        <v>135</v>
      </c>
      <c r="B94" s="20" t="s">
        <v>594</v>
      </c>
    </row>
    <row r="95" spans="1:2">
      <c r="A95" s="20" t="s">
        <v>256</v>
      </c>
      <c r="B95" s="20" t="s">
        <v>70</v>
      </c>
    </row>
    <row r="96" spans="1:2">
      <c r="A96" s="20" t="s">
        <v>256</v>
      </c>
      <c r="B96" s="20" t="s">
        <v>55</v>
      </c>
    </row>
    <row r="97" spans="1:2">
      <c r="A97" s="20" t="s">
        <v>256</v>
      </c>
      <c r="B97" s="20" t="s">
        <v>78</v>
      </c>
    </row>
    <row r="98" spans="1:2">
      <c r="A98" s="20" t="s">
        <v>256</v>
      </c>
      <c r="B98" s="20" t="s">
        <v>495</v>
      </c>
    </row>
    <row r="99" spans="1:2">
      <c r="A99" s="20" t="s">
        <v>256</v>
      </c>
      <c r="B99" s="20" t="s">
        <v>612</v>
      </c>
    </row>
    <row r="100" spans="1:2">
      <c r="A100" s="20" t="s">
        <v>66</v>
      </c>
      <c r="B100" s="20" t="s">
        <v>67</v>
      </c>
    </row>
    <row r="101" spans="1:2">
      <c r="A101" s="20" t="s">
        <v>66</v>
      </c>
      <c r="B101" s="20" t="s">
        <v>99</v>
      </c>
    </row>
    <row r="102" spans="1:2">
      <c r="A102" s="20" t="s">
        <v>66</v>
      </c>
      <c r="B102" s="20" t="s">
        <v>190</v>
      </c>
    </row>
    <row r="103" spans="1:2">
      <c r="A103" s="20" t="s">
        <v>66</v>
      </c>
      <c r="B103" s="20" t="s">
        <v>274</v>
      </c>
    </row>
    <row r="104" spans="1:2">
      <c r="A104" s="20" t="s">
        <v>66</v>
      </c>
      <c r="B104" s="20" t="s">
        <v>70</v>
      </c>
    </row>
    <row r="105" spans="1:2">
      <c r="A105" s="20" t="s">
        <v>66</v>
      </c>
      <c r="B105" s="20" t="s">
        <v>446</v>
      </c>
    </row>
    <row r="106" spans="1:2">
      <c r="A106" s="20" t="s">
        <v>66</v>
      </c>
      <c r="B106" s="20" t="s">
        <v>49</v>
      </c>
    </row>
    <row r="107" spans="1:2">
      <c r="A107" s="20" t="s">
        <v>14</v>
      </c>
      <c r="B107" s="20" t="s">
        <v>15</v>
      </c>
    </row>
    <row r="108" spans="1:2">
      <c r="A108" s="20" t="s">
        <v>14</v>
      </c>
      <c r="B108" s="20" t="s">
        <v>122</v>
      </c>
    </row>
    <row r="109" spans="1:2">
      <c r="A109" s="20" t="s">
        <v>14</v>
      </c>
      <c r="B109" s="20" t="s">
        <v>171</v>
      </c>
    </row>
    <row r="110" spans="1:2">
      <c r="A110" s="20" t="s">
        <v>14</v>
      </c>
      <c r="B110" s="20" t="s">
        <v>173</v>
      </c>
    </row>
    <row r="111" spans="1:2">
      <c r="A111" s="20" t="s">
        <v>14</v>
      </c>
      <c r="B111" s="20" t="s">
        <v>192</v>
      </c>
    </row>
    <row r="112" spans="1:2">
      <c r="A112" s="20" t="s">
        <v>14</v>
      </c>
      <c r="B112" s="20" t="s">
        <v>197</v>
      </c>
    </row>
    <row r="113" spans="1:2">
      <c r="A113" s="20" t="s">
        <v>14</v>
      </c>
      <c r="B113" s="20" t="s">
        <v>275</v>
      </c>
    </row>
    <row r="114" spans="1:2">
      <c r="A114" s="20" t="s">
        <v>14</v>
      </c>
      <c r="B114" s="20" t="s">
        <v>532</v>
      </c>
    </row>
    <row r="115" spans="1:2">
      <c r="A115" s="20" t="s">
        <v>14</v>
      </c>
      <c r="B115" s="20" t="s">
        <v>443</v>
      </c>
    </row>
    <row r="116" spans="1:2">
      <c r="A116" s="20" t="s">
        <v>14</v>
      </c>
      <c r="B116" s="20" t="s">
        <v>531</v>
      </c>
    </row>
    <row r="117" spans="1:2">
      <c r="A117" s="20" t="s">
        <v>14</v>
      </c>
      <c r="B117" s="20" t="s">
        <v>564</v>
      </c>
    </row>
    <row r="118" spans="1:2">
      <c r="A118" s="20" t="s">
        <v>14</v>
      </c>
      <c r="B118" s="20" t="s">
        <v>602</v>
      </c>
    </row>
    <row r="119" spans="1:2">
      <c r="A119" s="20" t="s">
        <v>160</v>
      </c>
      <c r="B119" s="20" t="s">
        <v>161</v>
      </c>
    </row>
    <row r="120" spans="1:2">
      <c r="A120" s="20" t="s">
        <v>160</v>
      </c>
      <c r="B120" s="20" t="s">
        <v>200</v>
      </c>
    </row>
    <row r="121" spans="1:2">
      <c r="A121" s="20" t="s">
        <v>160</v>
      </c>
      <c r="B121" s="20" t="s">
        <v>197</v>
      </c>
    </row>
    <row r="122" spans="1:2">
      <c r="A122" s="20" t="s">
        <v>160</v>
      </c>
      <c r="B122" s="20" t="s">
        <v>99</v>
      </c>
    </row>
    <row r="123" spans="1:2">
      <c r="A123" s="20" t="s">
        <v>160</v>
      </c>
      <c r="B123" s="20" t="s">
        <v>192</v>
      </c>
    </row>
    <row r="124" spans="1:2">
      <c r="A124" s="20" t="s">
        <v>160</v>
      </c>
      <c r="B124" s="20" t="s">
        <v>49</v>
      </c>
    </row>
    <row r="125" spans="1:2">
      <c r="A125" s="20" t="s">
        <v>160</v>
      </c>
      <c r="B125" s="20" t="s">
        <v>597</v>
      </c>
    </row>
    <row r="126" spans="1:2">
      <c r="A126" s="20" t="s">
        <v>160</v>
      </c>
      <c r="B126" s="20" t="s">
        <v>600</v>
      </c>
    </row>
    <row r="127" spans="1:2">
      <c r="A127" s="20" t="s">
        <v>160</v>
      </c>
      <c r="B127" s="20" t="s">
        <v>605</v>
      </c>
    </row>
    <row r="128" spans="1:2">
      <c r="A128" s="20" t="s">
        <v>160</v>
      </c>
      <c r="B128" s="20" t="s">
        <v>607</v>
      </c>
    </row>
    <row r="129" spans="1:2">
      <c r="A129" s="20" t="s">
        <v>160</v>
      </c>
      <c r="B129" s="20" t="s">
        <v>615</v>
      </c>
    </row>
    <row r="130" spans="1:2">
      <c r="A130" s="20" t="s">
        <v>265</v>
      </c>
      <c r="B130" s="20" t="s">
        <v>177</v>
      </c>
    </row>
    <row r="131" spans="1:2">
      <c r="A131" s="20" t="s">
        <v>265</v>
      </c>
      <c r="B131" s="20" t="s">
        <v>503</v>
      </c>
    </row>
    <row r="132" spans="1:2">
      <c r="A132" s="20" t="s">
        <v>263</v>
      </c>
      <c r="B132" s="20"/>
    </row>
    <row r="133" spans="1:2">
      <c r="A133" s="20" t="s">
        <v>74</v>
      </c>
      <c r="B133" s="20" t="s">
        <v>75</v>
      </c>
    </row>
    <row r="134" spans="1:2">
      <c r="A134" s="20" t="s">
        <v>74</v>
      </c>
      <c r="B134" s="20" t="s">
        <v>78</v>
      </c>
    </row>
    <row r="135" spans="1:2">
      <c r="A135" s="20" t="s">
        <v>74</v>
      </c>
      <c r="B135" s="20" t="s">
        <v>95</v>
      </c>
    </row>
    <row r="136" spans="1:2">
      <c r="A136" s="20" t="s">
        <v>74</v>
      </c>
      <c r="B136" s="20" t="s">
        <v>10</v>
      </c>
    </row>
    <row r="137" spans="1:2">
      <c r="A137" s="20" t="s">
        <v>74</v>
      </c>
      <c r="B137" s="20" t="s">
        <v>503</v>
      </c>
    </row>
    <row r="138" spans="1:2">
      <c r="A138" s="20" t="s">
        <v>74</v>
      </c>
      <c r="B138" s="20" t="s">
        <v>620</v>
      </c>
    </row>
    <row r="139" spans="1:2">
      <c r="A139" s="20" t="s">
        <v>264</v>
      </c>
      <c r="B139" s="20" t="s">
        <v>158</v>
      </c>
    </row>
    <row r="140" spans="1:2">
      <c r="A140" s="37" t="s">
        <v>1425</v>
      </c>
      <c r="B140" s="3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4">
    <tabColor rgb="FF7030A0"/>
  </sheetPr>
  <dimension ref="A1"/>
  <sheetViews>
    <sheetView showGridLines="0" zoomScale="70" zoomScaleNormal="70" workbookViewId="0">
      <pane xSplit="23" ySplit="28" topLeftCell="X29" activePane="bottomRight" state="frozen"/>
      <selection pane="topRight" activeCell="X1" sqref="X1"/>
      <selection pane="bottomLeft" activeCell="A29" sqref="A29"/>
      <selection pane="bottomRight"/>
    </sheetView>
  </sheetViews>
  <sheetFormatPr baseColWidth="10" defaultColWidth="11.42578125" defaultRowHeight="15"/>
  <cols>
    <col min="1" max="16384" width="11.42578125" style="78"/>
  </cols>
  <sheetData>
    <row r="1" spans="1:1">
      <c r="A1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1">
    <tabColor theme="1" tint="4.9989318521683403E-2"/>
  </sheetPr>
  <dimension ref="A2:C77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7" sqref="A7"/>
      <selection pane="bottomRight"/>
    </sheetView>
  </sheetViews>
  <sheetFormatPr baseColWidth="10" defaultRowHeight="15"/>
  <cols>
    <col min="1" max="1" width="17.140625" bestFit="1" customWidth="1"/>
    <col min="2" max="2" width="21.7109375" customWidth="1"/>
    <col min="3" max="3" width="50.85546875" customWidth="1"/>
  </cols>
  <sheetData>
    <row r="2" spans="1:3" ht="26.25" customHeight="1"/>
    <row r="3" spans="1:3">
      <c r="A3" t="s">
        <v>635</v>
      </c>
      <c r="B3" t="s">
        <v>636</v>
      </c>
      <c r="C3" t="s">
        <v>637</v>
      </c>
    </row>
    <row r="4" spans="1:3">
      <c r="A4" s="25">
        <v>940</v>
      </c>
      <c r="B4" t="s">
        <v>272</v>
      </c>
      <c r="C4" t="s">
        <v>512</v>
      </c>
    </row>
    <row r="5" spans="1:3">
      <c r="A5" s="38" t="s">
        <v>1426</v>
      </c>
      <c r="B5" s="38" t="s">
        <v>273</v>
      </c>
      <c r="C5" t="s">
        <v>1085</v>
      </c>
    </row>
    <row r="6" spans="1:3">
      <c r="A6" s="25">
        <v>701</v>
      </c>
      <c r="B6" s="26" t="s">
        <v>18</v>
      </c>
      <c r="C6" s="27" t="s">
        <v>228</v>
      </c>
    </row>
    <row r="7" spans="1:3">
      <c r="A7" s="25">
        <v>801</v>
      </c>
      <c r="B7" s="26" t="s">
        <v>18</v>
      </c>
      <c r="C7" s="27" t="s">
        <v>228</v>
      </c>
    </row>
    <row r="8" spans="1:3">
      <c r="A8" s="25">
        <v>611</v>
      </c>
      <c r="B8" s="26" t="s">
        <v>2286</v>
      </c>
      <c r="C8" s="27" t="s">
        <v>267</v>
      </c>
    </row>
    <row r="9" spans="1:3">
      <c r="A9" s="25">
        <v>572</v>
      </c>
      <c r="B9" s="26" t="s">
        <v>2286</v>
      </c>
      <c r="C9" s="27" t="s">
        <v>246</v>
      </c>
    </row>
    <row r="10" spans="1:3">
      <c r="A10" s="25">
        <v>458</v>
      </c>
      <c r="B10" s="26" t="s">
        <v>2278</v>
      </c>
      <c r="C10" s="27" t="s">
        <v>223</v>
      </c>
    </row>
    <row r="11" spans="1:3">
      <c r="A11" s="25">
        <v>442</v>
      </c>
      <c r="B11" s="26" t="s">
        <v>2278</v>
      </c>
      <c r="C11" s="27" t="s">
        <v>221</v>
      </c>
    </row>
    <row r="12" spans="1:3">
      <c r="A12" s="25">
        <v>454</v>
      </c>
      <c r="B12" s="26" t="s">
        <v>2278</v>
      </c>
      <c r="C12" s="27" t="s">
        <v>222</v>
      </c>
    </row>
    <row r="13" spans="1:3">
      <c r="A13" s="25">
        <v>610</v>
      </c>
      <c r="B13" s="26" t="s">
        <v>234</v>
      </c>
      <c r="C13" s="27" t="s">
        <v>266</v>
      </c>
    </row>
    <row r="14" spans="1:3">
      <c r="A14" s="25">
        <v>950</v>
      </c>
      <c r="B14" t="s">
        <v>272</v>
      </c>
      <c r="C14" t="s">
        <v>638</v>
      </c>
    </row>
    <row r="15" spans="1:3">
      <c r="A15" s="25">
        <v>450</v>
      </c>
      <c r="B15" s="27" t="s">
        <v>2279</v>
      </c>
      <c r="C15" s="27" t="s">
        <v>220</v>
      </c>
    </row>
    <row r="16" spans="1:3">
      <c r="A16" s="25">
        <v>570</v>
      </c>
      <c r="B16" s="26" t="s">
        <v>234</v>
      </c>
      <c r="C16" s="27" t="s">
        <v>135</v>
      </c>
    </row>
    <row r="17" spans="1:3">
      <c r="A17" s="25">
        <v>571</v>
      </c>
      <c r="B17" s="26" t="s">
        <v>234</v>
      </c>
      <c r="C17" s="27" t="s">
        <v>245</v>
      </c>
    </row>
    <row r="18" spans="1:3">
      <c r="A18" s="25">
        <v>722</v>
      </c>
      <c r="B18" s="27" t="s">
        <v>2279</v>
      </c>
      <c r="C18" s="27" t="s">
        <v>219</v>
      </c>
    </row>
    <row r="19" spans="1:3">
      <c r="A19" s="25">
        <v>455</v>
      </c>
      <c r="B19" s="27" t="s">
        <v>2279</v>
      </c>
      <c r="C19" s="27" t="s">
        <v>217</v>
      </c>
    </row>
    <row r="20" spans="1:3">
      <c r="A20" s="25">
        <v>457</v>
      </c>
      <c r="B20" s="27" t="s">
        <v>2279</v>
      </c>
      <c r="C20" s="27" t="s">
        <v>218</v>
      </c>
    </row>
    <row r="21" spans="1:3">
      <c r="A21" s="25">
        <v>440</v>
      </c>
      <c r="B21" s="27" t="s">
        <v>2279</v>
      </c>
      <c r="C21" s="27" t="s">
        <v>1457</v>
      </c>
    </row>
    <row r="22" spans="1:3">
      <c r="A22" s="25">
        <v>451</v>
      </c>
      <c r="B22" s="27" t="s">
        <v>2279</v>
      </c>
      <c r="C22" s="27" t="s">
        <v>216</v>
      </c>
    </row>
    <row r="23" spans="1:3">
      <c r="A23" s="25">
        <v>452</v>
      </c>
      <c r="B23" s="27" t="s">
        <v>2279</v>
      </c>
      <c r="C23" s="27" t="s">
        <v>215</v>
      </c>
    </row>
    <row r="24" spans="1:3">
      <c r="A24" s="25">
        <v>901</v>
      </c>
      <c r="B24" s="38" t="s">
        <v>273</v>
      </c>
      <c r="C24" t="s">
        <v>639</v>
      </c>
    </row>
    <row r="25" spans="1:3">
      <c r="A25" s="25">
        <v>620</v>
      </c>
      <c r="B25" s="26" t="s">
        <v>234</v>
      </c>
      <c r="C25" s="27" t="s">
        <v>252</v>
      </c>
    </row>
    <row r="26" spans="1:3">
      <c r="A26" s="25">
        <v>902</v>
      </c>
      <c r="B26" s="38" t="s">
        <v>273</v>
      </c>
      <c r="C26" t="s">
        <v>640</v>
      </c>
    </row>
    <row r="27" spans="1:3">
      <c r="A27" s="25">
        <v>560</v>
      </c>
      <c r="B27" s="26" t="s">
        <v>234</v>
      </c>
      <c r="C27" s="27" t="s">
        <v>9</v>
      </c>
    </row>
    <row r="28" spans="1:3">
      <c r="A28" s="25">
        <v>920</v>
      </c>
      <c r="B28" s="38" t="s">
        <v>273</v>
      </c>
      <c r="C28" t="s">
        <v>629</v>
      </c>
    </row>
    <row r="29" spans="1:3">
      <c r="A29" s="25">
        <v>502</v>
      </c>
      <c r="B29" t="s">
        <v>2281</v>
      </c>
      <c r="C29" s="27" t="s">
        <v>2280</v>
      </c>
    </row>
    <row r="30" spans="1:3">
      <c r="A30" s="25">
        <v>565</v>
      </c>
      <c r="B30" s="26" t="s">
        <v>234</v>
      </c>
      <c r="C30" s="27" t="s">
        <v>240</v>
      </c>
    </row>
    <row r="31" spans="1:3">
      <c r="A31" s="25">
        <v>583</v>
      </c>
      <c r="B31" t="s">
        <v>2281</v>
      </c>
      <c r="C31" s="27" t="s">
        <v>254</v>
      </c>
    </row>
    <row r="32" spans="1:3">
      <c r="A32" s="25">
        <v>573</v>
      </c>
      <c r="B32" t="s">
        <v>2281</v>
      </c>
      <c r="C32" s="26" t="s">
        <v>243</v>
      </c>
    </row>
    <row r="33" spans="1:3">
      <c r="A33" s="25">
        <v>574</v>
      </c>
      <c r="B33" t="s">
        <v>2281</v>
      </c>
      <c r="C33" s="27" t="s">
        <v>244</v>
      </c>
    </row>
    <row r="34" spans="1:3">
      <c r="A34" s="25">
        <v>584</v>
      </c>
      <c r="B34" t="s">
        <v>2281</v>
      </c>
      <c r="C34" s="27" t="s">
        <v>253</v>
      </c>
    </row>
    <row r="35" spans="1:3">
      <c r="A35" s="25">
        <v>561</v>
      </c>
      <c r="B35" t="s">
        <v>2281</v>
      </c>
      <c r="C35" s="27" t="s">
        <v>2282</v>
      </c>
    </row>
    <row r="36" spans="1:3">
      <c r="A36" s="25">
        <v>568</v>
      </c>
      <c r="B36" t="s">
        <v>2281</v>
      </c>
      <c r="C36" s="27" t="s">
        <v>237</v>
      </c>
    </row>
    <row r="37" spans="1:3">
      <c r="A37" s="25">
        <v>591</v>
      </c>
      <c r="B37" t="s">
        <v>2281</v>
      </c>
      <c r="C37" s="27" t="s">
        <v>255</v>
      </c>
    </row>
    <row r="38" spans="1:3">
      <c r="A38" s="25">
        <v>562</v>
      </c>
      <c r="B38" t="s">
        <v>2281</v>
      </c>
      <c r="C38" s="27" t="s">
        <v>235</v>
      </c>
    </row>
    <row r="39" spans="1:3">
      <c r="A39" s="25">
        <v>567</v>
      </c>
      <c r="B39" s="26" t="s">
        <v>2283</v>
      </c>
      <c r="C39" s="27" t="s">
        <v>242</v>
      </c>
    </row>
    <row r="40" spans="1:3">
      <c r="A40" s="25">
        <v>576</v>
      </c>
      <c r="B40" s="26" t="s">
        <v>2283</v>
      </c>
      <c r="C40" s="27" t="s">
        <v>248</v>
      </c>
    </row>
    <row r="41" spans="1:3">
      <c r="A41" s="25">
        <v>563</v>
      </c>
      <c r="B41" s="26" t="s">
        <v>2283</v>
      </c>
      <c r="C41" s="27" t="s">
        <v>238</v>
      </c>
    </row>
    <row r="42" spans="1:3">
      <c r="A42" s="25">
        <v>580</v>
      </c>
      <c r="B42" s="26" t="s">
        <v>234</v>
      </c>
      <c r="C42" s="27" t="s">
        <v>256</v>
      </c>
    </row>
    <row r="43" spans="1:3">
      <c r="A43" s="25">
        <v>581</v>
      </c>
      <c r="B43" s="26" t="s">
        <v>234</v>
      </c>
      <c r="C43" s="27" t="s">
        <v>66</v>
      </c>
    </row>
    <row r="44" spans="1:3">
      <c r="A44" s="25">
        <v>582</v>
      </c>
      <c r="B44" s="26" t="s">
        <v>234</v>
      </c>
      <c r="C44" s="27" t="s">
        <v>14</v>
      </c>
    </row>
    <row r="45" spans="1:3">
      <c r="A45" s="25">
        <v>575</v>
      </c>
      <c r="B45" s="26" t="s">
        <v>2283</v>
      </c>
      <c r="C45" s="27" t="s">
        <v>247</v>
      </c>
    </row>
    <row r="46" spans="1:3">
      <c r="A46" s="25">
        <v>587</v>
      </c>
      <c r="B46" s="26" t="s">
        <v>2283</v>
      </c>
      <c r="C46" s="27" t="s">
        <v>259</v>
      </c>
    </row>
    <row r="47" spans="1:3">
      <c r="A47" s="25">
        <v>585</v>
      </c>
      <c r="B47" s="26" t="s">
        <v>2283</v>
      </c>
      <c r="C47" s="27" t="s">
        <v>257</v>
      </c>
    </row>
    <row r="48" spans="1:3">
      <c r="A48" s="25">
        <v>586</v>
      </c>
      <c r="B48" s="26" t="s">
        <v>2283</v>
      </c>
      <c r="C48" s="27" t="s">
        <v>258</v>
      </c>
    </row>
    <row r="49" spans="1:3">
      <c r="A49" s="25">
        <v>590</v>
      </c>
      <c r="B49" s="26" t="s">
        <v>234</v>
      </c>
      <c r="C49" s="27" t="s">
        <v>160</v>
      </c>
    </row>
    <row r="50" spans="1:3">
      <c r="A50" s="25">
        <v>578</v>
      </c>
      <c r="B50" s="26" t="s">
        <v>2284</v>
      </c>
      <c r="C50" s="27" t="s">
        <v>250</v>
      </c>
    </row>
    <row r="51" spans="1:3">
      <c r="A51" s="25">
        <v>661</v>
      </c>
      <c r="B51" s="26" t="s">
        <v>2284</v>
      </c>
      <c r="C51" s="27" t="s">
        <v>251</v>
      </c>
    </row>
    <row r="52" spans="1:3">
      <c r="A52" s="25">
        <v>700</v>
      </c>
      <c r="B52" s="26" t="s">
        <v>18</v>
      </c>
      <c r="C52" s="27" t="s">
        <v>227</v>
      </c>
    </row>
    <row r="53" spans="1:3">
      <c r="A53" s="25">
        <v>588</v>
      </c>
      <c r="B53" s="26" t="s">
        <v>2284</v>
      </c>
      <c r="C53" s="27" t="s">
        <v>260</v>
      </c>
    </row>
    <row r="54" spans="1:3">
      <c r="A54" s="25">
        <v>589</v>
      </c>
      <c r="B54" s="26" t="s">
        <v>2284</v>
      </c>
      <c r="C54" s="27" t="s">
        <v>261</v>
      </c>
    </row>
    <row r="55" spans="1:3">
      <c r="A55" s="25">
        <v>564</v>
      </c>
      <c r="B55" s="26" t="s">
        <v>2284</v>
      </c>
      <c r="C55" s="27" t="s">
        <v>239</v>
      </c>
    </row>
    <row r="56" spans="1:3">
      <c r="A56" s="25">
        <v>566</v>
      </c>
      <c r="B56" s="26" t="s">
        <v>2284</v>
      </c>
      <c r="C56" s="27" t="s">
        <v>241</v>
      </c>
    </row>
    <row r="57" spans="1:3">
      <c r="A57" s="25">
        <v>800</v>
      </c>
      <c r="B57" s="26" t="s">
        <v>18</v>
      </c>
      <c r="C57" s="27" t="s">
        <v>229</v>
      </c>
    </row>
    <row r="58" spans="1:3">
      <c r="A58" s="25">
        <v>577</v>
      </c>
      <c r="B58" s="26" t="s">
        <v>2284</v>
      </c>
      <c r="C58" s="27" t="s">
        <v>249</v>
      </c>
    </row>
    <row r="59" spans="1:3">
      <c r="A59" s="25">
        <v>723</v>
      </c>
      <c r="B59" s="26" t="s">
        <v>2278</v>
      </c>
      <c r="C59" s="27" t="s">
        <v>224</v>
      </c>
    </row>
    <row r="60" spans="1:3">
      <c r="A60" s="25" t="s">
        <v>230</v>
      </c>
      <c r="B60" s="26" t="s">
        <v>18</v>
      </c>
      <c r="C60" s="27" t="s">
        <v>60</v>
      </c>
    </row>
    <row r="61" spans="1:3">
      <c r="A61" s="25" t="s">
        <v>231</v>
      </c>
      <c r="B61" s="26" t="s">
        <v>18</v>
      </c>
      <c r="C61" s="27" t="s">
        <v>60</v>
      </c>
    </row>
    <row r="62" spans="1:3">
      <c r="A62" s="25" t="s">
        <v>232</v>
      </c>
      <c r="B62" s="26" t="s">
        <v>18</v>
      </c>
      <c r="C62" s="27" t="s">
        <v>60</v>
      </c>
    </row>
    <row r="63" spans="1:3">
      <c r="A63" s="25" t="s">
        <v>233</v>
      </c>
      <c r="B63" s="26" t="s">
        <v>18</v>
      </c>
      <c r="C63" s="27" t="s">
        <v>60</v>
      </c>
    </row>
    <row r="64" spans="1:3">
      <c r="A64" s="25" t="s">
        <v>225</v>
      </c>
      <c r="B64" s="26" t="s">
        <v>18</v>
      </c>
      <c r="C64" s="27" t="s">
        <v>60</v>
      </c>
    </row>
    <row r="65" spans="1:3">
      <c r="A65" s="25" t="s">
        <v>226</v>
      </c>
      <c r="B65" s="26" t="s">
        <v>18</v>
      </c>
      <c r="C65" s="27" t="s">
        <v>60</v>
      </c>
    </row>
    <row r="66" spans="1:3">
      <c r="A66" s="25" t="s">
        <v>268</v>
      </c>
      <c r="B66" s="26" t="s">
        <v>296</v>
      </c>
      <c r="C66" s="27" t="s">
        <v>60</v>
      </c>
    </row>
    <row r="67" spans="1:3">
      <c r="A67" s="25">
        <v>604</v>
      </c>
      <c r="B67" s="26" t="s">
        <v>234</v>
      </c>
      <c r="C67" s="27" t="s">
        <v>265</v>
      </c>
    </row>
    <row r="68" spans="1:3">
      <c r="A68" s="25">
        <v>533</v>
      </c>
      <c r="B68" s="26" t="s">
        <v>296</v>
      </c>
      <c r="C68" s="27" t="s">
        <v>269</v>
      </c>
    </row>
    <row r="69" spans="1:3">
      <c r="A69" s="25">
        <v>534</v>
      </c>
      <c r="B69" s="26" t="s">
        <v>296</v>
      </c>
      <c r="C69" s="27" t="s">
        <v>2397</v>
      </c>
    </row>
    <row r="70" spans="1:3">
      <c r="A70" s="25">
        <v>600</v>
      </c>
      <c r="B70" s="26" t="s">
        <v>234</v>
      </c>
      <c r="C70" s="27" t="s">
        <v>262</v>
      </c>
    </row>
    <row r="71" spans="1:3">
      <c r="A71" s="25">
        <v>601</v>
      </c>
      <c r="B71" s="26" t="s">
        <v>234</v>
      </c>
      <c r="C71" s="27" t="s">
        <v>263</v>
      </c>
    </row>
    <row r="72" spans="1:3">
      <c r="A72" s="25">
        <v>605</v>
      </c>
      <c r="B72" s="26" t="s">
        <v>234</v>
      </c>
      <c r="C72" s="27" t="s">
        <v>2503</v>
      </c>
    </row>
    <row r="73" spans="1:3">
      <c r="A73" s="25">
        <v>606</v>
      </c>
      <c r="B73" s="26" t="s">
        <v>234</v>
      </c>
      <c r="C73" s="27" t="s">
        <v>2504</v>
      </c>
    </row>
    <row r="74" spans="1:3">
      <c r="A74" s="25">
        <v>607</v>
      </c>
      <c r="B74" s="26" t="s">
        <v>234</v>
      </c>
      <c r="C74" s="27" t="s">
        <v>2505</v>
      </c>
    </row>
    <row r="75" spans="1:3">
      <c r="A75" s="292">
        <v>609</v>
      </c>
      <c r="B75" s="261" t="s">
        <v>234</v>
      </c>
      <c r="C75" s="255" t="s">
        <v>4548</v>
      </c>
    </row>
    <row r="76" spans="1:3">
      <c r="A76" s="25">
        <v>603</v>
      </c>
      <c r="B76" s="26" t="s">
        <v>234</v>
      </c>
      <c r="C76" s="27" t="s">
        <v>264</v>
      </c>
    </row>
    <row r="77" spans="1:3">
      <c r="A77" s="25">
        <v>602</v>
      </c>
      <c r="B77" s="26" t="s">
        <v>234</v>
      </c>
      <c r="C77" s="27" t="s">
        <v>157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>
    <tabColor theme="4" tint="-0.499984740745262"/>
  </sheetPr>
  <dimension ref="A1:P2722"/>
  <sheetViews>
    <sheetView showGridLines="0" zoomScaleNormal="100" zoomScaleSheetLayoutView="70" workbookViewId="0">
      <pane xSplit="4" ySplit="7" topLeftCell="E2687" activePane="bottomRight" state="frozen"/>
      <selection pane="topRight" activeCell="E1" sqref="E1"/>
      <selection pane="bottomLeft" activeCell="A8" sqref="A8"/>
      <selection pane="bottomRight"/>
    </sheetView>
  </sheetViews>
  <sheetFormatPr baseColWidth="10" defaultColWidth="11.42578125" defaultRowHeight="15"/>
  <cols>
    <col min="1" max="1" width="18.7109375" style="4" customWidth="1"/>
    <col min="2" max="2" width="14.85546875" style="34" customWidth="1"/>
    <col min="3" max="3" width="17.140625" style="24" bestFit="1" customWidth="1"/>
    <col min="4" max="4" width="26.85546875" style="4" customWidth="1"/>
    <col min="5" max="5" width="18.140625" style="4" customWidth="1"/>
    <col min="6" max="6" width="16.7109375" style="4" hidden="1" customWidth="1"/>
    <col min="7" max="7" width="25.42578125" style="245" customWidth="1"/>
    <col min="8" max="8" width="58.42578125" style="4" customWidth="1"/>
    <col min="9" max="9" width="19.140625" style="4" hidden="1" customWidth="1"/>
    <col min="10" max="10" width="74.7109375" style="32" customWidth="1"/>
    <col min="11" max="11" width="16" style="4" customWidth="1"/>
    <col min="12" max="12" width="43.85546875" style="4" customWidth="1"/>
    <col min="13" max="13" width="14.42578125" style="247" customWidth="1"/>
    <col min="14" max="14" width="13.42578125" style="4" bestFit="1" customWidth="1"/>
    <col min="15" max="15" width="11.42578125" style="4" bestFit="1" customWidth="1"/>
    <col min="16" max="16" width="76.42578125" style="4" bestFit="1" customWidth="1"/>
    <col min="17" max="16384" width="11.42578125" style="4"/>
  </cols>
  <sheetData>
    <row r="1" spans="1:16" s="30" customFormat="1" ht="15.95" customHeight="1">
      <c r="B1" s="33"/>
      <c r="C1" s="31"/>
      <c r="F1" s="30" t="s">
        <v>2760</v>
      </c>
      <c r="G1" s="244"/>
      <c r="J1" s="35"/>
      <c r="M1" s="246"/>
    </row>
    <row r="2" spans="1:16" s="30" customFormat="1" ht="15.95" customHeight="1">
      <c r="B2" s="33"/>
      <c r="C2" s="31"/>
      <c r="G2" s="244"/>
      <c r="J2" s="35"/>
      <c r="M2" s="246"/>
    </row>
    <row r="3" spans="1:16" s="30" customFormat="1" ht="15.95" customHeight="1">
      <c r="B3" s="33"/>
      <c r="C3" s="31"/>
      <c r="E3" s="327" t="s">
        <v>883</v>
      </c>
      <c r="F3" s="327"/>
      <c r="G3" s="327"/>
      <c r="H3" s="327"/>
      <c r="I3" s="256"/>
      <c r="J3" s="256"/>
      <c r="K3" s="256"/>
      <c r="L3" s="256"/>
      <c r="M3" s="256"/>
      <c r="N3" s="256"/>
      <c r="O3" s="256"/>
      <c r="P3" s="256"/>
    </row>
    <row r="4" spans="1:16" s="30" customFormat="1" ht="15.95" customHeight="1">
      <c r="B4" s="33"/>
      <c r="C4" s="31"/>
      <c r="D4" s="256"/>
      <c r="E4" s="327"/>
      <c r="F4" s="327"/>
      <c r="G4" s="327"/>
      <c r="H4" s="327"/>
      <c r="I4" s="256"/>
      <c r="J4" s="256"/>
      <c r="K4" s="256"/>
      <c r="L4" s="256"/>
      <c r="M4" s="256"/>
      <c r="N4" s="256"/>
      <c r="O4" s="256"/>
      <c r="P4" s="256"/>
    </row>
    <row r="5" spans="1:16" s="30" customFormat="1" ht="22.5" customHeight="1">
      <c r="B5" s="33"/>
      <c r="C5" s="31"/>
      <c r="G5" s="244"/>
      <c r="J5" s="35"/>
      <c r="M5" s="246"/>
    </row>
    <row r="6" spans="1:16" s="30" customFormat="1" ht="15.95" customHeight="1">
      <c r="B6" s="33"/>
      <c r="C6" s="31"/>
      <c r="G6" s="244"/>
      <c r="J6" s="35"/>
      <c r="M6" s="246"/>
    </row>
    <row r="7" spans="1:16" s="77" customFormat="1" ht="45">
      <c r="A7" t="s">
        <v>4351</v>
      </c>
      <c r="B7" s="74" t="s">
        <v>341</v>
      </c>
      <c r="C7" s="74" t="s">
        <v>1</v>
      </c>
      <c r="D7" s="74" t="s">
        <v>3</v>
      </c>
      <c r="E7" s="74" t="s">
        <v>2516</v>
      </c>
      <c r="F7" s="74" t="s">
        <v>2</v>
      </c>
      <c r="G7" s="74" t="s">
        <v>5</v>
      </c>
      <c r="H7" s="74" t="s">
        <v>346</v>
      </c>
      <c r="I7" s="74" t="s">
        <v>2288</v>
      </c>
      <c r="J7" s="74" t="s">
        <v>345</v>
      </c>
      <c r="K7" s="75" t="s">
        <v>343</v>
      </c>
      <c r="L7" s="74" t="s">
        <v>347</v>
      </c>
      <c r="M7" s="74" t="s">
        <v>4612</v>
      </c>
      <c r="N7" s="74" t="s">
        <v>642</v>
      </c>
      <c r="O7" s="74" t="s">
        <v>641</v>
      </c>
      <c r="P7" s="76" t="s">
        <v>3027</v>
      </c>
    </row>
    <row r="8" spans="1:16" ht="28.5">
      <c r="A8" s="104">
        <v>43496</v>
      </c>
      <c r="B8" s="105">
        <v>560</v>
      </c>
      <c r="C8" s="106" t="str">
        <f>IF(ISNA(VLOOKUP(Tableau13[[#This Row],[Code machine]],'CODE mchn'!$A$4:$C$170,2,0)),"",VLOOKUP(Tableau13[[#This Row],[Code machine]],'CODE mchn'!$A$4:$C$170,2,0))</f>
        <v>Acier</v>
      </c>
      <c r="D8" s="36" t="str">
        <f>IF(ISNA(VLOOKUP(Tableau13[[#This Row],[Code machine]],'CODE mchn'!$A$4:$C$170,3,0)),"",VLOOKUP(Tableau13[[#This Row],[Code machine]],'CODE mchn'!$A$4:$C$170,3,0))</f>
        <v>Schlatter</v>
      </c>
      <c r="E8" s="105"/>
      <c r="F8" s="36"/>
      <c r="G8" s="36" t="s">
        <v>10</v>
      </c>
      <c r="H8" s="36"/>
      <c r="I8" s="36" t="s">
        <v>8</v>
      </c>
      <c r="J8" s="106" t="s">
        <v>11</v>
      </c>
      <c r="K8" s="104">
        <v>43496</v>
      </c>
      <c r="L8" s="36" t="s">
        <v>12</v>
      </c>
      <c r="M8" s="107"/>
      <c r="N8" s="108">
        <f>MONTH(Tableau13[[#This Row],[Date fin intervention]])</f>
        <v>1</v>
      </c>
      <c r="O8" s="108">
        <f>YEAR(Tableau13[[#This Row],[Date fin intervention]])</f>
        <v>2019</v>
      </c>
      <c r="P8" s="36"/>
    </row>
    <row r="9" spans="1:16" ht="28.5">
      <c r="A9" s="104">
        <v>43496</v>
      </c>
      <c r="B9" s="105">
        <v>582</v>
      </c>
      <c r="C9" s="106" t="str">
        <f>IF(ISNA(VLOOKUP(Tableau13[[#This Row],[Code machine]],'CODE mchn'!$A$4:$C$170,2,0)),"",VLOOKUP(Tableau13[[#This Row],[Code machine]],'CODE mchn'!$A$4:$C$170,2,0))</f>
        <v>Acier</v>
      </c>
      <c r="D9" s="36" t="str">
        <f>IF(ISNA(VLOOKUP(Tableau13[[#This Row],[Code machine]],'CODE mchn'!$A$4:$C$170,3,0)),"",VLOOKUP(Tableau13[[#This Row],[Code machine]],'CODE mchn'!$A$4:$C$170,3,0))</f>
        <v>Teurema 2</v>
      </c>
      <c r="E9" s="105"/>
      <c r="F9" s="36"/>
      <c r="G9" s="36" t="s">
        <v>15</v>
      </c>
      <c r="H9" s="36"/>
      <c r="I9" s="36" t="s">
        <v>13</v>
      </c>
      <c r="J9" s="106" t="s">
        <v>16</v>
      </c>
      <c r="K9" s="104">
        <v>43496</v>
      </c>
      <c r="L9" s="36" t="s">
        <v>17</v>
      </c>
      <c r="M9" s="107"/>
      <c r="N9" s="108">
        <f>MONTH(Tableau13[[#This Row],[Date fin intervention]])</f>
        <v>1</v>
      </c>
      <c r="O9" s="108">
        <f>YEAR(Tableau13[[#This Row],[Date fin intervention]])</f>
        <v>2019</v>
      </c>
      <c r="P9" s="36"/>
    </row>
    <row r="10" spans="1:16">
      <c r="A10" s="104">
        <v>43496</v>
      </c>
      <c r="B10" s="105">
        <v>800</v>
      </c>
      <c r="C10" s="106" t="str">
        <f>IF(ISNA(VLOOKUP(Tableau13[[#This Row],[Code machine]],'CODE mchn'!$A$4:$C$170,2,0)),"",VLOOKUP(Tableau13[[#This Row],[Code machine]],'CODE mchn'!$A$4:$C$170,2,0))</f>
        <v>Béton</v>
      </c>
      <c r="D10" s="36" t="str">
        <f>IF(ISNA(VLOOKUP(Tableau13[[#This Row],[Code machine]],'CODE mchn'!$A$4:$C$170,3,0)),"",VLOOKUP(Tableau13[[#This Row],[Code machine]],'CODE mchn'!$A$4:$C$170,3,0))</f>
        <v>Poyatos 2</v>
      </c>
      <c r="E10" s="105"/>
      <c r="F10" s="36"/>
      <c r="G10" s="36" t="s">
        <v>20</v>
      </c>
      <c r="H10" s="36"/>
      <c r="I10" s="36" t="s">
        <v>19</v>
      </c>
      <c r="J10" s="106" t="s">
        <v>21</v>
      </c>
      <c r="K10" s="104">
        <v>43496</v>
      </c>
      <c r="L10" s="36" t="s">
        <v>22</v>
      </c>
      <c r="M10" s="107"/>
      <c r="N10" s="108">
        <f>MONTH(Tableau13[[#This Row],[Date fin intervention]])</f>
        <v>1</v>
      </c>
      <c r="O10" s="108">
        <f>YEAR(Tableau13[[#This Row],[Date fin intervention]])</f>
        <v>2019</v>
      </c>
      <c r="P10" s="36"/>
    </row>
    <row r="11" spans="1:16" ht="28.5">
      <c r="A11" s="104">
        <v>43496</v>
      </c>
      <c r="B11" s="105">
        <v>700</v>
      </c>
      <c r="C11" s="106" t="str">
        <f>IF(ISNA(VLOOKUP(Tableau13[[#This Row],[Code machine]],'CODE mchn'!$A$4:$C$170,2,0)),"",VLOOKUP(Tableau13[[#This Row],[Code machine]],'CODE mchn'!$A$4:$C$170,2,0))</f>
        <v>Béton</v>
      </c>
      <c r="D11" s="36" t="str">
        <f>IF(ISNA(VLOOKUP(Tableau13[[#This Row],[Code machine]],'CODE mchn'!$A$4:$C$170,3,0)),"",VLOOKUP(Tableau13[[#This Row],[Code machine]],'CODE mchn'!$A$4:$C$170,3,0))</f>
        <v>Poyatos 1</v>
      </c>
      <c r="E11" s="105"/>
      <c r="F11" s="36"/>
      <c r="G11" s="36" t="s">
        <v>23</v>
      </c>
      <c r="H11" s="36"/>
      <c r="I11" s="36" t="s">
        <v>13</v>
      </c>
      <c r="J11" s="106" t="s">
        <v>24</v>
      </c>
      <c r="K11" s="104">
        <v>43496</v>
      </c>
      <c r="L11" s="36" t="s">
        <v>25</v>
      </c>
      <c r="M11" s="107"/>
      <c r="N11" s="108">
        <f>MONTH(Tableau13[[#This Row],[Date fin intervention]])</f>
        <v>1</v>
      </c>
      <c r="O11" s="108">
        <f>YEAR(Tableau13[[#This Row],[Date fin intervention]])</f>
        <v>2019</v>
      </c>
      <c r="P11" s="36"/>
    </row>
    <row r="12" spans="1:16" ht="28.5">
      <c r="A12" s="104">
        <v>43496</v>
      </c>
      <c r="B12" s="105">
        <v>565</v>
      </c>
      <c r="C12" s="106" t="str">
        <f>IF(ISNA(VLOOKUP(Tableau13[[#This Row],[Code machine]],'CODE mchn'!$A$4:$C$170,2,0)),"",VLOOKUP(Tableau13[[#This Row],[Code machine]],'CODE mchn'!$A$4:$C$170,2,0))</f>
        <v>Acier</v>
      </c>
      <c r="D12" s="36" t="str">
        <f>IF(ISNA(VLOOKUP(Tableau13[[#This Row],[Code machine]],'CODE mchn'!$A$4:$C$170,3,0)),"",VLOOKUP(Tableau13[[#This Row],[Code machine]],'CODE mchn'!$A$4:$C$170,3,0))</f>
        <v>EVG GE12</v>
      </c>
      <c r="E12" s="105"/>
      <c r="F12" s="36"/>
      <c r="G12" s="36" t="s">
        <v>27</v>
      </c>
      <c r="H12" s="36"/>
      <c r="I12" s="36" t="s">
        <v>26</v>
      </c>
      <c r="J12" s="106" t="s">
        <v>28</v>
      </c>
      <c r="K12" s="104">
        <v>43496</v>
      </c>
      <c r="L12" s="36" t="s">
        <v>29</v>
      </c>
      <c r="M12" s="107"/>
      <c r="N12" s="108">
        <f>MONTH(Tableau13[[#This Row],[Date fin intervention]])</f>
        <v>1</v>
      </c>
      <c r="O12" s="108">
        <f>YEAR(Tableau13[[#This Row],[Date fin intervention]])</f>
        <v>2019</v>
      </c>
      <c r="P12" s="36"/>
    </row>
    <row r="13" spans="1:16">
      <c r="A13" s="104">
        <v>43496</v>
      </c>
      <c r="B13" s="105">
        <v>533</v>
      </c>
      <c r="C13" s="106" t="str">
        <f>IF(ISNA(VLOOKUP(Tableau13[[#This Row],[Code machine]],'CODE mchn'!$A$4:$C$170,2,0)),"",VLOOKUP(Tableau13[[#This Row],[Code machine]],'CODE mchn'!$A$4:$C$170,2,0))</f>
        <v>Enrobage</v>
      </c>
      <c r="D13" s="36" t="str">
        <f>IF(ISNA(VLOOKUP(Tableau13[[#This Row],[Code machine]],'CODE mchn'!$A$4:$C$170,3,0)),"",VLOOKUP(Tableau13[[#This Row],[Code machine]],'CODE mchn'!$A$4:$C$170,3,0))</f>
        <v>CAROSSEL</v>
      </c>
      <c r="E13" s="105"/>
      <c r="F13" s="36"/>
      <c r="G13" s="36" t="s">
        <v>31</v>
      </c>
      <c r="H13" s="36"/>
      <c r="I13" s="36" t="s">
        <v>30</v>
      </c>
      <c r="J13" s="106" t="s">
        <v>32</v>
      </c>
      <c r="K13" s="104">
        <v>43496</v>
      </c>
      <c r="L13" s="36" t="s">
        <v>33</v>
      </c>
      <c r="M13" s="107"/>
      <c r="N13" s="108">
        <f>MONTH(Tableau13[[#This Row],[Date fin intervention]])</f>
        <v>1</v>
      </c>
      <c r="O13" s="108">
        <f>YEAR(Tableau13[[#This Row],[Date fin intervention]])</f>
        <v>2019</v>
      </c>
      <c r="P13" s="36"/>
    </row>
    <row r="14" spans="1:16" ht="42.75">
      <c r="A14" s="104">
        <v>43496</v>
      </c>
      <c r="B14" s="105">
        <v>901</v>
      </c>
      <c r="C14" s="106" t="str">
        <f>IF(ISNA(VLOOKUP(Tableau13[[#This Row],[Code machine]],'CODE mchn'!$A$4:$C$170,2,0)),"",VLOOKUP(Tableau13[[#This Row],[Code machine]],'CODE mchn'!$A$4:$C$170,2,0))</f>
        <v>Gestion de stock</v>
      </c>
      <c r="D14" s="36" t="str">
        <f>IF(ISNA(VLOOKUP(Tableau13[[#This Row],[Code machine]],'CODE mchn'!$A$4:$C$170,3,0)),"",VLOOKUP(Tableau13[[#This Row],[Code machine]],'CODE mchn'!$A$4:$C$170,3,0))</f>
        <v>Grue à tour 1</v>
      </c>
      <c r="E14" s="105"/>
      <c r="F14" s="36"/>
      <c r="G14" s="36" t="s">
        <v>35</v>
      </c>
      <c r="H14" s="36"/>
      <c r="I14" s="36"/>
      <c r="J14" s="106" t="s">
        <v>36</v>
      </c>
      <c r="K14" s="104">
        <v>43496</v>
      </c>
      <c r="L14" s="36" t="s">
        <v>37</v>
      </c>
      <c r="M14" s="107"/>
      <c r="N14" s="108">
        <f>MONTH(Tableau13[[#This Row],[Date fin intervention]])</f>
        <v>1</v>
      </c>
      <c r="O14" s="108">
        <f>YEAR(Tableau13[[#This Row],[Date fin intervention]])</f>
        <v>2019</v>
      </c>
      <c r="P14" s="36"/>
    </row>
    <row r="15" spans="1:16" ht="28.5">
      <c r="A15" s="104">
        <v>43497</v>
      </c>
      <c r="B15" s="105">
        <v>571</v>
      </c>
      <c r="C15" s="106" t="str">
        <f>IF(ISNA(VLOOKUP(Tableau13[[#This Row],[Code machine]],'CODE mchn'!$A$4:$C$170,2,0)),"",VLOOKUP(Tableau13[[#This Row],[Code machine]],'CODE mchn'!$A$4:$C$170,2,0))</f>
        <v>Acier</v>
      </c>
      <c r="D15" s="36" t="str">
        <f>IF(ISNA(VLOOKUP(Tableau13[[#This Row],[Code machine]],'CODE mchn'!$A$4:$C$170,3,0)),"",VLOOKUP(Tableau13[[#This Row],[Code machine]],'CODE mchn'!$A$4:$C$170,3,0))</f>
        <v>EVG PN 1</v>
      </c>
      <c r="E15" s="105"/>
      <c r="F15" s="36"/>
      <c r="G15" s="36" t="s">
        <v>10</v>
      </c>
      <c r="H15" s="36"/>
      <c r="I15" s="36" t="s">
        <v>13</v>
      </c>
      <c r="J15" s="106" t="s">
        <v>39</v>
      </c>
      <c r="K15" s="104">
        <v>43497</v>
      </c>
      <c r="L15" s="36" t="s">
        <v>40</v>
      </c>
      <c r="M15" s="107"/>
      <c r="N15" s="108">
        <f>MONTH(Tableau13[[#This Row],[Date fin intervention]])</f>
        <v>2</v>
      </c>
      <c r="O15" s="108">
        <f>YEAR(Tableau13[[#This Row],[Date fin intervention]])</f>
        <v>2019</v>
      </c>
      <c r="P15" s="36"/>
    </row>
    <row r="16" spans="1:16">
      <c r="A16" s="104">
        <v>43497</v>
      </c>
      <c r="B16" s="105">
        <v>571</v>
      </c>
      <c r="C16" s="106" t="str">
        <f>IF(ISNA(VLOOKUP(Tableau13[[#This Row],[Code machine]],'CODE mchn'!$A$4:$C$170,2,0)),"",VLOOKUP(Tableau13[[#This Row],[Code machine]],'CODE mchn'!$A$4:$C$170,2,0))</f>
        <v>Acier</v>
      </c>
      <c r="D16" s="36" t="str">
        <f>IF(ISNA(VLOOKUP(Tableau13[[#This Row],[Code machine]],'CODE mchn'!$A$4:$C$170,3,0)),"",VLOOKUP(Tableau13[[#This Row],[Code machine]],'CODE mchn'!$A$4:$C$170,3,0))</f>
        <v>EVG PN 1</v>
      </c>
      <c r="E16" s="105"/>
      <c r="F16" s="36"/>
      <c r="G16" s="36" t="s">
        <v>27</v>
      </c>
      <c r="H16" s="36"/>
      <c r="I16" s="36" t="s">
        <v>26</v>
      </c>
      <c r="J16" s="106" t="s">
        <v>41</v>
      </c>
      <c r="K16" s="104">
        <v>43497</v>
      </c>
      <c r="L16" s="36" t="s">
        <v>42</v>
      </c>
      <c r="M16" s="107"/>
      <c r="N16" s="108">
        <f>MONTH(Tableau13[[#This Row],[Date fin intervention]])</f>
        <v>2</v>
      </c>
      <c r="O16" s="108">
        <f>YEAR(Tableau13[[#This Row],[Date fin intervention]])</f>
        <v>2019</v>
      </c>
      <c r="P16" s="36"/>
    </row>
    <row r="17" spans="1:16" ht="28.5">
      <c r="A17" s="104">
        <v>43497</v>
      </c>
      <c r="B17" s="105">
        <v>700</v>
      </c>
      <c r="C17" s="106" t="str">
        <f>IF(ISNA(VLOOKUP(Tableau13[[#This Row],[Code machine]],'CODE mchn'!$A$4:$C$170,2,0)),"",VLOOKUP(Tableau13[[#This Row],[Code machine]],'CODE mchn'!$A$4:$C$170,2,0))</f>
        <v>Béton</v>
      </c>
      <c r="D17" s="36" t="str">
        <f>IF(ISNA(VLOOKUP(Tableau13[[#This Row],[Code machine]],'CODE mchn'!$A$4:$C$170,3,0)),"",VLOOKUP(Tableau13[[#This Row],[Code machine]],'CODE mchn'!$A$4:$C$170,3,0))</f>
        <v>Poyatos 1</v>
      </c>
      <c r="E17" s="105"/>
      <c r="F17" s="36"/>
      <c r="G17" s="36" t="s">
        <v>43</v>
      </c>
      <c r="H17" s="36"/>
      <c r="I17" s="36" t="s">
        <v>13</v>
      </c>
      <c r="J17" s="106" t="s">
        <v>44</v>
      </c>
      <c r="K17" s="104">
        <v>43497</v>
      </c>
      <c r="L17" s="36" t="s">
        <v>45</v>
      </c>
      <c r="M17" s="107"/>
      <c r="N17" s="108">
        <f>MONTH(Tableau13[[#This Row],[Date fin intervention]])</f>
        <v>2</v>
      </c>
      <c r="O17" s="108">
        <f>YEAR(Tableau13[[#This Row],[Date fin intervention]])</f>
        <v>2019</v>
      </c>
      <c r="P17" s="36"/>
    </row>
    <row r="18" spans="1:16">
      <c r="A18" s="104">
        <v>43497</v>
      </c>
      <c r="B18" s="105">
        <v>800</v>
      </c>
      <c r="C18" s="106" t="str">
        <f>IF(ISNA(VLOOKUP(Tableau13[[#This Row],[Code machine]],'CODE mchn'!$A$4:$C$170,2,0)),"",VLOOKUP(Tableau13[[#This Row],[Code machine]],'CODE mchn'!$A$4:$C$170,2,0))</f>
        <v>Béton</v>
      </c>
      <c r="D18" s="36" t="str">
        <f>IF(ISNA(VLOOKUP(Tableau13[[#This Row],[Code machine]],'CODE mchn'!$A$4:$C$170,3,0)),"",VLOOKUP(Tableau13[[#This Row],[Code machine]],'CODE mchn'!$A$4:$C$170,3,0))</f>
        <v>Poyatos 2</v>
      </c>
      <c r="E18" s="105"/>
      <c r="F18" s="36"/>
      <c r="G18" s="36" t="s">
        <v>46</v>
      </c>
      <c r="H18" s="36"/>
      <c r="I18" s="36" t="s">
        <v>19</v>
      </c>
      <c r="J18" s="106" t="s">
        <v>47</v>
      </c>
      <c r="K18" s="104">
        <v>43497</v>
      </c>
      <c r="L18" s="36" t="s">
        <v>48</v>
      </c>
      <c r="M18" s="107"/>
      <c r="N18" s="108">
        <f>MONTH(Tableau13[[#This Row],[Date fin intervention]])</f>
        <v>2</v>
      </c>
      <c r="O18" s="108">
        <f>YEAR(Tableau13[[#This Row],[Date fin intervention]])</f>
        <v>2019</v>
      </c>
      <c r="P18" s="36"/>
    </row>
    <row r="19" spans="1:16">
      <c r="A19" s="104">
        <v>43497</v>
      </c>
      <c r="B19" s="105">
        <v>800</v>
      </c>
      <c r="C19" s="106" t="str">
        <f>IF(ISNA(VLOOKUP(Tableau13[[#This Row],[Code machine]],'CODE mchn'!$A$4:$C$170,2,0)),"",VLOOKUP(Tableau13[[#This Row],[Code machine]],'CODE mchn'!$A$4:$C$170,2,0))</f>
        <v>Béton</v>
      </c>
      <c r="D19" s="36" t="str">
        <f>IF(ISNA(VLOOKUP(Tableau13[[#This Row],[Code machine]],'CODE mchn'!$A$4:$C$170,3,0)),"",VLOOKUP(Tableau13[[#This Row],[Code machine]],'CODE mchn'!$A$4:$C$170,3,0))</f>
        <v>Poyatos 2</v>
      </c>
      <c r="E19" s="105"/>
      <c r="F19" s="36"/>
      <c r="G19" s="106" t="s">
        <v>49</v>
      </c>
      <c r="H19" s="106"/>
      <c r="I19" s="36" t="s">
        <v>19</v>
      </c>
      <c r="J19" s="106" t="s">
        <v>50</v>
      </c>
      <c r="K19" s="104">
        <v>43497</v>
      </c>
      <c r="L19" s="36" t="s">
        <v>51</v>
      </c>
      <c r="M19" s="107"/>
      <c r="N19" s="108">
        <f>MONTH(Tableau13[[#This Row],[Date fin intervention]])</f>
        <v>2</v>
      </c>
      <c r="O19" s="108">
        <f>YEAR(Tableau13[[#This Row],[Date fin intervention]])</f>
        <v>2019</v>
      </c>
      <c r="P19" s="36"/>
    </row>
    <row r="20" spans="1:16" ht="28.5">
      <c r="A20" s="104">
        <v>43497</v>
      </c>
      <c r="B20" s="105">
        <v>562</v>
      </c>
      <c r="C20" s="106" t="str">
        <f>IF(ISNA(VLOOKUP(Tableau13[[#This Row],[Code machine]],'CODE mchn'!$A$4:$C$170,2,0)),"",VLOOKUP(Tableau13[[#This Row],[Code machine]],'CODE mchn'!$A$4:$C$170,2,0))</f>
        <v>Ponts roulants</v>
      </c>
      <c r="D20" s="36" t="str">
        <f>IF(ISNA(VLOOKUP(Tableau13[[#This Row],[Code machine]],'CODE mchn'!$A$4:$C$170,3,0)),"",VLOOKUP(Tableau13[[#This Row],[Code machine]],'CODE mchn'!$A$4:$C$170,3,0))</f>
        <v>Pont roulant GH Beasain 12T</v>
      </c>
      <c r="E20" s="105"/>
      <c r="F20" s="36"/>
      <c r="G20" s="36" t="s">
        <v>52</v>
      </c>
      <c r="H20" s="36"/>
      <c r="I20" s="36" t="s">
        <v>13</v>
      </c>
      <c r="J20" s="106" t="s">
        <v>53</v>
      </c>
      <c r="K20" s="104">
        <v>43497</v>
      </c>
      <c r="L20" s="36" t="s">
        <v>54</v>
      </c>
      <c r="M20" s="107"/>
      <c r="N20" s="108">
        <f>MONTH(Tableau13[[#This Row],[Date fin intervention]])</f>
        <v>2</v>
      </c>
      <c r="O20" s="108">
        <f>YEAR(Tableau13[[#This Row],[Date fin intervention]])</f>
        <v>2019</v>
      </c>
      <c r="P20" s="36"/>
    </row>
    <row r="21" spans="1:16">
      <c r="A21" s="104">
        <v>43497</v>
      </c>
      <c r="B21" s="105">
        <v>565</v>
      </c>
      <c r="C21" s="106" t="str">
        <f>IF(ISNA(VLOOKUP(Tableau13[[#This Row],[Code machine]],'CODE mchn'!$A$4:$C$170,2,0)),"",VLOOKUP(Tableau13[[#This Row],[Code machine]],'CODE mchn'!$A$4:$C$170,2,0))</f>
        <v>Acier</v>
      </c>
      <c r="D21" s="36" t="str">
        <f>IF(ISNA(VLOOKUP(Tableau13[[#This Row],[Code machine]],'CODE mchn'!$A$4:$C$170,3,0)),"",VLOOKUP(Tableau13[[#This Row],[Code machine]],'CODE mchn'!$A$4:$C$170,3,0))</f>
        <v>EVG GE12</v>
      </c>
      <c r="E21" s="105"/>
      <c r="F21" s="36"/>
      <c r="G21" s="36" t="s">
        <v>55</v>
      </c>
      <c r="H21" s="36"/>
      <c r="I21" s="36" t="s">
        <v>13</v>
      </c>
      <c r="J21" s="106" t="s">
        <v>56</v>
      </c>
      <c r="K21" s="104">
        <v>43497</v>
      </c>
      <c r="L21" s="36" t="s">
        <v>57</v>
      </c>
      <c r="M21" s="107"/>
      <c r="N21" s="108">
        <f>MONTH(Tableau13[[#This Row],[Date fin intervention]])</f>
        <v>2</v>
      </c>
      <c r="O21" s="108">
        <f>YEAR(Tableau13[[#This Row],[Date fin intervention]])</f>
        <v>2019</v>
      </c>
      <c r="P21" s="36"/>
    </row>
    <row r="22" spans="1:16" ht="42.75">
      <c r="A22" s="104">
        <v>43497</v>
      </c>
      <c r="B22" s="105">
        <v>950</v>
      </c>
      <c r="C22" s="106" t="str">
        <f>IF(ISNA(VLOOKUP(Tableau13[[#This Row],[Code machine]],'CODE mchn'!$A$4:$C$170,2,0)),"",VLOOKUP(Tableau13[[#This Row],[Code machine]],'CODE mchn'!$A$4:$C$170,2,0))</f>
        <v>Usine</v>
      </c>
      <c r="D22" s="36" t="str">
        <f>IF(ISNA(VLOOKUP(Tableau13[[#This Row],[Code machine]],'CODE mchn'!$A$4:$C$170,3,0)),"",VLOOKUP(Tableau13[[#This Row],[Code machine]],'CODE mchn'!$A$4:$C$170,3,0))</f>
        <v>Fosse septique</v>
      </c>
      <c r="E22" s="105"/>
      <c r="F22" s="36"/>
      <c r="G22" s="36"/>
      <c r="H22" s="36"/>
      <c r="I22" s="36" t="s">
        <v>30</v>
      </c>
      <c r="J22" s="106" t="s">
        <v>58</v>
      </c>
      <c r="K22" s="104">
        <v>43497</v>
      </c>
      <c r="L22" s="36" t="s">
        <v>59</v>
      </c>
      <c r="M22" s="107"/>
      <c r="N22" s="108">
        <f>MONTH(Tableau13[[#This Row],[Date fin intervention]])</f>
        <v>2</v>
      </c>
      <c r="O22" s="108">
        <f>YEAR(Tableau13[[#This Row],[Date fin intervention]])</f>
        <v>2019</v>
      </c>
      <c r="P22" s="36"/>
    </row>
    <row r="23" spans="1:16">
      <c r="A23" s="104">
        <v>43500</v>
      </c>
      <c r="B23" s="105">
        <v>800</v>
      </c>
      <c r="C23" s="106" t="str">
        <f>IF(ISNA(VLOOKUP(Tableau13[[#This Row],[Code machine]],'CODE mchn'!$A$4:$C$170,2,0)),"",VLOOKUP(Tableau13[[#This Row],[Code machine]],'CODE mchn'!$A$4:$C$170,2,0))</f>
        <v>Béton</v>
      </c>
      <c r="D23" s="36" t="str">
        <f>IF(ISNA(VLOOKUP(Tableau13[[#This Row],[Code machine]],'CODE mchn'!$A$4:$C$170,3,0)),"",VLOOKUP(Tableau13[[#This Row],[Code machine]],'CODE mchn'!$A$4:$C$170,3,0))</f>
        <v>Poyatos 2</v>
      </c>
      <c r="E23" s="105"/>
      <c r="F23" s="36"/>
      <c r="G23" s="36" t="s">
        <v>60</v>
      </c>
      <c r="H23" s="36"/>
      <c r="I23" s="36" t="s">
        <v>13</v>
      </c>
      <c r="J23" s="106" t="s">
        <v>61</v>
      </c>
      <c r="K23" s="104">
        <v>43500</v>
      </c>
      <c r="L23" s="36" t="s">
        <v>62</v>
      </c>
      <c r="M23" s="107"/>
      <c r="N23" s="108">
        <f>MONTH(Tableau13[[#This Row],[Date fin intervention]])</f>
        <v>2</v>
      </c>
      <c r="O23" s="108">
        <f>YEAR(Tableau13[[#This Row],[Date fin intervention]])</f>
        <v>2019</v>
      </c>
      <c r="P23" s="36"/>
    </row>
    <row r="24" spans="1:16">
      <c r="A24" s="104">
        <v>43500</v>
      </c>
      <c r="B24" s="105">
        <v>901</v>
      </c>
      <c r="C24" s="106" t="str">
        <f>IF(ISNA(VLOOKUP(Tableau13[[#This Row],[Code machine]],'CODE mchn'!$A$4:$C$170,2,0)),"",VLOOKUP(Tableau13[[#This Row],[Code machine]],'CODE mchn'!$A$4:$C$170,2,0))</f>
        <v>Gestion de stock</v>
      </c>
      <c r="D24" s="36" t="str">
        <f>IF(ISNA(VLOOKUP(Tableau13[[#This Row],[Code machine]],'CODE mchn'!$A$4:$C$170,3,0)),"",VLOOKUP(Tableau13[[#This Row],[Code machine]],'CODE mchn'!$A$4:$C$170,3,0))</f>
        <v>Grue à tour 1</v>
      </c>
      <c r="E24" s="105"/>
      <c r="F24" s="36"/>
      <c r="G24" s="36" t="s">
        <v>35</v>
      </c>
      <c r="H24" s="36"/>
      <c r="I24" s="36" t="s">
        <v>63</v>
      </c>
      <c r="J24" s="106" t="s">
        <v>64</v>
      </c>
      <c r="K24" s="104">
        <v>43500</v>
      </c>
      <c r="L24" s="36" t="s">
        <v>65</v>
      </c>
      <c r="M24" s="107"/>
      <c r="N24" s="108">
        <f>MONTH(Tableau13[[#This Row],[Date fin intervention]])</f>
        <v>2</v>
      </c>
      <c r="O24" s="108">
        <f>YEAR(Tableau13[[#This Row],[Date fin intervention]])</f>
        <v>2019</v>
      </c>
      <c r="P24" s="36"/>
    </row>
    <row r="25" spans="1:16">
      <c r="A25" s="104">
        <v>43500</v>
      </c>
      <c r="B25" s="105">
        <v>581</v>
      </c>
      <c r="C25" s="106" t="str">
        <f>IF(ISNA(VLOOKUP(Tableau13[[#This Row],[Code machine]],'CODE mchn'!$A$4:$C$170,2,0)),"",VLOOKUP(Tableau13[[#This Row],[Code machine]],'CODE mchn'!$A$4:$C$170,2,0))</f>
        <v>Acier</v>
      </c>
      <c r="D25" s="36" t="str">
        <f>IF(ISNA(VLOOKUP(Tableau13[[#This Row],[Code machine]],'CODE mchn'!$A$4:$C$170,3,0)),"",VLOOKUP(Tableau13[[#This Row],[Code machine]],'CODE mchn'!$A$4:$C$170,3,0))</f>
        <v>Teurema 1</v>
      </c>
      <c r="E25" s="105"/>
      <c r="F25" s="36"/>
      <c r="G25" s="36" t="s">
        <v>67</v>
      </c>
      <c r="H25" s="36"/>
      <c r="I25" s="36" t="s">
        <v>13</v>
      </c>
      <c r="J25" s="106" t="s">
        <v>68</v>
      </c>
      <c r="K25" s="104">
        <v>43500</v>
      </c>
      <c r="L25" s="36" t="s">
        <v>69</v>
      </c>
      <c r="M25" s="107"/>
      <c r="N25" s="108">
        <f>MONTH(Tableau13[[#This Row],[Date fin intervention]])</f>
        <v>2</v>
      </c>
      <c r="O25" s="108">
        <f>YEAR(Tableau13[[#This Row],[Date fin intervention]])</f>
        <v>2019</v>
      </c>
      <c r="P25" s="36"/>
    </row>
    <row r="26" spans="1:16">
      <c r="A26" s="104">
        <v>43500</v>
      </c>
      <c r="B26" s="105">
        <v>580</v>
      </c>
      <c r="C26" s="106" t="str">
        <f>IF(ISNA(VLOOKUP(Tableau13[[#This Row],[Code machine]],'CODE mchn'!$A$4:$C$170,2,0)),"",VLOOKUP(Tableau13[[#This Row],[Code machine]],'CODE mchn'!$A$4:$C$170,2,0))</f>
        <v>Acier</v>
      </c>
      <c r="D26" s="36" t="str">
        <f>IF(ISNA(VLOOKUP(Tableau13[[#This Row],[Code machine]],'CODE mchn'!$A$4:$C$170,3,0)),"",VLOOKUP(Tableau13[[#This Row],[Code machine]],'CODE mchn'!$A$4:$C$170,3,0))</f>
        <v>Techno Impiante</v>
      </c>
      <c r="E26" s="105"/>
      <c r="F26" s="36"/>
      <c r="G26" s="36" t="s">
        <v>70</v>
      </c>
      <c r="H26" s="36"/>
      <c r="I26" s="36" t="s">
        <v>13</v>
      </c>
      <c r="J26" s="106" t="s">
        <v>71</v>
      </c>
      <c r="K26" s="104">
        <v>43500</v>
      </c>
      <c r="L26" s="36"/>
      <c r="M26" s="107"/>
      <c r="N26" s="108">
        <f>MONTH(Tableau13[[#This Row],[Date fin intervention]])</f>
        <v>2</v>
      </c>
      <c r="O26" s="108">
        <f>YEAR(Tableau13[[#This Row],[Date fin intervention]])</f>
        <v>2019</v>
      </c>
      <c r="P26" s="36"/>
    </row>
    <row r="27" spans="1:16" ht="42.75">
      <c r="A27" s="104">
        <v>43500</v>
      </c>
      <c r="B27" s="105">
        <v>533</v>
      </c>
      <c r="C27" s="106" t="str">
        <f>IF(ISNA(VLOOKUP(Tableau13[[#This Row],[Code machine]],'CODE mchn'!$A$4:$C$170,2,0)),"",VLOOKUP(Tableau13[[#This Row],[Code machine]],'CODE mchn'!$A$4:$C$170,2,0))</f>
        <v>Enrobage</v>
      </c>
      <c r="D27" s="36" t="str">
        <f>IF(ISNA(VLOOKUP(Tableau13[[#This Row],[Code machine]],'CODE mchn'!$A$4:$C$170,3,0)),"",VLOOKUP(Tableau13[[#This Row],[Code machine]],'CODE mchn'!$A$4:$C$170,3,0))</f>
        <v>CAROSSEL</v>
      </c>
      <c r="E27" s="105"/>
      <c r="F27" s="36"/>
      <c r="G27" s="36" t="s">
        <v>31</v>
      </c>
      <c r="H27" s="36"/>
      <c r="I27" s="36" t="s">
        <v>19</v>
      </c>
      <c r="J27" s="106" t="s">
        <v>72</v>
      </c>
      <c r="K27" s="104">
        <v>43500</v>
      </c>
      <c r="L27" s="36" t="s">
        <v>73</v>
      </c>
      <c r="M27" s="107"/>
      <c r="N27" s="108">
        <f>MONTH(Tableau13[[#This Row],[Date fin intervention]])</f>
        <v>2</v>
      </c>
      <c r="O27" s="108">
        <f>YEAR(Tableau13[[#This Row],[Date fin intervention]])</f>
        <v>2019</v>
      </c>
      <c r="P27" s="36"/>
    </row>
    <row r="28" spans="1:16" ht="28.5">
      <c r="A28" s="104">
        <v>43500</v>
      </c>
      <c r="B28" s="105">
        <v>607</v>
      </c>
      <c r="C28" s="106" t="str">
        <f>IF(ISNA(VLOOKUP(Tableau13[[#This Row],[Code machine]],'CODE mchn'!$A$4:$C$170,2,0)),"",VLOOKUP(Tableau13[[#This Row],[Code machine]],'CODE mchn'!$A$4:$C$170,2,0))</f>
        <v>Acier</v>
      </c>
      <c r="D28" s="36" t="str">
        <f>IF(ISNA(VLOOKUP(Tableau13[[#This Row],[Code machine]],'CODE mchn'!$A$4:$C$170,3,0)),"",VLOOKUP(Tableau13[[#This Row],[Code machine]],'CODE mchn'!$A$4:$C$170,3,0))</f>
        <v>Vitari 3</v>
      </c>
      <c r="E28" s="105"/>
      <c r="F28" s="36"/>
      <c r="G28" s="36" t="s">
        <v>75</v>
      </c>
      <c r="H28" s="36"/>
      <c r="I28" s="36" t="s">
        <v>8</v>
      </c>
      <c r="J28" s="106" t="s">
        <v>76</v>
      </c>
      <c r="K28" s="104">
        <v>43500</v>
      </c>
      <c r="L28" s="36" t="s">
        <v>77</v>
      </c>
      <c r="M28" s="107"/>
      <c r="N28" s="108">
        <f>MONTH(Tableau13[[#This Row],[Date fin intervention]])</f>
        <v>2</v>
      </c>
      <c r="O28" s="108">
        <f>YEAR(Tableau13[[#This Row],[Date fin intervention]])</f>
        <v>2019</v>
      </c>
      <c r="P28" s="36"/>
    </row>
    <row r="29" spans="1:16">
      <c r="A29" s="104">
        <v>43500</v>
      </c>
      <c r="B29" s="105">
        <v>605</v>
      </c>
      <c r="C29" s="106" t="str">
        <f>IF(ISNA(VLOOKUP(Tableau13[[#This Row],[Code machine]],'CODE mchn'!$A$4:$C$170,2,0)),"",VLOOKUP(Tableau13[[#This Row],[Code machine]],'CODE mchn'!$A$4:$C$170,2,0))</f>
        <v>Acier</v>
      </c>
      <c r="D29" s="36" t="str">
        <f>IF(ISNA(VLOOKUP(Tableau13[[#This Row],[Code machine]],'CODE mchn'!$A$4:$C$170,3,0)),"",VLOOKUP(Tableau13[[#This Row],[Code machine]],'CODE mchn'!$A$4:$C$170,3,0))</f>
        <v>Vitari 1</v>
      </c>
      <c r="E29" s="105"/>
      <c r="F29" s="36"/>
      <c r="G29" s="36" t="s">
        <v>78</v>
      </c>
      <c r="H29" s="36"/>
      <c r="I29" s="36" t="s">
        <v>8</v>
      </c>
      <c r="J29" s="106" t="s">
        <v>79</v>
      </c>
      <c r="K29" s="104">
        <v>43500</v>
      </c>
      <c r="L29" s="36" t="s">
        <v>77</v>
      </c>
      <c r="M29" s="107"/>
      <c r="N29" s="108">
        <f>MONTH(Tableau13[[#This Row],[Date fin intervention]])</f>
        <v>2</v>
      </c>
      <c r="O29" s="108">
        <f>YEAR(Tableau13[[#This Row],[Date fin intervention]])</f>
        <v>2019</v>
      </c>
      <c r="P29" s="36"/>
    </row>
    <row r="30" spans="1:16" ht="28.5">
      <c r="A30" s="104">
        <v>43500</v>
      </c>
      <c r="B30" s="105">
        <v>568</v>
      </c>
      <c r="C30" s="106" t="str">
        <f>IF(ISNA(VLOOKUP(Tableau13[[#This Row],[Code machine]],'CODE mchn'!$A$4:$C$170,2,0)),"",VLOOKUP(Tableau13[[#This Row],[Code machine]],'CODE mchn'!$A$4:$C$170,2,0))</f>
        <v>Ponts roulants</v>
      </c>
      <c r="D30" s="36" t="str">
        <f>IF(ISNA(VLOOKUP(Tableau13[[#This Row],[Code machine]],'CODE mchn'!$A$4:$C$170,3,0)),"",VLOOKUP(Tableau13[[#This Row],[Code machine]],'CODE mchn'!$A$4:$C$170,3,0))</f>
        <v>Pont roulant Demag 5T (milieu)</v>
      </c>
      <c r="E30" s="105"/>
      <c r="F30" s="36"/>
      <c r="G30" s="36" t="s">
        <v>80</v>
      </c>
      <c r="H30" s="36"/>
      <c r="I30" s="36" t="s">
        <v>13</v>
      </c>
      <c r="J30" s="106" t="s">
        <v>81</v>
      </c>
      <c r="K30" s="104">
        <v>43500</v>
      </c>
      <c r="L30" s="36" t="s">
        <v>82</v>
      </c>
      <c r="M30" s="107"/>
      <c r="N30" s="108">
        <f>MONTH(Tableau13[[#This Row],[Date fin intervention]])</f>
        <v>2</v>
      </c>
      <c r="O30" s="108">
        <f>YEAR(Tableau13[[#This Row],[Date fin intervention]])</f>
        <v>2019</v>
      </c>
      <c r="P30" s="36"/>
    </row>
    <row r="31" spans="1:16">
      <c r="A31" s="104">
        <v>43501</v>
      </c>
      <c r="B31" s="105">
        <v>571</v>
      </c>
      <c r="C31" s="106" t="str">
        <f>IF(ISNA(VLOOKUP(Tableau13[[#This Row],[Code machine]],'CODE mchn'!$A$4:$C$170,2,0)),"",VLOOKUP(Tableau13[[#This Row],[Code machine]],'CODE mchn'!$A$4:$C$170,2,0))</f>
        <v>Acier</v>
      </c>
      <c r="D31" s="36" t="str">
        <f>IF(ISNA(VLOOKUP(Tableau13[[#This Row],[Code machine]],'CODE mchn'!$A$4:$C$170,3,0)),"",VLOOKUP(Tableau13[[#This Row],[Code machine]],'CODE mchn'!$A$4:$C$170,3,0))</f>
        <v>EVG PN 1</v>
      </c>
      <c r="E31" s="105"/>
      <c r="F31" s="36"/>
      <c r="G31" s="36" t="s">
        <v>27</v>
      </c>
      <c r="H31" s="36"/>
      <c r="I31" s="36" t="s">
        <v>26</v>
      </c>
      <c r="J31" s="106" t="s">
        <v>83</v>
      </c>
      <c r="K31" s="104">
        <v>43501</v>
      </c>
      <c r="L31" s="36" t="s">
        <v>84</v>
      </c>
      <c r="M31" s="107"/>
      <c r="N31" s="108">
        <f>MONTH(Tableau13[[#This Row],[Date fin intervention]])</f>
        <v>2</v>
      </c>
      <c r="O31" s="108">
        <f>YEAR(Tableau13[[#This Row],[Date fin intervention]])</f>
        <v>2019</v>
      </c>
      <c r="P31" s="36"/>
    </row>
    <row r="32" spans="1:16">
      <c r="A32" s="104">
        <v>43501</v>
      </c>
      <c r="B32" s="105">
        <v>560</v>
      </c>
      <c r="C32" s="106" t="str">
        <f>IF(ISNA(VLOOKUP(Tableau13[[#This Row],[Code machine]],'CODE mchn'!$A$4:$C$170,2,0)),"",VLOOKUP(Tableau13[[#This Row],[Code machine]],'CODE mchn'!$A$4:$C$170,2,0))</f>
        <v>Acier</v>
      </c>
      <c r="D32" s="36" t="str">
        <f>IF(ISNA(VLOOKUP(Tableau13[[#This Row],[Code machine]],'CODE mchn'!$A$4:$C$170,3,0)),"",VLOOKUP(Tableau13[[#This Row],[Code machine]],'CODE mchn'!$A$4:$C$170,3,0))</f>
        <v>Schlatter</v>
      </c>
      <c r="E32" s="105"/>
      <c r="F32" s="36"/>
      <c r="G32" s="36" t="s">
        <v>55</v>
      </c>
      <c r="H32" s="36"/>
      <c r="I32" s="36" t="s">
        <v>13</v>
      </c>
      <c r="J32" s="106" t="s">
        <v>56</v>
      </c>
      <c r="K32" s="104">
        <v>43501</v>
      </c>
      <c r="L32" s="36" t="s">
        <v>85</v>
      </c>
      <c r="M32" s="107"/>
      <c r="N32" s="108">
        <f>MONTH(Tableau13[[#This Row],[Date fin intervention]])</f>
        <v>2</v>
      </c>
      <c r="O32" s="108">
        <f>YEAR(Tableau13[[#This Row],[Date fin intervention]])</f>
        <v>2019</v>
      </c>
      <c r="P32" s="36"/>
    </row>
    <row r="33" spans="1:16">
      <c r="A33" s="104">
        <v>43501</v>
      </c>
      <c r="B33" s="105">
        <v>700</v>
      </c>
      <c r="C33" s="106" t="str">
        <f>IF(ISNA(VLOOKUP(Tableau13[[#This Row],[Code machine]],'CODE mchn'!$A$4:$C$170,2,0)),"",VLOOKUP(Tableau13[[#This Row],[Code machine]],'CODE mchn'!$A$4:$C$170,2,0))</f>
        <v>Béton</v>
      </c>
      <c r="D33" s="36" t="str">
        <f>IF(ISNA(VLOOKUP(Tableau13[[#This Row],[Code machine]],'CODE mchn'!$A$4:$C$170,3,0)),"",VLOOKUP(Tableau13[[#This Row],[Code machine]],'CODE mchn'!$A$4:$C$170,3,0))</f>
        <v>Poyatos 1</v>
      </c>
      <c r="E33" s="105"/>
      <c r="F33" s="36"/>
      <c r="G33" s="36" t="s">
        <v>43</v>
      </c>
      <c r="H33" s="36"/>
      <c r="I33" s="36" t="s">
        <v>13</v>
      </c>
      <c r="J33" s="106" t="s">
        <v>86</v>
      </c>
      <c r="K33" s="104">
        <v>43501</v>
      </c>
      <c r="L33" s="36" t="s">
        <v>87</v>
      </c>
      <c r="M33" s="107"/>
      <c r="N33" s="108">
        <f>MONTH(Tableau13[[#This Row],[Date fin intervention]])</f>
        <v>2</v>
      </c>
      <c r="O33" s="108">
        <f>YEAR(Tableau13[[#This Row],[Date fin intervention]])</f>
        <v>2019</v>
      </c>
      <c r="P33" s="36"/>
    </row>
    <row r="34" spans="1:16" ht="28.5">
      <c r="A34" s="104">
        <v>43501</v>
      </c>
      <c r="B34" s="105">
        <v>562</v>
      </c>
      <c r="C34" s="106" t="str">
        <f>IF(ISNA(VLOOKUP(Tableau13[[#This Row],[Code machine]],'CODE mchn'!$A$4:$C$170,2,0)),"",VLOOKUP(Tableau13[[#This Row],[Code machine]],'CODE mchn'!$A$4:$C$170,2,0))</f>
        <v>Ponts roulants</v>
      </c>
      <c r="D34" s="36" t="str">
        <f>IF(ISNA(VLOOKUP(Tableau13[[#This Row],[Code machine]],'CODE mchn'!$A$4:$C$170,3,0)),"",VLOOKUP(Tableau13[[#This Row],[Code machine]],'CODE mchn'!$A$4:$C$170,3,0))</f>
        <v>Pont roulant GH Beasain 12T</v>
      </c>
      <c r="E34" s="105"/>
      <c r="F34" s="36"/>
      <c r="G34" s="36" t="s">
        <v>52</v>
      </c>
      <c r="H34" s="36"/>
      <c r="I34" s="36" t="s">
        <v>13</v>
      </c>
      <c r="J34" s="106" t="s">
        <v>88</v>
      </c>
      <c r="K34" s="104">
        <v>43501</v>
      </c>
      <c r="L34" s="36" t="s">
        <v>82</v>
      </c>
      <c r="M34" s="107"/>
      <c r="N34" s="108">
        <f>MONTH(Tableau13[[#This Row],[Date fin intervention]])</f>
        <v>2</v>
      </c>
      <c r="O34" s="108">
        <f>YEAR(Tableau13[[#This Row],[Date fin intervention]])</f>
        <v>2019</v>
      </c>
      <c r="P34" s="36"/>
    </row>
    <row r="35" spans="1:16" ht="28.5">
      <c r="A35" s="104">
        <v>43501</v>
      </c>
      <c r="B35" s="105">
        <v>580</v>
      </c>
      <c r="C35" s="106" t="str">
        <f>IF(ISNA(VLOOKUP(Tableau13[[#This Row],[Code machine]],'CODE mchn'!$A$4:$C$170,2,0)),"",VLOOKUP(Tableau13[[#This Row],[Code machine]],'CODE mchn'!$A$4:$C$170,2,0))</f>
        <v>Acier</v>
      </c>
      <c r="D35" s="36" t="str">
        <f>IF(ISNA(VLOOKUP(Tableau13[[#This Row],[Code machine]],'CODE mchn'!$A$4:$C$170,3,0)),"",VLOOKUP(Tableau13[[#This Row],[Code machine]],'CODE mchn'!$A$4:$C$170,3,0))</f>
        <v>Techno Impiante</v>
      </c>
      <c r="E35" s="105"/>
      <c r="F35" s="36"/>
      <c r="G35" s="36" t="s">
        <v>55</v>
      </c>
      <c r="H35" s="36"/>
      <c r="I35" s="36" t="s">
        <v>13</v>
      </c>
      <c r="J35" s="106" t="s">
        <v>89</v>
      </c>
      <c r="K35" s="104">
        <v>43501</v>
      </c>
      <c r="L35" s="36" t="s">
        <v>90</v>
      </c>
      <c r="M35" s="107"/>
      <c r="N35" s="108">
        <f>MONTH(Tableau13[[#This Row],[Date fin intervention]])</f>
        <v>2</v>
      </c>
      <c r="O35" s="108">
        <f>YEAR(Tableau13[[#This Row],[Date fin intervention]])</f>
        <v>2019</v>
      </c>
      <c r="P35" s="36"/>
    </row>
    <row r="36" spans="1:16">
      <c r="A36" s="104">
        <v>43501</v>
      </c>
      <c r="B36" s="105">
        <v>581</v>
      </c>
      <c r="C36" s="106" t="str">
        <f>IF(ISNA(VLOOKUP(Tableau13[[#This Row],[Code machine]],'CODE mchn'!$A$4:$C$170,2,0)),"",VLOOKUP(Tableau13[[#This Row],[Code machine]],'CODE mchn'!$A$4:$C$170,2,0))</f>
        <v>Acier</v>
      </c>
      <c r="D36" s="36" t="str">
        <f>IF(ISNA(VLOOKUP(Tableau13[[#This Row],[Code machine]],'CODE mchn'!$A$4:$C$170,3,0)),"",VLOOKUP(Tableau13[[#This Row],[Code machine]],'CODE mchn'!$A$4:$C$170,3,0))</f>
        <v>Teurema 1</v>
      </c>
      <c r="E36" s="105"/>
      <c r="F36" s="36"/>
      <c r="G36" s="36" t="s">
        <v>67</v>
      </c>
      <c r="H36" s="36"/>
      <c r="I36" s="36" t="s">
        <v>13</v>
      </c>
      <c r="J36" s="106" t="s">
        <v>91</v>
      </c>
      <c r="K36" s="104">
        <v>43501</v>
      </c>
      <c r="L36" s="36" t="s">
        <v>17</v>
      </c>
      <c r="M36" s="107"/>
      <c r="N36" s="108">
        <f>MONTH(Tableau13[[#This Row],[Date fin intervention]])</f>
        <v>2</v>
      </c>
      <c r="O36" s="108">
        <f>YEAR(Tableau13[[#This Row],[Date fin intervention]])</f>
        <v>2019</v>
      </c>
      <c r="P36" s="36"/>
    </row>
    <row r="37" spans="1:16">
      <c r="A37" s="104">
        <v>43501</v>
      </c>
      <c r="B37" s="105">
        <v>940</v>
      </c>
      <c r="C37" s="106" t="str">
        <f>IF(ISNA(VLOOKUP(Tableau13[[#This Row],[Code machine]],'CODE mchn'!$A$4:$C$170,2,0)),"",VLOOKUP(Tableau13[[#This Row],[Code machine]],'CODE mchn'!$A$4:$C$170,2,0))</f>
        <v>Usine</v>
      </c>
      <c r="D37" s="36" t="str">
        <f>IF(ISNA(VLOOKUP(Tableau13[[#This Row],[Code machine]],'CODE mchn'!$A$4:$C$170,3,0)),"",VLOOKUP(Tableau13[[#This Row],[Code machine]],'CODE mchn'!$A$4:$C$170,3,0))</f>
        <v>Ateliers</v>
      </c>
      <c r="E37" s="105"/>
      <c r="F37" s="36"/>
      <c r="G37" s="36"/>
      <c r="H37" s="36"/>
      <c r="I37" s="36" t="s">
        <v>342</v>
      </c>
      <c r="J37" s="106" t="s">
        <v>93</v>
      </c>
      <c r="K37" s="104">
        <v>43501</v>
      </c>
      <c r="L37" s="36" t="s">
        <v>94</v>
      </c>
      <c r="M37" s="107"/>
      <c r="N37" s="108">
        <f>MONTH(Tableau13[[#This Row],[Date fin intervention]])</f>
        <v>2</v>
      </c>
      <c r="O37" s="108">
        <f>YEAR(Tableau13[[#This Row],[Date fin intervention]])</f>
        <v>2019</v>
      </c>
      <c r="P37" s="36"/>
    </row>
    <row r="38" spans="1:16">
      <c r="A38" s="104">
        <v>43502</v>
      </c>
      <c r="B38" s="105">
        <v>605</v>
      </c>
      <c r="C38" s="106" t="str">
        <f>IF(ISNA(VLOOKUP(Tableau13[[#This Row],[Code machine]],'CODE mchn'!$A$4:$C$170,2,0)),"",VLOOKUP(Tableau13[[#This Row],[Code machine]],'CODE mchn'!$A$4:$C$170,2,0))</f>
        <v>Acier</v>
      </c>
      <c r="D38" s="36" t="str">
        <f>IF(ISNA(VLOOKUP(Tableau13[[#This Row],[Code machine]],'CODE mchn'!$A$4:$C$170,3,0)),"",VLOOKUP(Tableau13[[#This Row],[Code machine]],'CODE mchn'!$A$4:$C$170,3,0))</f>
        <v>Vitari 1</v>
      </c>
      <c r="E38" s="105"/>
      <c r="F38" s="36"/>
      <c r="G38" s="36" t="s">
        <v>95</v>
      </c>
      <c r="H38" s="36"/>
      <c r="I38" s="36" t="s">
        <v>13</v>
      </c>
      <c r="J38" s="106" t="s">
        <v>96</v>
      </c>
      <c r="K38" s="104">
        <v>43502</v>
      </c>
      <c r="L38" s="36" t="s">
        <v>77</v>
      </c>
      <c r="M38" s="107"/>
      <c r="N38" s="108">
        <f>MONTH(Tableau13[[#This Row],[Date fin intervention]])</f>
        <v>2</v>
      </c>
      <c r="O38" s="108">
        <f>YEAR(Tableau13[[#This Row],[Date fin intervention]])</f>
        <v>2019</v>
      </c>
      <c r="P38" s="36"/>
    </row>
    <row r="39" spans="1:16">
      <c r="A39" s="104">
        <v>43502</v>
      </c>
      <c r="B39" s="105">
        <v>565</v>
      </c>
      <c r="C39" s="106" t="str">
        <f>IF(ISNA(VLOOKUP(Tableau13[[#This Row],[Code machine]],'CODE mchn'!$A$4:$C$170,2,0)),"",VLOOKUP(Tableau13[[#This Row],[Code machine]],'CODE mchn'!$A$4:$C$170,2,0))</f>
        <v>Acier</v>
      </c>
      <c r="D39" s="36" t="str">
        <f>IF(ISNA(VLOOKUP(Tableau13[[#This Row],[Code machine]],'CODE mchn'!$A$4:$C$170,3,0)),"",VLOOKUP(Tableau13[[#This Row],[Code machine]],'CODE mchn'!$A$4:$C$170,3,0))</f>
        <v>EVG GE12</v>
      </c>
      <c r="E39" s="105"/>
      <c r="F39" s="36"/>
      <c r="G39" s="36" t="s">
        <v>97</v>
      </c>
      <c r="H39" s="36"/>
      <c r="I39" s="36" t="s">
        <v>13</v>
      </c>
      <c r="J39" s="106" t="s">
        <v>98</v>
      </c>
      <c r="K39" s="104">
        <v>43502</v>
      </c>
      <c r="L39" s="36" t="s">
        <v>77</v>
      </c>
      <c r="M39" s="107"/>
      <c r="N39" s="108">
        <f>MONTH(Tableau13[[#This Row],[Date fin intervention]])</f>
        <v>2</v>
      </c>
      <c r="O39" s="108">
        <f>YEAR(Tableau13[[#This Row],[Date fin intervention]])</f>
        <v>2019</v>
      </c>
      <c r="P39" s="36"/>
    </row>
    <row r="40" spans="1:16">
      <c r="A40" s="104">
        <v>43502</v>
      </c>
      <c r="B40" s="105">
        <v>581</v>
      </c>
      <c r="C40" s="106" t="str">
        <f>IF(ISNA(VLOOKUP(Tableau13[[#This Row],[Code machine]],'CODE mchn'!$A$4:$C$170,2,0)),"",VLOOKUP(Tableau13[[#This Row],[Code machine]],'CODE mchn'!$A$4:$C$170,2,0))</f>
        <v>Acier</v>
      </c>
      <c r="D40" s="36" t="str">
        <f>IF(ISNA(VLOOKUP(Tableau13[[#This Row],[Code machine]],'CODE mchn'!$A$4:$C$170,3,0)),"",VLOOKUP(Tableau13[[#This Row],[Code machine]],'CODE mchn'!$A$4:$C$170,3,0))</f>
        <v>Teurema 1</v>
      </c>
      <c r="E40" s="105"/>
      <c r="F40" s="36"/>
      <c r="G40" s="36" t="s">
        <v>99</v>
      </c>
      <c r="H40" s="36"/>
      <c r="I40" s="36" t="s">
        <v>13</v>
      </c>
      <c r="J40" s="106" t="s">
        <v>100</v>
      </c>
      <c r="K40" s="104">
        <v>43502</v>
      </c>
      <c r="L40" s="36" t="s">
        <v>17</v>
      </c>
      <c r="M40" s="107"/>
      <c r="N40" s="108">
        <f>MONTH(Tableau13[[#This Row],[Date fin intervention]])</f>
        <v>2</v>
      </c>
      <c r="O40" s="108">
        <f>YEAR(Tableau13[[#This Row],[Date fin intervention]])</f>
        <v>2019</v>
      </c>
      <c r="P40" s="36"/>
    </row>
    <row r="41" spans="1:16" ht="28.5">
      <c r="A41" s="104">
        <v>43502</v>
      </c>
      <c r="B41" s="105">
        <v>533</v>
      </c>
      <c r="C41" s="106" t="str">
        <f>IF(ISNA(VLOOKUP(Tableau13[[#This Row],[Code machine]],'CODE mchn'!$A$4:$C$170,2,0)),"",VLOOKUP(Tableau13[[#This Row],[Code machine]],'CODE mchn'!$A$4:$C$170,2,0))</f>
        <v>Enrobage</v>
      </c>
      <c r="D41" s="36" t="str">
        <f>IF(ISNA(VLOOKUP(Tableau13[[#This Row],[Code machine]],'CODE mchn'!$A$4:$C$170,3,0)),"",VLOOKUP(Tableau13[[#This Row],[Code machine]],'CODE mchn'!$A$4:$C$170,3,0))</f>
        <v>CAROSSEL</v>
      </c>
      <c r="E41" s="105"/>
      <c r="F41" s="36"/>
      <c r="G41" s="36" t="s">
        <v>31</v>
      </c>
      <c r="H41" s="36"/>
      <c r="I41" s="36" t="s">
        <v>13</v>
      </c>
      <c r="J41" s="106" t="s">
        <v>102</v>
      </c>
      <c r="K41" s="104">
        <v>43502</v>
      </c>
      <c r="L41" s="36" t="s">
        <v>103</v>
      </c>
      <c r="M41" s="107"/>
      <c r="N41" s="108">
        <f>MONTH(Tableau13[[#This Row],[Date fin intervention]])</f>
        <v>2</v>
      </c>
      <c r="O41" s="108">
        <f>YEAR(Tableau13[[#This Row],[Date fin intervention]])</f>
        <v>2019</v>
      </c>
      <c r="P41" s="36"/>
    </row>
    <row r="42" spans="1:16" ht="28.5">
      <c r="A42" s="104">
        <v>43502</v>
      </c>
      <c r="B42" s="105">
        <v>560</v>
      </c>
      <c r="C42" s="106" t="str">
        <f>IF(ISNA(VLOOKUP(Tableau13[[#This Row],[Code machine]],'CODE mchn'!$A$4:$C$170,2,0)),"",VLOOKUP(Tableau13[[#This Row],[Code machine]],'CODE mchn'!$A$4:$C$170,2,0))</f>
        <v>Acier</v>
      </c>
      <c r="D42" s="36" t="str">
        <f>IF(ISNA(VLOOKUP(Tableau13[[#This Row],[Code machine]],'CODE mchn'!$A$4:$C$170,3,0)),"",VLOOKUP(Tableau13[[#This Row],[Code machine]],'CODE mchn'!$A$4:$C$170,3,0))</f>
        <v>Schlatter</v>
      </c>
      <c r="E42" s="105"/>
      <c r="F42" s="36"/>
      <c r="G42" s="36" t="s">
        <v>104</v>
      </c>
      <c r="H42" s="36"/>
      <c r="I42" s="36" t="s">
        <v>13</v>
      </c>
      <c r="J42" s="106" t="s">
        <v>105</v>
      </c>
      <c r="K42" s="104">
        <v>43502</v>
      </c>
      <c r="L42" s="36" t="s">
        <v>106</v>
      </c>
      <c r="M42" s="107"/>
      <c r="N42" s="108">
        <f>MONTH(Tableau13[[#This Row],[Date fin intervention]])</f>
        <v>2</v>
      </c>
      <c r="O42" s="108">
        <f>YEAR(Tableau13[[#This Row],[Date fin intervention]])</f>
        <v>2019</v>
      </c>
      <c r="P42" s="36"/>
    </row>
    <row r="43" spans="1:16">
      <c r="A43" s="104">
        <v>43502</v>
      </c>
      <c r="B43" s="105">
        <v>560</v>
      </c>
      <c r="C43" s="106" t="str">
        <f>IF(ISNA(VLOOKUP(Tableau13[[#This Row],[Code machine]],'CODE mchn'!$A$4:$C$170,2,0)),"",VLOOKUP(Tableau13[[#This Row],[Code machine]],'CODE mchn'!$A$4:$C$170,2,0))</f>
        <v>Acier</v>
      </c>
      <c r="D43" s="36" t="str">
        <f>IF(ISNA(VLOOKUP(Tableau13[[#This Row],[Code machine]],'CODE mchn'!$A$4:$C$170,3,0)),"",VLOOKUP(Tableau13[[#This Row],[Code machine]],'CODE mchn'!$A$4:$C$170,3,0))</f>
        <v>Schlatter</v>
      </c>
      <c r="E43" s="105"/>
      <c r="F43" s="36"/>
      <c r="G43" s="36" t="s">
        <v>55</v>
      </c>
      <c r="H43" s="36"/>
      <c r="I43" s="36" t="s">
        <v>107</v>
      </c>
      <c r="J43" s="106" t="s">
        <v>108</v>
      </c>
      <c r="K43" s="104">
        <v>43502</v>
      </c>
      <c r="L43" s="36" t="s">
        <v>109</v>
      </c>
      <c r="M43" s="107"/>
      <c r="N43" s="108">
        <f>MONTH(Tableau13[[#This Row],[Date fin intervention]])</f>
        <v>2</v>
      </c>
      <c r="O43" s="108">
        <f>YEAR(Tableau13[[#This Row],[Date fin intervention]])</f>
        <v>2019</v>
      </c>
      <c r="P43" s="36"/>
    </row>
    <row r="44" spans="1:16">
      <c r="A44" s="104">
        <v>43502</v>
      </c>
      <c r="B44" s="105">
        <v>800</v>
      </c>
      <c r="C44" s="106" t="str">
        <f>IF(ISNA(VLOOKUP(Tableau13[[#This Row],[Code machine]],'CODE mchn'!$A$4:$C$170,2,0)),"",VLOOKUP(Tableau13[[#This Row],[Code machine]],'CODE mchn'!$A$4:$C$170,2,0))</f>
        <v>Béton</v>
      </c>
      <c r="D44" s="36" t="str">
        <f>IF(ISNA(VLOOKUP(Tableau13[[#This Row],[Code machine]],'CODE mchn'!$A$4:$C$170,3,0)),"",VLOOKUP(Tableau13[[#This Row],[Code machine]],'CODE mchn'!$A$4:$C$170,3,0))</f>
        <v>Poyatos 2</v>
      </c>
      <c r="E44" s="105"/>
      <c r="F44" s="36"/>
      <c r="G44" s="36" t="s">
        <v>110</v>
      </c>
      <c r="H44" s="36"/>
      <c r="I44" s="36" t="s">
        <v>13</v>
      </c>
      <c r="J44" s="106" t="s">
        <v>111</v>
      </c>
      <c r="K44" s="104">
        <v>43502</v>
      </c>
      <c r="L44" s="36" t="s">
        <v>112</v>
      </c>
      <c r="M44" s="107"/>
      <c r="N44" s="108">
        <f>MONTH(Tableau13[[#This Row],[Date fin intervention]])</f>
        <v>2</v>
      </c>
      <c r="O44" s="108">
        <f>YEAR(Tableau13[[#This Row],[Date fin intervention]])</f>
        <v>2019</v>
      </c>
      <c r="P44" s="36"/>
    </row>
    <row r="45" spans="1:16">
      <c r="A45" s="104">
        <v>43503</v>
      </c>
      <c r="B45" s="105">
        <v>565</v>
      </c>
      <c r="C45" s="106" t="str">
        <f>IF(ISNA(VLOOKUP(Tableau13[[#This Row],[Code machine]],'CODE mchn'!$A$4:$C$170,2,0)),"",VLOOKUP(Tableau13[[#This Row],[Code machine]],'CODE mchn'!$A$4:$C$170,2,0))</f>
        <v>Acier</v>
      </c>
      <c r="D45" s="36" t="str">
        <f>IF(ISNA(VLOOKUP(Tableau13[[#This Row],[Code machine]],'CODE mchn'!$A$4:$C$170,3,0)),"",VLOOKUP(Tableau13[[#This Row],[Code machine]],'CODE mchn'!$A$4:$C$170,3,0))</f>
        <v>EVG GE12</v>
      </c>
      <c r="E45" s="105"/>
      <c r="F45" s="36"/>
      <c r="G45" s="36" t="s">
        <v>97</v>
      </c>
      <c r="H45" s="36"/>
      <c r="I45" s="36" t="s">
        <v>13</v>
      </c>
      <c r="J45" s="106" t="s">
        <v>113</v>
      </c>
      <c r="K45" s="104">
        <v>43503</v>
      </c>
      <c r="L45" s="36" t="s">
        <v>112</v>
      </c>
      <c r="M45" s="107"/>
      <c r="N45" s="108">
        <f>MONTH(Tableau13[[#This Row],[Date fin intervention]])</f>
        <v>2</v>
      </c>
      <c r="O45" s="108">
        <f>YEAR(Tableau13[[#This Row],[Date fin intervention]])</f>
        <v>2019</v>
      </c>
      <c r="P45" s="36"/>
    </row>
    <row r="46" spans="1:16" ht="28.5">
      <c r="A46" s="104">
        <v>43503</v>
      </c>
      <c r="B46" s="105">
        <v>571</v>
      </c>
      <c r="C46" s="106" t="str">
        <f>IF(ISNA(VLOOKUP(Tableau13[[#This Row],[Code machine]],'CODE mchn'!$A$4:$C$170,2,0)),"",VLOOKUP(Tableau13[[#This Row],[Code machine]],'CODE mchn'!$A$4:$C$170,2,0))</f>
        <v>Acier</v>
      </c>
      <c r="D46" s="36" t="str">
        <f>IF(ISNA(VLOOKUP(Tableau13[[#This Row],[Code machine]],'CODE mchn'!$A$4:$C$170,3,0)),"",VLOOKUP(Tableau13[[#This Row],[Code machine]],'CODE mchn'!$A$4:$C$170,3,0))</f>
        <v>EVG PN 1</v>
      </c>
      <c r="E46" s="105"/>
      <c r="F46" s="36"/>
      <c r="G46" s="36" t="s">
        <v>10</v>
      </c>
      <c r="H46" s="36"/>
      <c r="I46" s="36" t="s">
        <v>13</v>
      </c>
      <c r="J46" s="106" t="s">
        <v>114</v>
      </c>
      <c r="K46" s="104">
        <v>43503</v>
      </c>
      <c r="L46" s="36" t="s">
        <v>115</v>
      </c>
      <c r="M46" s="107"/>
      <c r="N46" s="108">
        <f>MONTH(Tableau13[[#This Row],[Date fin intervention]])</f>
        <v>2</v>
      </c>
      <c r="O46" s="108">
        <f>YEAR(Tableau13[[#This Row],[Date fin intervention]])</f>
        <v>2019</v>
      </c>
      <c r="P46" s="36"/>
    </row>
    <row r="47" spans="1:16">
      <c r="A47" s="104">
        <v>43503</v>
      </c>
      <c r="B47" s="105">
        <v>533</v>
      </c>
      <c r="C47" s="106" t="str">
        <f>IF(ISNA(VLOOKUP(Tableau13[[#This Row],[Code machine]],'CODE mchn'!$A$4:$C$170,2,0)),"",VLOOKUP(Tableau13[[#This Row],[Code machine]],'CODE mchn'!$A$4:$C$170,2,0))</f>
        <v>Enrobage</v>
      </c>
      <c r="D47" s="36" t="str">
        <f>IF(ISNA(VLOOKUP(Tableau13[[#This Row],[Code machine]],'CODE mchn'!$A$4:$C$170,3,0)),"",VLOOKUP(Tableau13[[#This Row],[Code machine]],'CODE mchn'!$A$4:$C$170,3,0))</f>
        <v>CAROSSEL</v>
      </c>
      <c r="E47" s="105"/>
      <c r="F47" s="36"/>
      <c r="G47" s="36" t="s">
        <v>31</v>
      </c>
      <c r="H47" s="36"/>
      <c r="I47" s="36" t="s">
        <v>13</v>
      </c>
      <c r="J47" s="106" t="s">
        <v>116</v>
      </c>
      <c r="K47" s="104">
        <v>43503</v>
      </c>
      <c r="L47" s="36" t="s">
        <v>115</v>
      </c>
      <c r="M47" s="107"/>
      <c r="N47" s="108">
        <f>MONTH(Tableau13[[#This Row],[Date fin intervention]])</f>
        <v>2</v>
      </c>
      <c r="O47" s="108">
        <f>YEAR(Tableau13[[#This Row],[Date fin intervention]])</f>
        <v>2019</v>
      </c>
      <c r="P47" s="36"/>
    </row>
    <row r="48" spans="1:16">
      <c r="A48" s="104">
        <v>43503</v>
      </c>
      <c r="B48" s="105">
        <v>700</v>
      </c>
      <c r="C48" s="106" t="str">
        <f>IF(ISNA(VLOOKUP(Tableau13[[#This Row],[Code machine]],'CODE mchn'!$A$4:$C$170,2,0)),"",VLOOKUP(Tableau13[[#This Row],[Code machine]],'CODE mchn'!$A$4:$C$170,2,0))</f>
        <v>Béton</v>
      </c>
      <c r="D48" s="36" t="str">
        <f>IF(ISNA(VLOOKUP(Tableau13[[#This Row],[Code machine]],'CODE mchn'!$A$4:$C$170,3,0)),"",VLOOKUP(Tableau13[[#This Row],[Code machine]],'CODE mchn'!$A$4:$C$170,3,0))</f>
        <v>Poyatos 1</v>
      </c>
      <c r="E48" s="105"/>
      <c r="F48" s="36"/>
      <c r="G48" s="36" t="s">
        <v>118</v>
      </c>
      <c r="H48" s="36"/>
      <c r="I48" s="36" t="s">
        <v>107</v>
      </c>
      <c r="J48" s="106" t="s">
        <v>119</v>
      </c>
      <c r="K48" s="104">
        <v>43503</v>
      </c>
      <c r="L48" s="36" t="s">
        <v>115</v>
      </c>
      <c r="M48" s="107"/>
      <c r="N48" s="108">
        <f>MONTH(Tableau13[[#This Row],[Date fin intervention]])</f>
        <v>2</v>
      </c>
      <c r="O48" s="108">
        <f>YEAR(Tableau13[[#This Row],[Date fin intervention]])</f>
        <v>2019</v>
      </c>
      <c r="P48" s="36"/>
    </row>
    <row r="49" spans="1:16">
      <c r="A49" s="104">
        <v>43503</v>
      </c>
      <c r="B49" s="105">
        <v>700</v>
      </c>
      <c r="C49" s="106" t="str">
        <f>IF(ISNA(VLOOKUP(Tableau13[[#This Row],[Code machine]],'CODE mchn'!$A$4:$C$170,2,0)),"",VLOOKUP(Tableau13[[#This Row],[Code machine]],'CODE mchn'!$A$4:$C$170,2,0))</f>
        <v>Béton</v>
      </c>
      <c r="D49" s="36" t="str">
        <f>IF(ISNA(VLOOKUP(Tableau13[[#This Row],[Code machine]],'CODE mchn'!$A$4:$C$170,3,0)),"",VLOOKUP(Tableau13[[#This Row],[Code machine]],'CODE mchn'!$A$4:$C$170,3,0))</f>
        <v>Poyatos 1</v>
      </c>
      <c r="E49" s="105"/>
      <c r="F49" s="36"/>
      <c r="G49" s="36" t="s">
        <v>120</v>
      </c>
      <c r="H49" s="36"/>
      <c r="I49" s="36" t="s">
        <v>13</v>
      </c>
      <c r="J49" s="106" t="s">
        <v>121</v>
      </c>
      <c r="K49" s="104">
        <v>43503</v>
      </c>
      <c r="L49" s="36" t="s">
        <v>115</v>
      </c>
      <c r="M49" s="107"/>
      <c r="N49" s="108">
        <f>MONTH(Tableau13[[#This Row],[Date fin intervention]])</f>
        <v>2</v>
      </c>
      <c r="O49" s="108">
        <f>YEAR(Tableau13[[#This Row],[Date fin intervention]])</f>
        <v>2019</v>
      </c>
      <c r="P49" s="36"/>
    </row>
    <row r="50" spans="1:16" ht="42.75">
      <c r="A50" s="104">
        <v>43503</v>
      </c>
      <c r="B50" s="105">
        <v>582</v>
      </c>
      <c r="C50" s="106" t="str">
        <f>IF(ISNA(VLOOKUP(Tableau13[[#This Row],[Code machine]],'CODE mchn'!$A$4:$C$170,2,0)),"",VLOOKUP(Tableau13[[#This Row],[Code machine]],'CODE mchn'!$A$4:$C$170,2,0))</f>
        <v>Acier</v>
      </c>
      <c r="D50" s="36" t="str">
        <f>IF(ISNA(VLOOKUP(Tableau13[[#This Row],[Code machine]],'CODE mchn'!$A$4:$C$170,3,0)),"",VLOOKUP(Tableau13[[#This Row],[Code machine]],'CODE mchn'!$A$4:$C$170,3,0))</f>
        <v>Teurema 2</v>
      </c>
      <c r="E50" s="105"/>
      <c r="F50" s="36"/>
      <c r="G50" s="36" t="s">
        <v>122</v>
      </c>
      <c r="H50" s="36"/>
      <c r="I50" s="36" t="s">
        <v>13</v>
      </c>
      <c r="J50" s="106" t="s">
        <v>123</v>
      </c>
      <c r="K50" s="104">
        <v>43503</v>
      </c>
      <c r="L50" s="36" t="s">
        <v>124</v>
      </c>
      <c r="M50" s="107"/>
      <c r="N50" s="108">
        <f>MONTH(Tableau13[[#This Row],[Date fin intervention]])</f>
        <v>2</v>
      </c>
      <c r="O50" s="108">
        <f>YEAR(Tableau13[[#This Row],[Date fin intervention]])</f>
        <v>2019</v>
      </c>
      <c r="P50" s="36"/>
    </row>
    <row r="51" spans="1:16" ht="42.75">
      <c r="A51" s="104">
        <v>43503</v>
      </c>
      <c r="B51" s="105">
        <v>580</v>
      </c>
      <c r="C51" s="106" t="str">
        <f>IF(ISNA(VLOOKUP(Tableau13[[#This Row],[Code machine]],'CODE mchn'!$A$4:$C$170,2,0)),"",VLOOKUP(Tableau13[[#This Row],[Code machine]],'CODE mchn'!$A$4:$C$170,2,0))</f>
        <v>Acier</v>
      </c>
      <c r="D51" s="36" t="str">
        <f>IF(ISNA(VLOOKUP(Tableau13[[#This Row],[Code machine]],'CODE mchn'!$A$4:$C$170,3,0)),"",VLOOKUP(Tableau13[[#This Row],[Code machine]],'CODE mchn'!$A$4:$C$170,3,0))</f>
        <v>Techno Impiante</v>
      </c>
      <c r="E51" s="105"/>
      <c r="F51" s="36"/>
      <c r="G51" s="36" t="s">
        <v>55</v>
      </c>
      <c r="H51" s="36"/>
      <c r="I51" s="36" t="s">
        <v>125</v>
      </c>
      <c r="J51" s="106" t="s">
        <v>126</v>
      </c>
      <c r="K51" s="104">
        <v>43503</v>
      </c>
      <c r="L51" s="36" t="s">
        <v>127</v>
      </c>
      <c r="M51" s="107"/>
      <c r="N51" s="108">
        <f>MONTH(Tableau13[[#This Row],[Date fin intervention]])</f>
        <v>2</v>
      </c>
      <c r="O51" s="108">
        <f>YEAR(Tableau13[[#This Row],[Date fin intervention]])</f>
        <v>2019</v>
      </c>
      <c r="P51" s="36"/>
    </row>
    <row r="52" spans="1:16" ht="42.75">
      <c r="A52" s="104">
        <v>43504</v>
      </c>
      <c r="B52" s="105">
        <v>800</v>
      </c>
      <c r="C52" s="106" t="str">
        <f>IF(ISNA(VLOOKUP(Tableau13[[#This Row],[Code machine]],'CODE mchn'!$A$4:$C$170,2,0)),"",VLOOKUP(Tableau13[[#This Row],[Code machine]],'CODE mchn'!$A$4:$C$170,2,0))</f>
        <v>Béton</v>
      </c>
      <c r="D52" s="36" t="str">
        <f>IF(ISNA(VLOOKUP(Tableau13[[#This Row],[Code machine]],'CODE mchn'!$A$4:$C$170,3,0)),"",VLOOKUP(Tableau13[[#This Row],[Code machine]],'CODE mchn'!$A$4:$C$170,3,0))</f>
        <v>Poyatos 2</v>
      </c>
      <c r="E52" s="105"/>
      <c r="F52" s="36"/>
      <c r="G52" s="36" t="s">
        <v>128</v>
      </c>
      <c r="H52" s="36"/>
      <c r="I52" s="36" t="s">
        <v>13</v>
      </c>
      <c r="J52" s="106" t="s">
        <v>129</v>
      </c>
      <c r="K52" s="104">
        <v>43504</v>
      </c>
      <c r="L52" s="36" t="s">
        <v>130</v>
      </c>
      <c r="M52" s="107"/>
      <c r="N52" s="108">
        <f>MONTH(Tableau13[[#This Row],[Date fin intervention]])</f>
        <v>2</v>
      </c>
      <c r="O52" s="108">
        <f>YEAR(Tableau13[[#This Row],[Date fin intervention]])</f>
        <v>2019</v>
      </c>
      <c r="P52" s="36"/>
    </row>
    <row r="53" spans="1:16">
      <c r="A53" s="104">
        <v>43504</v>
      </c>
      <c r="B53" s="105">
        <v>700</v>
      </c>
      <c r="C53" s="106" t="str">
        <f>IF(ISNA(VLOOKUP(Tableau13[[#This Row],[Code machine]],'CODE mchn'!$A$4:$C$170,2,0)),"",VLOOKUP(Tableau13[[#This Row],[Code machine]],'CODE mchn'!$A$4:$C$170,2,0))</f>
        <v>Béton</v>
      </c>
      <c r="D53" s="36" t="str">
        <f>IF(ISNA(VLOOKUP(Tableau13[[#This Row],[Code machine]],'CODE mchn'!$A$4:$C$170,3,0)),"",VLOOKUP(Tableau13[[#This Row],[Code machine]],'CODE mchn'!$A$4:$C$170,3,0))</f>
        <v>Poyatos 1</v>
      </c>
      <c r="E53" s="105"/>
      <c r="F53" s="36"/>
      <c r="G53" s="36" t="s">
        <v>132</v>
      </c>
      <c r="H53" s="36"/>
      <c r="I53" s="36" t="s">
        <v>131</v>
      </c>
      <c r="J53" s="106" t="s">
        <v>133</v>
      </c>
      <c r="K53" s="104">
        <v>43504</v>
      </c>
      <c r="L53" s="36" t="s">
        <v>134</v>
      </c>
      <c r="M53" s="107"/>
      <c r="N53" s="108">
        <f>MONTH(Tableau13[[#This Row],[Date fin intervention]])</f>
        <v>2</v>
      </c>
      <c r="O53" s="108">
        <f>YEAR(Tableau13[[#This Row],[Date fin intervention]])</f>
        <v>2019</v>
      </c>
      <c r="P53" s="36"/>
    </row>
    <row r="54" spans="1:16">
      <c r="A54" s="104">
        <v>43504</v>
      </c>
      <c r="B54" s="105">
        <v>570</v>
      </c>
      <c r="C54" s="106" t="str">
        <f>IF(ISNA(VLOOKUP(Tableau13[[#This Row],[Code machine]],'CODE mchn'!$A$4:$C$170,2,0)),"",VLOOKUP(Tableau13[[#This Row],[Code machine]],'CODE mchn'!$A$4:$C$170,2,0))</f>
        <v>Acier</v>
      </c>
      <c r="D54" s="36" t="str">
        <f>IF(ISNA(VLOOKUP(Tableau13[[#This Row],[Code machine]],'CODE mchn'!$A$4:$C$170,3,0)),"",VLOOKUP(Tableau13[[#This Row],[Code machine]],'CODE mchn'!$A$4:$C$170,3,0))</f>
        <v>Sigmatic</v>
      </c>
      <c r="E54" s="105"/>
      <c r="F54" s="36"/>
      <c r="G54" s="36" t="s">
        <v>136</v>
      </c>
      <c r="H54" s="36"/>
      <c r="I54" s="36" t="s">
        <v>13</v>
      </c>
      <c r="J54" s="106" t="s">
        <v>137</v>
      </c>
      <c r="K54" s="104">
        <v>43504</v>
      </c>
      <c r="L54" s="36" t="s">
        <v>109</v>
      </c>
      <c r="M54" s="107"/>
      <c r="N54" s="108">
        <f>MONTH(Tableau13[[#This Row],[Date fin intervention]])</f>
        <v>2</v>
      </c>
      <c r="O54" s="108">
        <f>YEAR(Tableau13[[#This Row],[Date fin intervention]])</f>
        <v>2019</v>
      </c>
      <c r="P54" s="36"/>
    </row>
    <row r="55" spans="1:16" ht="28.5">
      <c r="A55" s="104">
        <v>43504</v>
      </c>
      <c r="B55" s="105">
        <v>570</v>
      </c>
      <c r="C55" s="106" t="str">
        <f>IF(ISNA(VLOOKUP(Tableau13[[#This Row],[Code machine]],'CODE mchn'!$A$4:$C$170,2,0)),"",VLOOKUP(Tableau13[[#This Row],[Code machine]],'CODE mchn'!$A$4:$C$170,2,0))</f>
        <v>Acier</v>
      </c>
      <c r="D55" s="36" t="str">
        <f>IF(ISNA(VLOOKUP(Tableau13[[#This Row],[Code machine]],'CODE mchn'!$A$4:$C$170,3,0)),"",VLOOKUP(Tableau13[[#This Row],[Code machine]],'CODE mchn'!$A$4:$C$170,3,0))</f>
        <v>Sigmatic</v>
      </c>
      <c r="E55" s="105"/>
      <c r="F55" s="36"/>
      <c r="G55" s="36" t="s">
        <v>10</v>
      </c>
      <c r="H55" s="36"/>
      <c r="I55" s="36" t="s">
        <v>13</v>
      </c>
      <c r="J55" s="106" t="s">
        <v>138</v>
      </c>
      <c r="K55" s="104">
        <v>43504</v>
      </c>
      <c r="L55" s="36" t="s">
        <v>85</v>
      </c>
      <c r="M55" s="107"/>
      <c r="N55" s="108">
        <f>MONTH(Tableau13[[#This Row],[Date fin intervention]])</f>
        <v>2</v>
      </c>
      <c r="O55" s="108">
        <f>YEAR(Tableau13[[#This Row],[Date fin intervention]])</f>
        <v>2019</v>
      </c>
      <c r="P55" s="36"/>
    </row>
    <row r="56" spans="1:16">
      <c r="A56" s="104">
        <v>43504</v>
      </c>
      <c r="B56" s="105">
        <v>606</v>
      </c>
      <c r="C56" s="106" t="str">
        <f>IF(ISNA(VLOOKUP(Tableau13[[#This Row],[Code machine]],'CODE mchn'!$A$4:$C$170,2,0)),"",VLOOKUP(Tableau13[[#This Row],[Code machine]],'CODE mchn'!$A$4:$C$170,2,0))</f>
        <v>Acier</v>
      </c>
      <c r="D56" s="36" t="str">
        <f>IF(ISNA(VLOOKUP(Tableau13[[#This Row],[Code machine]],'CODE mchn'!$A$4:$C$170,3,0)),"",VLOOKUP(Tableau13[[#This Row],[Code machine]],'CODE mchn'!$A$4:$C$170,3,0))</f>
        <v>Vitari 2</v>
      </c>
      <c r="E56" s="105"/>
      <c r="F56" s="36"/>
      <c r="G56" s="36" t="s">
        <v>75</v>
      </c>
      <c r="H56" s="36"/>
      <c r="I56" s="36" t="s">
        <v>13</v>
      </c>
      <c r="J56" s="106" t="s">
        <v>139</v>
      </c>
      <c r="K56" s="104">
        <v>43504</v>
      </c>
      <c r="L56" s="36" t="s">
        <v>85</v>
      </c>
      <c r="M56" s="107"/>
      <c r="N56" s="108">
        <f>MONTH(Tableau13[[#This Row],[Date fin intervention]])</f>
        <v>2</v>
      </c>
      <c r="O56" s="108">
        <f>YEAR(Tableau13[[#This Row],[Date fin intervention]])</f>
        <v>2019</v>
      </c>
      <c r="P56" s="36"/>
    </row>
    <row r="57" spans="1:16">
      <c r="A57" s="104">
        <v>43505</v>
      </c>
      <c r="B57" s="105">
        <v>800</v>
      </c>
      <c r="C57" s="106" t="str">
        <f>IF(ISNA(VLOOKUP(Tableau13[[#This Row],[Code machine]],'CODE mchn'!$A$4:$C$170,2,0)),"",VLOOKUP(Tableau13[[#This Row],[Code machine]],'CODE mchn'!$A$4:$C$170,2,0))</f>
        <v>Béton</v>
      </c>
      <c r="D57" s="36" t="str">
        <f>IF(ISNA(VLOOKUP(Tableau13[[#This Row],[Code machine]],'CODE mchn'!$A$4:$C$170,3,0)),"",VLOOKUP(Tableau13[[#This Row],[Code machine]],'CODE mchn'!$A$4:$C$170,3,0))</f>
        <v>Poyatos 2</v>
      </c>
      <c r="E57" s="105"/>
      <c r="F57" s="36"/>
      <c r="G57" s="36" t="s">
        <v>120</v>
      </c>
      <c r="H57" s="36"/>
      <c r="I57" s="36" t="s">
        <v>13</v>
      </c>
      <c r="J57" s="106" t="s">
        <v>121</v>
      </c>
      <c r="K57" s="104">
        <v>43505</v>
      </c>
      <c r="L57" s="36" t="s">
        <v>85</v>
      </c>
      <c r="M57" s="107"/>
      <c r="N57" s="108">
        <f>MONTH(Tableau13[[#This Row],[Date fin intervention]])</f>
        <v>2</v>
      </c>
      <c r="O57" s="108">
        <f>YEAR(Tableau13[[#This Row],[Date fin intervention]])</f>
        <v>2019</v>
      </c>
      <c r="P57" s="36"/>
    </row>
    <row r="58" spans="1:16" ht="57">
      <c r="A58" s="104">
        <v>43505</v>
      </c>
      <c r="B58" s="105">
        <v>800</v>
      </c>
      <c r="C58" s="106" t="str">
        <f>IF(ISNA(VLOOKUP(Tableau13[[#This Row],[Code machine]],'CODE mchn'!$A$4:$C$170,2,0)),"",VLOOKUP(Tableau13[[#This Row],[Code machine]],'CODE mchn'!$A$4:$C$170,2,0))</f>
        <v>Béton</v>
      </c>
      <c r="D58" s="36" t="str">
        <f>IF(ISNA(VLOOKUP(Tableau13[[#This Row],[Code machine]],'CODE mchn'!$A$4:$C$170,3,0)),"",VLOOKUP(Tableau13[[#This Row],[Code machine]],'CODE mchn'!$A$4:$C$170,3,0))</f>
        <v>Poyatos 2</v>
      </c>
      <c r="E58" s="105"/>
      <c r="F58" s="36"/>
      <c r="G58" s="36" t="s">
        <v>128</v>
      </c>
      <c r="H58" s="36"/>
      <c r="I58" s="36" t="s">
        <v>13</v>
      </c>
      <c r="J58" s="106" t="s">
        <v>140</v>
      </c>
      <c r="K58" s="104">
        <v>43505</v>
      </c>
      <c r="L58" s="36" t="s">
        <v>141</v>
      </c>
      <c r="M58" s="107"/>
      <c r="N58" s="108">
        <f>MONTH(Tableau13[[#This Row],[Date fin intervention]])</f>
        <v>2</v>
      </c>
      <c r="O58" s="108">
        <f>YEAR(Tableau13[[#This Row],[Date fin intervention]])</f>
        <v>2019</v>
      </c>
      <c r="P58" s="36"/>
    </row>
    <row r="59" spans="1:16" ht="28.5">
      <c r="A59" s="104">
        <v>43505</v>
      </c>
      <c r="B59" s="105">
        <v>700</v>
      </c>
      <c r="C59" s="106" t="str">
        <f>IF(ISNA(VLOOKUP(Tableau13[[#This Row],[Code machine]],'CODE mchn'!$A$4:$C$170,2,0)),"",VLOOKUP(Tableau13[[#This Row],[Code machine]],'CODE mchn'!$A$4:$C$170,2,0))</f>
        <v>Béton</v>
      </c>
      <c r="D59" s="36" t="str">
        <f>IF(ISNA(VLOOKUP(Tableau13[[#This Row],[Code machine]],'CODE mchn'!$A$4:$C$170,3,0)),"",VLOOKUP(Tableau13[[#This Row],[Code machine]],'CODE mchn'!$A$4:$C$170,3,0))</f>
        <v>Poyatos 1</v>
      </c>
      <c r="E59" s="105"/>
      <c r="F59" s="36"/>
      <c r="G59" s="36" t="s">
        <v>110</v>
      </c>
      <c r="H59" s="36"/>
      <c r="I59" s="36" t="s">
        <v>19</v>
      </c>
      <c r="J59" s="106" t="s">
        <v>142</v>
      </c>
      <c r="K59" s="104">
        <v>43505</v>
      </c>
      <c r="L59" s="36" t="s">
        <v>143</v>
      </c>
      <c r="M59" s="107"/>
      <c r="N59" s="108">
        <f>MONTH(Tableau13[[#This Row],[Date fin intervention]])</f>
        <v>2</v>
      </c>
      <c r="O59" s="108">
        <f>YEAR(Tableau13[[#This Row],[Date fin intervention]])</f>
        <v>2019</v>
      </c>
      <c r="P59" s="36"/>
    </row>
    <row r="60" spans="1:16" ht="42.75">
      <c r="A60" s="104">
        <v>43505</v>
      </c>
      <c r="B60" s="105">
        <v>565</v>
      </c>
      <c r="C60" s="106" t="str">
        <f>IF(ISNA(VLOOKUP(Tableau13[[#This Row],[Code machine]],'CODE mchn'!$A$4:$C$170,2,0)),"",VLOOKUP(Tableau13[[#This Row],[Code machine]],'CODE mchn'!$A$4:$C$170,2,0))</f>
        <v>Acier</v>
      </c>
      <c r="D60" s="36" t="str">
        <f>IF(ISNA(VLOOKUP(Tableau13[[#This Row],[Code machine]],'CODE mchn'!$A$4:$C$170,3,0)),"",VLOOKUP(Tableau13[[#This Row],[Code machine]],'CODE mchn'!$A$4:$C$170,3,0))</f>
        <v>EVG GE12</v>
      </c>
      <c r="E60" s="105"/>
      <c r="F60" s="36"/>
      <c r="G60" s="36" t="s">
        <v>145</v>
      </c>
      <c r="H60" s="36"/>
      <c r="I60" s="36" t="s">
        <v>144</v>
      </c>
      <c r="J60" s="106" t="s">
        <v>146</v>
      </c>
      <c r="K60" s="104">
        <v>43505</v>
      </c>
      <c r="L60" s="36" t="s">
        <v>147</v>
      </c>
      <c r="M60" s="107"/>
      <c r="N60" s="108">
        <f>MONTH(Tableau13[[#This Row],[Date fin intervention]])</f>
        <v>2</v>
      </c>
      <c r="O60" s="108">
        <f>YEAR(Tableau13[[#This Row],[Date fin intervention]])</f>
        <v>2019</v>
      </c>
      <c r="P60" s="36"/>
    </row>
    <row r="61" spans="1:16" ht="42.75">
      <c r="A61" s="104">
        <v>43505</v>
      </c>
      <c r="B61" s="105">
        <v>568</v>
      </c>
      <c r="C61" s="106" t="str">
        <f>IF(ISNA(VLOOKUP(Tableau13[[#This Row],[Code machine]],'CODE mchn'!$A$4:$C$170,2,0)),"",VLOOKUP(Tableau13[[#This Row],[Code machine]],'CODE mchn'!$A$4:$C$170,2,0))</f>
        <v>Ponts roulants</v>
      </c>
      <c r="D61" s="36" t="str">
        <f>IF(ISNA(VLOOKUP(Tableau13[[#This Row],[Code machine]],'CODE mchn'!$A$4:$C$170,3,0)),"",VLOOKUP(Tableau13[[#This Row],[Code machine]],'CODE mchn'!$A$4:$C$170,3,0))</f>
        <v>Pont roulant Demag 5T (milieu)</v>
      </c>
      <c r="E61" s="105"/>
      <c r="F61" s="36"/>
      <c r="G61" s="36" t="s">
        <v>80</v>
      </c>
      <c r="H61" s="36"/>
      <c r="I61" s="36" t="s">
        <v>63</v>
      </c>
      <c r="J61" s="106" t="s">
        <v>148</v>
      </c>
      <c r="K61" s="104">
        <v>43505</v>
      </c>
      <c r="L61" s="36" t="s">
        <v>149</v>
      </c>
      <c r="M61" s="107"/>
      <c r="N61" s="108">
        <f>MONTH(Tableau13[[#This Row],[Date fin intervention]])</f>
        <v>2</v>
      </c>
      <c r="O61" s="108">
        <f>YEAR(Tableau13[[#This Row],[Date fin intervention]])</f>
        <v>2019</v>
      </c>
      <c r="P61" s="36"/>
    </row>
    <row r="62" spans="1:16">
      <c r="A62" s="104">
        <v>43505</v>
      </c>
      <c r="B62" s="105">
        <v>582</v>
      </c>
      <c r="C62" s="106" t="str">
        <f>IF(ISNA(VLOOKUP(Tableau13[[#This Row],[Code machine]],'CODE mchn'!$A$4:$C$170,2,0)),"",VLOOKUP(Tableau13[[#This Row],[Code machine]],'CODE mchn'!$A$4:$C$170,2,0))</f>
        <v>Acier</v>
      </c>
      <c r="D62" s="36" t="str">
        <f>IF(ISNA(VLOOKUP(Tableau13[[#This Row],[Code machine]],'CODE mchn'!$A$4:$C$170,3,0)),"",VLOOKUP(Tableau13[[#This Row],[Code machine]],'CODE mchn'!$A$4:$C$170,3,0))</f>
        <v>Teurema 2</v>
      </c>
      <c r="E62" s="105"/>
      <c r="F62" s="36"/>
      <c r="G62" s="36" t="s">
        <v>122</v>
      </c>
      <c r="H62" s="36"/>
      <c r="I62" s="36" t="s">
        <v>13</v>
      </c>
      <c r="J62" s="106" t="s">
        <v>150</v>
      </c>
      <c r="K62" s="104">
        <v>43505</v>
      </c>
      <c r="L62" s="36" t="s">
        <v>151</v>
      </c>
      <c r="M62" s="107"/>
      <c r="N62" s="108">
        <f>MONTH(Tableau13[[#This Row],[Date fin intervention]])</f>
        <v>2</v>
      </c>
      <c r="O62" s="108">
        <f>YEAR(Tableau13[[#This Row],[Date fin intervention]])</f>
        <v>2019</v>
      </c>
      <c r="P62" s="36"/>
    </row>
    <row r="63" spans="1:16">
      <c r="A63" s="104">
        <v>43507</v>
      </c>
      <c r="B63" s="105">
        <v>700</v>
      </c>
      <c r="C63" s="106" t="str">
        <f>IF(ISNA(VLOOKUP(Tableau13[[#This Row],[Code machine]],'CODE mchn'!$A$4:$C$170,2,0)),"",VLOOKUP(Tableau13[[#This Row],[Code machine]],'CODE mchn'!$A$4:$C$170,2,0))</f>
        <v>Béton</v>
      </c>
      <c r="D63" s="36" t="str">
        <f>IF(ISNA(VLOOKUP(Tableau13[[#This Row],[Code machine]],'CODE mchn'!$A$4:$C$170,3,0)),"",VLOOKUP(Tableau13[[#This Row],[Code machine]],'CODE mchn'!$A$4:$C$170,3,0))</f>
        <v>Poyatos 1</v>
      </c>
      <c r="E63" s="105"/>
      <c r="F63" s="36"/>
      <c r="G63" s="36" t="s">
        <v>120</v>
      </c>
      <c r="H63" s="36"/>
      <c r="I63" s="36" t="s">
        <v>152</v>
      </c>
      <c r="J63" s="106" t="s">
        <v>153</v>
      </c>
      <c r="K63" s="104">
        <v>43507</v>
      </c>
      <c r="L63" s="36" t="s">
        <v>154</v>
      </c>
      <c r="M63" s="107"/>
      <c r="N63" s="108">
        <f>MONTH(Tableau13[[#This Row],[Date fin intervention]])</f>
        <v>2</v>
      </c>
      <c r="O63" s="108">
        <f>YEAR(Tableau13[[#This Row],[Date fin intervention]])</f>
        <v>2019</v>
      </c>
      <c r="P63" s="36"/>
    </row>
    <row r="64" spans="1:16">
      <c r="A64" s="104">
        <v>43507</v>
      </c>
      <c r="B64" s="105">
        <v>700</v>
      </c>
      <c r="C64" s="106" t="str">
        <f>IF(ISNA(VLOOKUP(Tableau13[[#This Row],[Code machine]],'CODE mchn'!$A$4:$C$170,2,0)),"",VLOOKUP(Tableau13[[#This Row],[Code machine]],'CODE mchn'!$A$4:$C$170,2,0))</f>
        <v>Béton</v>
      </c>
      <c r="D64" s="36" t="str">
        <f>IF(ISNA(VLOOKUP(Tableau13[[#This Row],[Code machine]],'CODE mchn'!$A$4:$C$170,3,0)),"",VLOOKUP(Tableau13[[#This Row],[Code machine]],'CODE mchn'!$A$4:$C$170,3,0))</f>
        <v>Poyatos 1</v>
      </c>
      <c r="E64" s="105"/>
      <c r="F64" s="36"/>
      <c r="G64" s="36" t="s">
        <v>43</v>
      </c>
      <c r="H64" s="36"/>
      <c r="I64" s="36" t="s">
        <v>13</v>
      </c>
      <c r="J64" s="106" t="s">
        <v>155</v>
      </c>
      <c r="K64" s="104">
        <v>43507</v>
      </c>
      <c r="L64" s="36" t="s">
        <v>85</v>
      </c>
      <c r="M64" s="107"/>
      <c r="N64" s="108">
        <f>MONTH(Tableau13[[#This Row],[Date fin intervention]])</f>
        <v>2</v>
      </c>
      <c r="O64" s="108">
        <f>YEAR(Tableau13[[#This Row],[Date fin intervention]])</f>
        <v>2019</v>
      </c>
      <c r="P64" s="36"/>
    </row>
    <row r="65" spans="1:16">
      <c r="A65" s="104">
        <v>43507</v>
      </c>
      <c r="B65" s="105">
        <v>561</v>
      </c>
      <c r="C65" s="106" t="str">
        <f>IF(ISNA(VLOOKUP(Tableau13[[#This Row],[Code machine]],'CODE mchn'!$A$4:$C$170,2,0)),"",VLOOKUP(Tableau13[[#This Row],[Code machine]],'CODE mchn'!$A$4:$C$170,2,0))</f>
        <v>Ponts roulants</v>
      </c>
      <c r="D65" s="36" t="str">
        <f>IF(ISNA(VLOOKUP(Tableau13[[#This Row],[Code machine]],'CODE mchn'!$A$4:$C$170,3,0)),"",VLOOKUP(Tableau13[[#This Row],[Code machine]],'CODE mchn'!$A$4:$C$170,3,0))</f>
        <v>Pont roulant Demag 5T TS</v>
      </c>
      <c r="E65" s="105"/>
      <c r="F65" s="36"/>
      <c r="G65" s="36" t="s">
        <v>52</v>
      </c>
      <c r="H65" s="36"/>
      <c r="I65" s="36" t="s">
        <v>13</v>
      </c>
      <c r="J65" s="106" t="s">
        <v>156</v>
      </c>
      <c r="K65" s="104">
        <v>43507</v>
      </c>
      <c r="L65" s="36" t="s">
        <v>85</v>
      </c>
      <c r="M65" s="107"/>
      <c r="N65" s="108">
        <f>MONTH(Tableau13[[#This Row],[Date fin intervention]])</f>
        <v>2</v>
      </c>
      <c r="O65" s="108">
        <f>YEAR(Tableau13[[#This Row],[Date fin intervention]])</f>
        <v>2019</v>
      </c>
      <c r="P65" s="36"/>
    </row>
    <row r="66" spans="1:16">
      <c r="A66" s="104">
        <v>43507</v>
      </c>
      <c r="B66" s="105">
        <v>603</v>
      </c>
      <c r="C66" s="106" t="str">
        <f>IF(ISNA(VLOOKUP(Tableau13[[#This Row],[Code machine]],'CODE mchn'!$A$4:$C$170,2,0)),"",VLOOKUP(Tableau13[[#This Row],[Code machine]],'CODE mchn'!$A$4:$C$170,2,0))</f>
        <v>Acier</v>
      </c>
      <c r="D66" s="36" t="str">
        <f>IF(ISNA(VLOOKUP(Tableau13[[#This Row],[Code machine]],'CODE mchn'!$A$4:$C$170,3,0)),"",VLOOKUP(Tableau13[[#This Row],[Code machine]],'CODE mchn'!$A$4:$C$170,3,0))</f>
        <v>Wafios Reutlingen</v>
      </c>
      <c r="E66" s="105"/>
      <c r="F66" s="36"/>
      <c r="G66" s="36" t="s">
        <v>158</v>
      </c>
      <c r="H66" s="36"/>
      <c r="I66" s="36" t="s">
        <v>13</v>
      </c>
      <c r="J66" s="106" t="s">
        <v>159</v>
      </c>
      <c r="K66" s="104">
        <v>43507</v>
      </c>
      <c r="L66" s="36" t="s">
        <v>85</v>
      </c>
      <c r="M66" s="107"/>
      <c r="N66" s="108">
        <f>MONTH(Tableau13[[#This Row],[Date fin intervention]])</f>
        <v>2</v>
      </c>
      <c r="O66" s="108">
        <f>YEAR(Tableau13[[#This Row],[Date fin intervention]])</f>
        <v>2019</v>
      </c>
      <c r="P66" s="36"/>
    </row>
    <row r="67" spans="1:16">
      <c r="A67" s="104">
        <v>43507</v>
      </c>
      <c r="B67" s="105">
        <v>590</v>
      </c>
      <c r="C67" s="106" t="str">
        <f>IF(ISNA(VLOOKUP(Tableau13[[#This Row],[Code machine]],'CODE mchn'!$A$4:$C$170,2,0)),"",VLOOKUP(Tableau13[[#This Row],[Code machine]],'CODE mchn'!$A$4:$C$170,2,0))</f>
        <v>Acier</v>
      </c>
      <c r="D67" s="36" t="str">
        <f>IF(ISNA(VLOOKUP(Tableau13[[#This Row],[Code machine]],'CODE mchn'!$A$4:$C$170,3,0)),"",VLOOKUP(Tableau13[[#This Row],[Code machine]],'CODE mchn'!$A$4:$C$170,3,0))</f>
        <v>Teurema 3</v>
      </c>
      <c r="E67" s="105"/>
      <c r="F67" s="36"/>
      <c r="G67" s="36" t="s">
        <v>161</v>
      </c>
      <c r="H67" s="36"/>
      <c r="I67" s="36" t="s">
        <v>13</v>
      </c>
      <c r="J67" s="106" t="s">
        <v>162</v>
      </c>
      <c r="K67" s="104">
        <v>43507</v>
      </c>
      <c r="L67" s="36" t="s">
        <v>163</v>
      </c>
      <c r="M67" s="107"/>
      <c r="N67" s="108">
        <f>MONTH(Tableau13[[#This Row],[Date fin intervention]])</f>
        <v>2</v>
      </c>
      <c r="O67" s="108">
        <f>YEAR(Tableau13[[#This Row],[Date fin intervention]])</f>
        <v>2019</v>
      </c>
      <c r="P67" s="36"/>
    </row>
    <row r="68" spans="1:16" ht="28.5">
      <c r="A68" s="104">
        <v>43507</v>
      </c>
      <c r="B68" s="105">
        <v>583</v>
      </c>
      <c r="C68" s="106" t="str">
        <f>IF(ISNA(VLOOKUP(Tableau13[[#This Row],[Code machine]],'CODE mchn'!$A$4:$C$170,2,0)),"",VLOOKUP(Tableau13[[#This Row],[Code machine]],'CODE mchn'!$A$4:$C$170,2,0))</f>
        <v>Ponts roulants</v>
      </c>
      <c r="D68" s="36" t="str">
        <f>IF(ISNA(VLOOKUP(Tableau13[[#This Row],[Code machine]],'CODE mchn'!$A$4:$C$170,3,0)),"",VLOOKUP(Tableau13[[#This Row],[Code machine]],'CODE mchn'!$A$4:$C$170,3,0))</f>
        <v>Pont roulant Abus 5T (teurema1)</v>
      </c>
      <c r="E68" s="105"/>
      <c r="F68" s="36"/>
      <c r="G68" s="36" t="s">
        <v>80</v>
      </c>
      <c r="H68" s="36"/>
      <c r="I68" s="36" t="s">
        <v>13</v>
      </c>
      <c r="J68" s="106" t="s">
        <v>164</v>
      </c>
      <c r="K68" s="104">
        <v>43507</v>
      </c>
      <c r="L68" s="36" t="s">
        <v>82</v>
      </c>
      <c r="M68" s="107"/>
      <c r="N68" s="108">
        <f>MONTH(Tableau13[[#This Row],[Date fin intervention]])</f>
        <v>2</v>
      </c>
      <c r="O68" s="108">
        <f>YEAR(Tableau13[[#This Row],[Date fin intervention]])</f>
        <v>2019</v>
      </c>
      <c r="P68" s="36"/>
    </row>
    <row r="69" spans="1:16">
      <c r="A69" s="104">
        <v>43507</v>
      </c>
      <c r="B69" s="105">
        <v>565</v>
      </c>
      <c r="C69" s="106" t="str">
        <f>IF(ISNA(VLOOKUP(Tableau13[[#This Row],[Code machine]],'CODE mchn'!$A$4:$C$170,2,0)),"",VLOOKUP(Tableau13[[#This Row],[Code machine]],'CODE mchn'!$A$4:$C$170,2,0))</f>
        <v>Acier</v>
      </c>
      <c r="D69" s="36" t="str">
        <f>IF(ISNA(VLOOKUP(Tableau13[[#This Row],[Code machine]],'CODE mchn'!$A$4:$C$170,3,0)),"",VLOOKUP(Tableau13[[#This Row],[Code machine]],'CODE mchn'!$A$4:$C$170,3,0))</f>
        <v>EVG GE12</v>
      </c>
      <c r="E69" s="105"/>
      <c r="F69" s="36"/>
      <c r="G69" s="36" t="s">
        <v>165</v>
      </c>
      <c r="H69" s="36"/>
      <c r="I69" s="36" t="s">
        <v>13</v>
      </c>
      <c r="J69" s="106" t="s">
        <v>166</v>
      </c>
      <c r="K69" s="104">
        <v>43507</v>
      </c>
      <c r="L69" s="36" t="s">
        <v>112</v>
      </c>
      <c r="M69" s="107"/>
      <c r="N69" s="108">
        <f>MONTH(Tableau13[[#This Row],[Date fin intervention]])</f>
        <v>2</v>
      </c>
      <c r="O69" s="108">
        <f>YEAR(Tableau13[[#This Row],[Date fin intervention]])</f>
        <v>2019</v>
      </c>
      <c r="P69" s="36"/>
    </row>
    <row r="70" spans="1:16">
      <c r="A70" s="104">
        <v>43507</v>
      </c>
      <c r="B70" s="105">
        <v>571</v>
      </c>
      <c r="C70" s="106" t="str">
        <f>IF(ISNA(VLOOKUP(Tableau13[[#This Row],[Code machine]],'CODE mchn'!$A$4:$C$170,2,0)),"",VLOOKUP(Tableau13[[#This Row],[Code machine]],'CODE mchn'!$A$4:$C$170,2,0))</f>
        <v>Acier</v>
      </c>
      <c r="D70" s="36" t="str">
        <f>IF(ISNA(VLOOKUP(Tableau13[[#This Row],[Code machine]],'CODE mchn'!$A$4:$C$170,3,0)),"",VLOOKUP(Tableau13[[#This Row],[Code machine]],'CODE mchn'!$A$4:$C$170,3,0))</f>
        <v>EVG PN 1</v>
      </c>
      <c r="E70" s="105"/>
      <c r="F70" s="36"/>
      <c r="G70" s="36" t="s">
        <v>27</v>
      </c>
      <c r="H70" s="36"/>
      <c r="I70" s="36" t="s">
        <v>26</v>
      </c>
      <c r="J70" s="106" t="s">
        <v>167</v>
      </c>
      <c r="K70" s="104">
        <v>43507</v>
      </c>
      <c r="L70" s="36" t="s">
        <v>168</v>
      </c>
      <c r="M70" s="107"/>
      <c r="N70" s="108">
        <f>MONTH(Tableau13[[#This Row],[Date fin intervention]])</f>
        <v>2</v>
      </c>
      <c r="O70" s="108">
        <f>YEAR(Tableau13[[#This Row],[Date fin intervention]])</f>
        <v>2019</v>
      </c>
      <c r="P70" s="36"/>
    </row>
    <row r="71" spans="1:16">
      <c r="A71" s="104">
        <v>43507</v>
      </c>
      <c r="B71" s="105">
        <v>560</v>
      </c>
      <c r="C71" s="106" t="str">
        <f>IF(ISNA(VLOOKUP(Tableau13[[#This Row],[Code machine]],'CODE mchn'!$A$4:$C$170,2,0)),"",VLOOKUP(Tableau13[[#This Row],[Code machine]],'CODE mchn'!$A$4:$C$170,2,0))</f>
        <v>Acier</v>
      </c>
      <c r="D71" s="36" t="str">
        <f>IF(ISNA(VLOOKUP(Tableau13[[#This Row],[Code machine]],'CODE mchn'!$A$4:$C$170,3,0)),"",VLOOKUP(Tableau13[[#This Row],[Code machine]],'CODE mchn'!$A$4:$C$170,3,0))</f>
        <v>Schlatter</v>
      </c>
      <c r="E71" s="105"/>
      <c r="F71" s="36"/>
      <c r="G71" s="36" t="s">
        <v>104</v>
      </c>
      <c r="H71" s="36"/>
      <c r="I71" s="36" t="s">
        <v>13</v>
      </c>
      <c r="J71" s="106" t="s">
        <v>169</v>
      </c>
      <c r="K71" s="104">
        <v>43507</v>
      </c>
      <c r="L71" s="36" t="s">
        <v>85</v>
      </c>
      <c r="M71" s="107"/>
      <c r="N71" s="108">
        <f>MONTH(Tableau13[[#This Row],[Date fin intervention]])</f>
        <v>2</v>
      </c>
      <c r="O71" s="108">
        <f>YEAR(Tableau13[[#This Row],[Date fin intervention]])</f>
        <v>2019</v>
      </c>
      <c r="P71" s="36"/>
    </row>
    <row r="72" spans="1:16">
      <c r="A72" s="104">
        <v>43507</v>
      </c>
      <c r="B72" s="105">
        <v>565</v>
      </c>
      <c r="C72" s="106" t="str">
        <f>IF(ISNA(VLOOKUP(Tableau13[[#This Row],[Code machine]],'CODE mchn'!$A$4:$C$170,2,0)),"",VLOOKUP(Tableau13[[#This Row],[Code machine]],'CODE mchn'!$A$4:$C$170,2,0))</f>
        <v>Acier</v>
      </c>
      <c r="D72" s="36" t="str">
        <f>IF(ISNA(VLOOKUP(Tableau13[[#This Row],[Code machine]],'CODE mchn'!$A$4:$C$170,3,0)),"",VLOOKUP(Tableau13[[#This Row],[Code machine]],'CODE mchn'!$A$4:$C$170,3,0))</f>
        <v>EVG GE12</v>
      </c>
      <c r="E72" s="105"/>
      <c r="F72" s="36"/>
      <c r="G72" s="36" t="s">
        <v>104</v>
      </c>
      <c r="H72" s="36"/>
      <c r="I72" s="36" t="s">
        <v>13</v>
      </c>
      <c r="J72" s="106" t="s">
        <v>170</v>
      </c>
      <c r="K72" s="104">
        <v>43507</v>
      </c>
      <c r="L72" s="36" t="s">
        <v>85</v>
      </c>
      <c r="M72" s="107"/>
      <c r="N72" s="108">
        <f>MONTH(Tableau13[[#This Row],[Date fin intervention]])</f>
        <v>2</v>
      </c>
      <c r="O72" s="108">
        <f>YEAR(Tableau13[[#This Row],[Date fin intervention]])</f>
        <v>2019</v>
      </c>
      <c r="P72" s="36"/>
    </row>
    <row r="73" spans="1:16">
      <c r="A73" s="104">
        <v>43507</v>
      </c>
      <c r="B73" s="105">
        <v>582</v>
      </c>
      <c r="C73" s="106" t="str">
        <f>IF(ISNA(VLOOKUP(Tableau13[[#This Row],[Code machine]],'CODE mchn'!$A$4:$C$170,2,0)),"",VLOOKUP(Tableau13[[#This Row],[Code machine]],'CODE mchn'!$A$4:$C$170,2,0))</f>
        <v>Acier</v>
      </c>
      <c r="D73" s="36" t="str">
        <f>IF(ISNA(VLOOKUP(Tableau13[[#This Row],[Code machine]],'CODE mchn'!$A$4:$C$170,3,0)),"",VLOOKUP(Tableau13[[#This Row],[Code machine]],'CODE mchn'!$A$4:$C$170,3,0))</f>
        <v>Teurema 2</v>
      </c>
      <c r="E73" s="105"/>
      <c r="F73" s="36"/>
      <c r="G73" s="36" t="s">
        <v>171</v>
      </c>
      <c r="H73" s="36"/>
      <c r="I73" s="36" t="s">
        <v>19</v>
      </c>
      <c r="J73" s="106" t="s">
        <v>172</v>
      </c>
      <c r="K73" s="104">
        <v>43507</v>
      </c>
      <c r="L73" s="36" t="s">
        <v>85</v>
      </c>
      <c r="M73" s="107"/>
      <c r="N73" s="108">
        <f>MONTH(Tableau13[[#This Row],[Date fin intervention]])</f>
        <v>2</v>
      </c>
      <c r="O73" s="108">
        <f>YEAR(Tableau13[[#This Row],[Date fin intervention]])</f>
        <v>2019</v>
      </c>
      <c r="P73" s="36"/>
    </row>
    <row r="74" spans="1:16">
      <c r="A74" s="104">
        <v>43507</v>
      </c>
      <c r="B74" s="105">
        <v>582</v>
      </c>
      <c r="C74" s="106" t="str">
        <f>IF(ISNA(VLOOKUP(Tableau13[[#This Row],[Code machine]],'CODE mchn'!$A$4:$C$170,2,0)),"",VLOOKUP(Tableau13[[#This Row],[Code machine]],'CODE mchn'!$A$4:$C$170,2,0))</f>
        <v>Acier</v>
      </c>
      <c r="D74" s="36" t="str">
        <f>IF(ISNA(VLOOKUP(Tableau13[[#This Row],[Code machine]],'CODE mchn'!$A$4:$C$170,3,0)),"",VLOOKUP(Tableau13[[#This Row],[Code machine]],'CODE mchn'!$A$4:$C$170,3,0))</f>
        <v>Teurema 2</v>
      </c>
      <c r="E74" s="105"/>
      <c r="F74" s="36"/>
      <c r="G74" s="36" t="s">
        <v>173</v>
      </c>
      <c r="H74" s="36"/>
      <c r="I74" s="36" t="s">
        <v>144</v>
      </c>
      <c r="J74" s="106" t="s">
        <v>174</v>
      </c>
      <c r="K74" s="104">
        <v>43507</v>
      </c>
      <c r="L74" s="36" t="s">
        <v>175</v>
      </c>
      <c r="M74" s="107"/>
      <c r="N74" s="108">
        <f>MONTH(Tableau13[[#This Row],[Date fin intervention]])</f>
        <v>2</v>
      </c>
      <c r="O74" s="108">
        <f>YEAR(Tableau13[[#This Row],[Date fin intervention]])</f>
        <v>2019</v>
      </c>
      <c r="P74" s="36"/>
    </row>
    <row r="75" spans="1:16" ht="28.5">
      <c r="A75" s="104">
        <v>43507</v>
      </c>
      <c r="B75" s="105">
        <v>582</v>
      </c>
      <c r="C75" s="106" t="str">
        <f>IF(ISNA(VLOOKUP(Tableau13[[#This Row],[Code machine]],'CODE mchn'!$A$4:$C$170,2,0)),"",VLOOKUP(Tableau13[[#This Row],[Code machine]],'CODE mchn'!$A$4:$C$170,2,0))</f>
        <v>Acier</v>
      </c>
      <c r="D75" s="36" t="str">
        <f>IF(ISNA(VLOOKUP(Tableau13[[#This Row],[Code machine]],'CODE mchn'!$A$4:$C$170,3,0)),"",VLOOKUP(Tableau13[[#This Row],[Code machine]],'CODE mchn'!$A$4:$C$170,3,0))</f>
        <v>Teurema 2</v>
      </c>
      <c r="E75" s="105"/>
      <c r="F75" s="36"/>
      <c r="G75" s="36" t="s">
        <v>122</v>
      </c>
      <c r="H75" s="36"/>
      <c r="I75" s="36" t="s">
        <v>13</v>
      </c>
      <c r="J75" s="106" t="s">
        <v>176</v>
      </c>
      <c r="K75" s="104">
        <v>43507</v>
      </c>
      <c r="L75" s="36" t="s">
        <v>112</v>
      </c>
      <c r="M75" s="107"/>
      <c r="N75" s="108">
        <f>MONTH(Tableau13[[#This Row],[Date fin intervention]])</f>
        <v>2</v>
      </c>
      <c r="O75" s="108">
        <f>YEAR(Tableau13[[#This Row],[Date fin intervention]])</f>
        <v>2019</v>
      </c>
      <c r="P75" s="36"/>
    </row>
    <row r="76" spans="1:16">
      <c r="A76" s="104">
        <v>43508</v>
      </c>
      <c r="B76" s="105">
        <v>604</v>
      </c>
      <c r="C76" s="106" t="str">
        <f>IF(ISNA(VLOOKUP(Tableau13[[#This Row],[Code machine]],'CODE mchn'!$A$4:$C$170,2,0)),"",VLOOKUP(Tableau13[[#This Row],[Code machine]],'CODE mchn'!$A$4:$C$170,2,0))</f>
        <v>Acier</v>
      </c>
      <c r="D76" s="36" t="str">
        <f>IF(ISNA(VLOOKUP(Tableau13[[#This Row],[Code machine]],'CODE mchn'!$A$4:$C$170,3,0)),"",VLOOKUP(Tableau13[[#This Row],[Code machine]],'CODE mchn'!$A$4:$C$170,3,0))</f>
        <v>TI</v>
      </c>
      <c r="E76" s="105"/>
      <c r="F76" s="36"/>
      <c r="G76" s="36" t="s">
        <v>177</v>
      </c>
      <c r="H76" s="36"/>
      <c r="I76" s="36" t="s">
        <v>13</v>
      </c>
      <c r="J76" s="106" t="s">
        <v>178</v>
      </c>
      <c r="K76" s="104">
        <v>43508</v>
      </c>
      <c r="L76" s="36" t="s">
        <v>112</v>
      </c>
      <c r="M76" s="107"/>
      <c r="N76" s="108">
        <f>MONTH(Tableau13[[#This Row],[Date fin intervention]])</f>
        <v>2</v>
      </c>
      <c r="O76" s="108">
        <f>YEAR(Tableau13[[#This Row],[Date fin intervention]])</f>
        <v>2019</v>
      </c>
      <c r="P76" s="36"/>
    </row>
    <row r="77" spans="1:16">
      <c r="A77" s="104">
        <v>43508</v>
      </c>
      <c r="B77" s="105">
        <v>565</v>
      </c>
      <c r="C77" s="106" t="str">
        <f>IF(ISNA(VLOOKUP(Tableau13[[#This Row],[Code machine]],'CODE mchn'!$A$4:$C$170,2,0)),"",VLOOKUP(Tableau13[[#This Row],[Code machine]],'CODE mchn'!$A$4:$C$170,2,0))</f>
        <v>Acier</v>
      </c>
      <c r="D77" s="36" t="str">
        <f>IF(ISNA(VLOOKUP(Tableau13[[#This Row],[Code machine]],'CODE mchn'!$A$4:$C$170,3,0)),"",VLOOKUP(Tableau13[[#This Row],[Code machine]],'CODE mchn'!$A$4:$C$170,3,0))</f>
        <v>EVG GE12</v>
      </c>
      <c r="E77" s="105"/>
      <c r="F77" s="36"/>
      <c r="G77" s="36" t="s">
        <v>104</v>
      </c>
      <c r="H77" s="36"/>
      <c r="I77" s="36" t="s">
        <v>13</v>
      </c>
      <c r="J77" s="106" t="s">
        <v>179</v>
      </c>
      <c r="K77" s="104">
        <v>43508</v>
      </c>
      <c r="L77" s="36" t="s">
        <v>112</v>
      </c>
      <c r="M77" s="107"/>
      <c r="N77" s="108">
        <f>MONTH(Tableau13[[#This Row],[Date fin intervention]])</f>
        <v>2</v>
      </c>
      <c r="O77" s="108">
        <f>YEAR(Tableau13[[#This Row],[Date fin intervention]])</f>
        <v>2019</v>
      </c>
      <c r="P77" s="36"/>
    </row>
    <row r="78" spans="1:16">
      <c r="A78" s="104">
        <v>43508</v>
      </c>
      <c r="B78" s="105">
        <v>565</v>
      </c>
      <c r="C78" s="106" t="str">
        <f>IF(ISNA(VLOOKUP(Tableau13[[#This Row],[Code machine]],'CODE mchn'!$A$4:$C$170,2,0)),"",VLOOKUP(Tableau13[[#This Row],[Code machine]],'CODE mchn'!$A$4:$C$170,2,0))</f>
        <v>Acier</v>
      </c>
      <c r="D78" s="36" t="str">
        <f>IF(ISNA(VLOOKUP(Tableau13[[#This Row],[Code machine]],'CODE mchn'!$A$4:$C$170,3,0)),"",VLOOKUP(Tableau13[[#This Row],[Code machine]],'CODE mchn'!$A$4:$C$170,3,0))</f>
        <v>EVG GE12</v>
      </c>
      <c r="E78" s="105"/>
      <c r="F78" s="36"/>
      <c r="G78" s="36" t="s">
        <v>27</v>
      </c>
      <c r="H78" s="36"/>
      <c r="I78" s="36" t="s">
        <v>26</v>
      </c>
      <c r="J78" s="106" t="s">
        <v>180</v>
      </c>
      <c r="K78" s="104">
        <v>43508</v>
      </c>
      <c r="L78" s="36" t="s">
        <v>181</v>
      </c>
      <c r="M78" s="107"/>
      <c r="N78" s="108">
        <f>MONTH(Tableau13[[#This Row],[Date fin intervention]])</f>
        <v>2</v>
      </c>
      <c r="O78" s="108">
        <f>YEAR(Tableau13[[#This Row],[Date fin intervention]])</f>
        <v>2019</v>
      </c>
      <c r="P78" s="36"/>
    </row>
    <row r="79" spans="1:16">
      <c r="A79" s="104">
        <v>43508</v>
      </c>
      <c r="B79" s="105">
        <v>560</v>
      </c>
      <c r="C79" s="106" t="str">
        <f>IF(ISNA(VLOOKUP(Tableau13[[#This Row],[Code machine]],'CODE mchn'!$A$4:$C$170,2,0)),"",VLOOKUP(Tableau13[[#This Row],[Code machine]],'CODE mchn'!$A$4:$C$170,2,0))</f>
        <v>Acier</v>
      </c>
      <c r="D79" s="36" t="str">
        <f>IF(ISNA(VLOOKUP(Tableau13[[#This Row],[Code machine]],'CODE mchn'!$A$4:$C$170,3,0)),"",VLOOKUP(Tableau13[[#This Row],[Code machine]],'CODE mchn'!$A$4:$C$170,3,0))</f>
        <v>Schlatter</v>
      </c>
      <c r="E79" s="105"/>
      <c r="F79" s="36"/>
      <c r="G79" s="36" t="s">
        <v>104</v>
      </c>
      <c r="H79" s="36"/>
      <c r="I79" s="36" t="s">
        <v>182</v>
      </c>
      <c r="J79" s="106" t="s">
        <v>183</v>
      </c>
      <c r="K79" s="104">
        <v>43508</v>
      </c>
      <c r="L79" s="36" t="s">
        <v>184</v>
      </c>
      <c r="M79" s="107"/>
      <c r="N79" s="108">
        <f>MONTH(Tableau13[[#This Row],[Date fin intervention]])</f>
        <v>2</v>
      </c>
      <c r="O79" s="108">
        <f>YEAR(Tableau13[[#This Row],[Date fin intervention]])</f>
        <v>2019</v>
      </c>
      <c r="P79" s="36"/>
    </row>
    <row r="80" spans="1:16" ht="28.5">
      <c r="A80" s="104">
        <v>43508</v>
      </c>
      <c r="B80" s="105">
        <v>700</v>
      </c>
      <c r="C80" s="106" t="str">
        <f>IF(ISNA(VLOOKUP(Tableau13[[#This Row],[Code machine]],'CODE mchn'!$A$4:$C$170,2,0)),"",VLOOKUP(Tableau13[[#This Row],[Code machine]],'CODE mchn'!$A$4:$C$170,2,0))</f>
        <v>Béton</v>
      </c>
      <c r="D80" s="36" t="str">
        <f>IF(ISNA(VLOOKUP(Tableau13[[#This Row],[Code machine]],'CODE mchn'!$A$4:$C$170,3,0)),"",VLOOKUP(Tableau13[[#This Row],[Code machine]],'CODE mchn'!$A$4:$C$170,3,0))</f>
        <v>Poyatos 1</v>
      </c>
      <c r="E80" s="105"/>
      <c r="F80" s="36"/>
      <c r="G80" s="36" t="s">
        <v>185</v>
      </c>
      <c r="H80" s="36"/>
      <c r="I80" s="36" t="s">
        <v>13</v>
      </c>
      <c r="J80" s="106" t="s">
        <v>186</v>
      </c>
      <c r="K80" s="104">
        <v>43508</v>
      </c>
      <c r="L80" s="36" t="s">
        <v>112</v>
      </c>
      <c r="M80" s="107"/>
      <c r="N80" s="108">
        <f>MONTH(Tableau13[[#This Row],[Date fin intervention]])</f>
        <v>2</v>
      </c>
      <c r="O80" s="108">
        <f>YEAR(Tableau13[[#This Row],[Date fin intervention]])</f>
        <v>2019</v>
      </c>
      <c r="P80" s="36"/>
    </row>
    <row r="81" spans="1:16">
      <c r="A81" s="104">
        <v>43508</v>
      </c>
      <c r="B81" s="105">
        <v>800</v>
      </c>
      <c r="C81" s="106" t="str">
        <f>IF(ISNA(VLOOKUP(Tableau13[[#This Row],[Code machine]],'CODE mchn'!$A$4:$C$170,2,0)),"",VLOOKUP(Tableau13[[#This Row],[Code machine]],'CODE mchn'!$A$4:$C$170,2,0))</f>
        <v>Béton</v>
      </c>
      <c r="D81" s="36" t="str">
        <f>IF(ISNA(VLOOKUP(Tableau13[[#This Row],[Code machine]],'CODE mchn'!$A$4:$C$170,3,0)),"",VLOOKUP(Tableau13[[#This Row],[Code machine]],'CODE mchn'!$A$4:$C$170,3,0))</f>
        <v>Poyatos 2</v>
      </c>
      <c r="E81" s="105"/>
      <c r="F81" s="36"/>
      <c r="G81" s="36" t="s">
        <v>185</v>
      </c>
      <c r="H81" s="36"/>
      <c r="I81" s="36" t="s">
        <v>107</v>
      </c>
      <c r="J81" s="106" t="s">
        <v>187</v>
      </c>
      <c r="K81" s="104">
        <v>43508</v>
      </c>
      <c r="L81" s="36" t="s">
        <v>115</v>
      </c>
      <c r="M81" s="107"/>
      <c r="N81" s="108">
        <f>MONTH(Tableau13[[#This Row],[Date fin intervention]])</f>
        <v>2</v>
      </c>
      <c r="O81" s="108">
        <f>YEAR(Tableau13[[#This Row],[Date fin intervention]])</f>
        <v>2019</v>
      </c>
      <c r="P81" s="36"/>
    </row>
    <row r="82" spans="1:16">
      <c r="A82" s="104">
        <v>43508</v>
      </c>
      <c r="B82" s="105">
        <v>800</v>
      </c>
      <c r="C82" s="106" t="str">
        <f>IF(ISNA(VLOOKUP(Tableau13[[#This Row],[Code machine]],'CODE mchn'!$A$4:$C$170,2,0)),"",VLOOKUP(Tableau13[[#This Row],[Code machine]],'CODE mchn'!$A$4:$C$170,2,0))</f>
        <v>Béton</v>
      </c>
      <c r="D82" s="36" t="str">
        <f>IF(ISNA(VLOOKUP(Tableau13[[#This Row],[Code machine]],'CODE mchn'!$A$4:$C$170,3,0)),"",VLOOKUP(Tableau13[[#This Row],[Code machine]],'CODE mchn'!$A$4:$C$170,3,0))</f>
        <v>Poyatos 2</v>
      </c>
      <c r="E82" s="105"/>
      <c r="F82" s="36"/>
      <c r="G82" s="36" t="s">
        <v>188</v>
      </c>
      <c r="H82" s="36"/>
      <c r="I82" s="36" t="s">
        <v>107</v>
      </c>
      <c r="J82" s="106" t="s">
        <v>189</v>
      </c>
      <c r="K82" s="104">
        <v>43508</v>
      </c>
      <c r="L82" s="36" t="s">
        <v>115</v>
      </c>
      <c r="M82" s="107"/>
      <c r="N82" s="108">
        <f>MONTH(Tableau13[[#This Row],[Date fin intervention]])</f>
        <v>2</v>
      </c>
      <c r="O82" s="108">
        <f>YEAR(Tableau13[[#This Row],[Date fin intervention]])</f>
        <v>2019</v>
      </c>
      <c r="P82" s="36"/>
    </row>
    <row r="83" spans="1:16">
      <c r="A83" s="104">
        <v>43508</v>
      </c>
      <c r="B83" s="105">
        <v>581</v>
      </c>
      <c r="C83" s="106" t="str">
        <f>IF(ISNA(VLOOKUP(Tableau13[[#This Row],[Code machine]],'CODE mchn'!$A$4:$C$170,2,0)),"",VLOOKUP(Tableau13[[#This Row],[Code machine]],'CODE mchn'!$A$4:$C$170,2,0))</f>
        <v>Acier</v>
      </c>
      <c r="D83" s="36" t="str">
        <f>IF(ISNA(VLOOKUP(Tableau13[[#This Row],[Code machine]],'CODE mchn'!$A$4:$C$170,3,0)),"",VLOOKUP(Tableau13[[#This Row],[Code machine]],'CODE mchn'!$A$4:$C$170,3,0))</f>
        <v>Teurema 1</v>
      </c>
      <c r="E83" s="105"/>
      <c r="F83" s="36"/>
      <c r="G83" s="36" t="s">
        <v>190</v>
      </c>
      <c r="H83" s="36"/>
      <c r="I83" s="36" t="s">
        <v>13</v>
      </c>
      <c r="J83" s="106" t="s">
        <v>191</v>
      </c>
      <c r="K83" s="104">
        <v>43508</v>
      </c>
      <c r="L83" s="36" t="s">
        <v>112</v>
      </c>
      <c r="M83" s="107"/>
      <c r="N83" s="108">
        <f>MONTH(Tableau13[[#This Row],[Date fin intervention]])</f>
        <v>2</v>
      </c>
      <c r="O83" s="108">
        <f>YEAR(Tableau13[[#This Row],[Date fin intervention]])</f>
        <v>2019</v>
      </c>
      <c r="P83" s="36"/>
    </row>
    <row r="84" spans="1:16">
      <c r="A84" s="104">
        <v>43508</v>
      </c>
      <c r="B84" s="105">
        <v>582</v>
      </c>
      <c r="C84" s="106" t="str">
        <f>IF(ISNA(VLOOKUP(Tableau13[[#This Row],[Code machine]],'CODE mchn'!$A$4:$C$170,2,0)),"",VLOOKUP(Tableau13[[#This Row],[Code machine]],'CODE mchn'!$A$4:$C$170,2,0))</f>
        <v>Acier</v>
      </c>
      <c r="D84" s="36" t="str">
        <f>IF(ISNA(VLOOKUP(Tableau13[[#This Row],[Code machine]],'CODE mchn'!$A$4:$C$170,3,0)),"",VLOOKUP(Tableau13[[#This Row],[Code machine]],'CODE mchn'!$A$4:$C$170,3,0))</f>
        <v>Teurema 2</v>
      </c>
      <c r="E84" s="105"/>
      <c r="F84" s="36"/>
      <c r="G84" s="36" t="s">
        <v>192</v>
      </c>
      <c r="H84" s="36"/>
      <c r="I84" s="36"/>
      <c r="J84" s="106" t="s">
        <v>193</v>
      </c>
      <c r="K84" s="104">
        <v>43508</v>
      </c>
      <c r="L84" s="36" t="s">
        <v>17</v>
      </c>
      <c r="M84" s="107"/>
      <c r="N84" s="108">
        <f>MONTH(Tableau13[[#This Row],[Date fin intervention]])</f>
        <v>2</v>
      </c>
      <c r="O84" s="108">
        <f>YEAR(Tableau13[[#This Row],[Date fin intervention]])</f>
        <v>2019</v>
      </c>
      <c r="P84" s="36"/>
    </row>
    <row r="85" spans="1:16">
      <c r="A85" s="104">
        <v>43509</v>
      </c>
      <c r="B85" s="105">
        <v>565</v>
      </c>
      <c r="C85" s="106" t="str">
        <f>IF(ISNA(VLOOKUP(Tableau13[[#This Row],[Code machine]],'CODE mchn'!$A$4:$C$170,2,0)),"",VLOOKUP(Tableau13[[#This Row],[Code machine]],'CODE mchn'!$A$4:$C$170,2,0))</f>
        <v>Acier</v>
      </c>
      <c r="D85" s="36" t="str">
        <f>IF(ISNA(VLOOKUP(Tableau13[[#This Row],[Code machine]],'CODE mchn'!$A$4:$C$170,3,0)),"",VLOOKUP(Tableau13[[#This Row],[Code machine]],'CODE mchn'!$A$4:$C$170,3,0))</f>
        <v>EVG GE12</v>
      </c>
      <c r="E85" s="105"/>
      <c r="F85" s="36"/>
      <c r="G85" s="36" t="s">
        <v>104</v>
      </c>
      <c r="H85" s="36"/>
      <c r="I85" s="36" t="s">
        <v>13</v>
      </c>
      <c r="J85" s="106" t="s">
        <v>179</v>
      </c>
      <c r="K85" s="104">
        <v>43509</v>
      </c>
      <c r="L85" s="36" t="s">
        <v>112</v>
      </c>
      <c r="M85" s="107"/>
      <c r="N85" s="108">
        <f>MONTH(Tableau13[[#This Row],[Date fin intervention]])</f>
        <v>2</v>
      </c>
      <c r="O85" s="108">
        <f>YEAR(Tableau13[[#This Row],[Date fin intervention]])</f>
        <v>2019</v>
      </c>
      <c r="P85" s="36"/>
    </row>
    <row r="86" spans="1:16">
      <c r="A86" s="104">
        <v>43509</v>
      </c>
      <c r="B86" s="105">
        <v>605</v>
      </c>
      <c r="C86" s="106" t="str">
        <f>IF(ISNA(VLOOKUP(Tableau13[[#This Row],[Code machine]],'CODE mchn'!$A$4:$C$170,2,0)),"",VLOOKUP(Tableau13[[#This Row],[Code machine]],'CODE mchn'!$A$4:$C$170,2,0))</f>
        <v>Acier</v>
      </c>
      <c r="D86" s="36" t="str">
        <f>IF(ISNA(VLOOKUP(Tableau13[[#This Row],[Code machine]],'CODE mchn'!$A$4:$C$170,3,0)),"",VLOOKUP(Tableau13[[#This Row],[Code machine]],'CODE mchn'!$A$4:$C$170,3,0))</f>
        <v>Vitari 1</v>
      </c>
      <c r="E86" s="105"/>
      <c r="F86" s="36"/>
      <c r="G86" s="36" t="s">
        <v>78</v>
      </c>
      <c r="H86" s="36"/>
      <c r="I86" s="36" t="s">
        <v>13</v>
      </c>
      <c r="J86" s="106" t="s">
        <v>194</v>
      </c>
      <c r="K86" s="104">
        <v>43509</v>
      </c>
      <c r="L86" s="36" t="s">
        <v>112</v>
      </c>
      <c r="M86" s="107"/>
      <c r="N86" s="108">
        <f>MONTH(Tableau13[[#This Row],[Date fin intervention]])</f>
        <v>2</v>
      </c>
      <c r="O86" s="108">
        <f>YEAR(Tableau13[[#This Row],[Date fin intervention]])</f>
        <v>2019</v>
      </c>
      <c r="P86" s="36"/>
    </row>
    <row r="87" spans="1:16">
      <c r="A87" s="104">
        <v>43509</v>
      </c>
      <c r="B87" s="105">
        <v>560</v>
      </c>
      <c r="C87" s="106" t="str">
        <f>IF(ISNA(VLOOKUP(Tableau13[[#This Row],[Code machine]],'CODE mchn'!$A$4:$C$170,2,0)),"",VLOOKUP(Tableau13[[#This Row],[Code machine]],'CODE mchn'!$A$4:$C$170,2,0))</f>
        <v>Acier</v>
      </c>
      <c r="D87" s="36" t="str">
        <f>IF(ISNA(VLOOKUP(Tableau13[[#This Row],[Code machine]],'CODE mchn'!$A$4:$C$170,3,0)),"",VLOOKUP(Tableau13[[#This Row],[Code machine]],'CODE mchn'!$A$4:$C$170,3,0))</f>
        <v>Schlatter</v>
      </c>
      <c r="E87" s="105"/>
      <c r="F87" s="36"/>
      <c r="G87" s="36" t="s">
        <v>104</v>
      </c>
      <c r="H87" s="36"/>
      <c r="I87" s="36" t="s">
        <v>13</v>
      </c>
      <c r="J87" s="106" t="s">
        <v>195</v>
      </c>
      <c r="K87" s="104">
        <v>43509</v>
      </c>
      <c r="L87" s="36" t="s">
        <v>112</v>
      </c>
      <c r="M87" s="107"/>
      <c r="N87" s="108">
        <f>MONTH(Tableau13[[#This Row],[Date fin intervention]])</f>
        <v>2</v>
      </c>
      <c r="O87" s="108">
        <f>YEAR(Tableau13[[#This Row],[Date fin intervention]])</f>
        <v>2019</v>
      </c>
      <c r="P87" s="36"/>
    </row>
    <row r="88" spans="1:16" ht="28.5">
      <c r="A88" s="104">
        <v>43509</v>
      </c>
      <c r="B88" s="105">
        <v>568</v>
      </c>
      <c r="C88" s="106" t="str">
        <f>IF(ISNA(VLOOKUP(Tableau13[[#This Row],[Code machine]],'CODE mchn'!$A$4:$C$170,2,0)),"",VLOOKUP(Tableau13[[#This Row],[Code machine]],'CODE mchn'!$A$4:$C$170,2,0))</f>
        <v>Ponts roulants</v>
      </c>
      <c r="D88" s="36" t="str">
        <f>IF(ISNA(VLOOKUP(Tableau13[[#This Row],[Code machine]],'CODE mchn'!$A$4:$C$170,3,0)),"",VLOOKUP(Tableau13[[#This Row],[Code machine]],'CODE mchn'!$A$4:$C$170,3,0))</f>
        <v>Pont roulant Demag 5T (milieu)</v>
      </c>
      <c r="E88" s="105"/>
      <c r="F88" s="36"/>
      <c r="G88" s="36" t="s">
        <v>80</v>
      </c>
      <c r="H88" s="36"/>
      <c r="I88" s="36" t="s">
        <v>196</v>
      </c>
      <c r="J88" s="106" t="s">
        <v>81</v>
      </c>
      <c r="K88" s="104">
        <v>43509</v>
      </c>
      <c r="L88" s="36" t="s">
        <v>85</v>
      </c>
      <c r="M88" s="107"/>
      <c r="N88" s="108">
        <f>MONTH(Tableau13[[#This Row],[Date fin intervention]])</f>
        <v>2</v>
      </c>
      <c r="O88" s="108">
        <f>YEAR(Tableau13[[#This Row],[Date fin intervention]])</f>
        <v>2019</v>
      </c>
      <c r="P88" s="36"/>
    </row>
    <row r="89" spans="1:16">
      <c r="A89" s="104">
        <v>43509</v>
      </c>
      <c r="B89" s="105">
        <v>582</v>
      </c>
      <c r="C89" s="106" t="str">
        <f>IF(ISNA(VLOOKUP(Tableau13[[#This Row],[Code machine]],'CODE mchn'!$A$4:$C$170,2,0)),"",VLOOKUP(Tableau13[[#This Row],[Code machine]],'CODE mchn'!$A$4:$C$170,2,0))</f>
        <v>Acier</v>
      </c>
      <c r="D89" s="36" t="str">
        <f>IF(ISNA(VLOOKUP(Tableau13[[#This Row],[Code machine]],'CODE mchn'!$A$4:$C$170,3,0)),"",VLOOKUP(Tableau13[[#This Row],[Code machine]],'CODE mchn'!$A$4:$C$170,3,0))</f>
        <v>Teurema 2</v>
      </c>
      <c r="E89" s="105"/>
      <c r="F89" s="36"/>
      <c r="G89" s="36" t="s">
        <v>197</v>
      </c>
      <c r="H89" s="36"/>
      <c r="I89" s="36" t="s">
        <v>19</v>
      </c>
      <c r="J89" s="106" t="s">
        <v>198</v>
      </c>
      <c r="K89" s="104">
        <v>43509</v>
      </c>
      <c r="L89" s="36" t="s">
        <v>85</v>
      </c>
      <c r="M89" s="107"/>
      <c r="N89" s="108">
        <f>MONTH(Tableau13[[#This Row],[Date fin intervention]])</f>
        <v>2</v>
      </c>
      <c r="O89" s="108">
        <f>YEAR(Tableau13[[#This Row],[Date fin intervention]])</f>
        <v>2019</v>
      </c>
      <c r="P89" s="36"/>
    </row>
    <row r="90" spans="1:16">
      <c r="A90" s="104">
        <v>43509</v>
      </c>
      <c r="B90" s="105">
        <v>560</v>
      </c>
      <c r="C90" s="106" t="str">
        <f>IF(ISNA(VLOOKUP(Tableau13[[#This Row],[Code machine]],'CODE mchn'!$A$4:$C$170,2,0)),"",VLOOKUP(Tableau13[[#This Row],[Code machine]],'CODE mchn'!$A$4:$C$170,2,0))</f>
        <v>Acier</v>
      </c>
      <c r="D90" s="36" t="str">
        <f>IF(ISNA(VLOOKUP(Tableau13[[#This Row],[Code machine]],'CODE mchn'!$A$4:$C$170,3,0)),"",VLOOKUP(Tableau13[[#This Row],[Code machine]],'CODE mchn'!$A$4:$C$170,3,0))</f>
        <v>Schlatter</v>
      </c>
      <c r="E90" s="105"/>
      <c r="F90" s="36"/>
      <c r="G90" s="36" t="s">
        <v>104</v>
      </c>
      <c r="H90" s="36"/>
      <c r="I90" s="36" t="s">
        <v>13</v>
      </c>
      <c r="J90" s="106" t="s">
        <v>199</v>
      </c>
      <c r="K90" s="104">
        <v>43509</v>
      </c>
      <c r="L90" s="36" t="s">
        <v>85</v>
      </c>
      <c r="M90" s="107"/>
      <c r="N90" s="108">
        <f>MONTH(Tableau13[[#This Row],[Date fin intervention]])</f>
        <v>2</v>
      </c>
      <c r="O90" s="108">
        <f>YEAR(Tableau13[[#This Row],[Date fin intervention]])</f>
        <v>2019</v>
      </c>
      <c r="P90" s="36"/>
    </row>
    <row r="91" spans="1:16">
      <c r="A91" s="104">
        <v>43510</v>
      </c>
      <c r="B91" s="105">
        <v>590</v>
      </c>
      <c r="C91" s="106" t="str">
        <f>IF(ISNA(VLOOKUP(Tableau13[[#This Row],[Code machine]],'CODE mchn'!$A$4:$C$170,2,0)),"",VLOOKUP(Tableau13[[#This Row],[Code machine]],'CODE mchn'!$A$4:$C$170,2,0))</f>
        <v>Acier</v>
      </c>
      <c r="D91" s="36" t="str">
        <f>IF(ISNA(VLOOKUP(Tableau13[[#This Row],[Code machine]],'CODE mchn'!$A$4:$C$170,3,0)),"",VLOOKUP(Tableau13[[#This Row],[Code machine]],'CODE mchn'!$A$4:$C$170,3,0))</f>
        <v>Teurema 3</v>
      </c>
      <c r="E91" s="105"/>
      <c r="F91" s="36"/>
      <c r="G91" s="36" t="s">
        <v>200</v>
      </c>
      <c r="H91" s="36"/>
      <c r="I91" s="36" t="s">
        <v>13</v>
      </c>
      <c r="J91" s="106" t="s">
        <v>302</v>
      </c>
      <c r="K91" s="104">
        <v>43510</v>
      </c>
      <c r="L91" s="36"/>
      <c r="M91" s="107"/>
      <c r="N91" s="108">
        <f>MONTH(Tableau13[[#This Row],[Date fin intervention]])</f>
        <v>2</v>
      </c>
      <c r="O91" s="108">
        <f>YEAR(Tableau13[[#This Row],[Date fin intervention]])</f>
        <v>2019</v>
      </c>
      <c r="P91" s="36"/>
    </row>
    <row r="92" spans="1:16" ht="42.75">
      <c r="A92" s="104">
        <v>43516</v>
      </c>
      <c r="B92" s="105">
        <v>568</v>
      </c>
      <c r="C92" s="106" t="str">
        <f>IF(ISNA(VLOOKUP(Tableau13[[#This Row],[Code machine]],'CODE mchn'!$A$4:$C$170,2,0)),"",VLOOKUP(Tableau13[[#This Row],[Code machine]],'CODE mchn'!$A$4:$C$170,2,0))</f>
        <v>Ponts roulants</v>
      </c>
      <c r="D92" s="36" t="str">
        <f>IF(ISNA(VLOOKUP(Tableau13[[#This Row],[Code machine]],'CODE mchn'!$A$4:$C$170,3,0)),"",VLOOKUP(Tableau13[[#This Row],[Code machine]],'CODE mchn'!$A$4:$C$170,3,0))</f>
        <v>Pont roulant Demag 5T (milieu)</v>
      </c>
      <c r="E92" s="105"/>
      <c r="F92" s="36"/>
      <c r="G92" s="36" t="s">
        <v>80</v>
      </c>
      <c r="H92" s="36"/>
      <c r="I92" s="36" t="s">
        <v>13</v>
      </c>
      <c r="J92" s="106" t="s">
        <v>148</v>
      </c>
      <c r="K92" s="104">
        <v>43516</v>
      </c>
      <c r="L92" s="109" t="s">
        <v>207</v>
      </c>
      <c r="M92" s="107"/>
      <c r="N92" s="108">
        <f>MONTH(Tableau13[[#This Row],[Date fin intervention]])</f>
        <v>2</v>
      </c>
      <c r="O92" s="108">
        <f>YEAR(Tableau13[[#This Row],[Date fin intervention]])</f>
        <v>2019</v>
      </c>
      <c r="P92" s="36"/>
    </row>
    <row r="93" spans="1:16">
      <c r="A93" s="104">
        <v>43519</v>
      </c>
      <c r="B93" s="105">
        <v>560</v>
      </c>
      <c r="C93" s="106" t="str">
        <f>IF(ISNA(VLOOKUP(Tableau13[[#This Row],[Code machine]],'CODE mchn'!$A$4:$C$170,2,0)),"",VLOOKUP(Tableau13[[#This Row],[Code machine]],'CODE mchn'!$A$4:$C$170,2,0))</f>
        <v>Acier</v>
      </c>
      <c r="D93" s="36" t="str">
        <f>IF(ISNA(VLOOKUP(Tableau13[[#This Row],[Code machine]],'CODE mchn'!$A$4:$C$170,3,0)),"",VLOOKUP(Tableau13[[#This Row],[Code machine]],'CODE mchn'!$A$4:$C$170,3,0))</f>
        <v>Schlatter</v>
      </c>
      <c r="E93" s="105"/>
      <c r="F93" s="36"/>
      <c r="G93" s="36" t="s">
        <v>104</v>
      </c>
      <c r="H93" s="36"/>
      <c r="I93" s="36" t="s">
        <v>13</v>
      </c>
      <c r="J93" s="106" t="s">
        <v>203</v>
      </c>
      <c r="K93" s="104">
        <v>43519</v>
      </c>
      <c r="L93" s="36" t="s">
        <v>85</v>
      </c>
      <c r="M93" s="107"/>
      <c r="N93" s="108">
        <f>MONTH(Tableau13[[#This Row],[Date fin intervention]])</f>
        <v>2</v>
      </c>
      <c r="O93" s="108">
        <f>YEAR(Tableau13[[#This Row],[Date fin intervention]])</f>
        <v>2019</v>
      </c>
      <c r="P93" s="36"/>
    </row>
    <row r="94" spans="1:16">
      <c r="A94" s="104">
        <v>43519</v>
      </c>
      <c r="B94" s="105">
        <v>573</v>
      </c>
      <c r="C94" s="106" t="str">
        <f>IF(ISNA(VLOOKUP(Tableau13[[#This Row],[Code machine]],'CODE mchn'!$A$4:$C$170,2,0)),"",VLOOKUP(Tableau13[[#This Row],[Code machine]],'CODE mchn'!$A$4:$C$170,2,0))</f>
        <v>Ponts roulants</v>
      </c>
      <c r="D94" s="36" t="str">
        <f>IF(ISNA(VLOOKUP(Tableau13[[#This Row],[Code machine]],'CODE mchn'!$A$4:$C$170,3,0)),"",VLOOKUP(Tableau13[[#This Row],[Code machine]],'CODE mchn'!$A$4:$C$170,3,0))</f>
        <v xml:space="preserve">Pont roulant Demag 1 3,5T </v>
      </c>
      <c r="E94" s="105"/>
      <c r="F94" s="36"/>
      <c r="G94" s="36" t="s">
        <v>204</v>
      </c>
      <c r="H94" s="36"/>
      <c r="I94" s="36" t="s">
        <v>13</v>
      </c>
      <c r="J94" s="106" t="s">
        <v>205</v>
      </c>
      <c r="K94" s="104">
        <v>43519</v>
      </c>
      <c r="L94" s="109" t="s">
        <v>206</v>
      </c>
      <c r="M94" s="107"/>
      <c r="N94" s="108">
        <f>MONTH(Tableau13[[#This Row],[Date fin intervention]])</f>
        <v>2</v>
      </c>
      <c r="O94" s="108">
        <f>YEAR(Tableau13[[#This Row],[Date fin intervention]])</f>
        <v>2019</v>
      </c>
      <c r="P94" s="36"/>
    </row>
    <row r="95" spans="1:16">
      <c r="A95" s="104">
        <v>43521</v>
      </c>
      <c r="B95" s="105">
        <v>560</v>
      </c>
      <c r="C95" s="106" t="str">
        <f>IF(ISNA(VLOOKUP(Tableau13[[#This Row],[Code machine]],'CODE mchn'!$A$4:$C$170,2,0)),"",VLOOKUP(Tableau13[[#This Row],[Code machine]],'CODE mchn'!$A$4:$C$170,2,0))</f>
        <v>Acier</v>
      </c>
      <c r="D95" s="36" t="str">
        <f>IF(ISNA(VLOOKUP(Tableau13[[#This Row],[Code machine]],'CODE mchn'!$A$4:$C$170,3,0)),"",VLOOKUP(Tableau13[[#This Row],[Code machine]],'CODE mchn'!$A$4:$C$170,3,0))</f>
        <v>Schlatter</v>
      </c>
      <c r="E95" s="105"/>
      <c r="F95" s="36"/>
      <c r="G95" s="36" t="s">
        <v>104</v>
      </c>
      <c r="H95" s="36"/>
      <c r="I95" s="36" t="s">
        <v>13</v>
      </c>
      <c r="J95" s="106" t="s">
        <v>202</v>
      </c>
      <c r="K95" s="104">
        <v>43521</v>
      </c>
      <c r="L95" s="36" t="s">
        <v>85</v>
      </c>
      <c r="M95" s="107"/>
      <c r="N95" s="108">
        <f>MONTH(Tableau13[[#This Row],[Date fin intervention]])</f>
        <v>2</v>
      </c>
      <c r="O95" s="108">
        <f>YEAR(Tableau13[[#This Row],[Date fin intervention]])</f>
        <v>2019</v>
      </c>
      <c r="P95" s="36"/>
    </row>
    <row r="96" spans="1:16">
      <c r="A96" s="104">
        <v>43522</v>
      </c>
      <c r="B96" s="105">
        <v>560</v>
      </c>
      <c r="C96" s="106" t="str">
        <f>IF(ISNA(VLOOKUP(Tableau13[[#This Row],[Code machine]],'CODE mchn'!$A$4:$C$170,2,0)),"",VLOOKUP(Tableau13[[#This Row],[Code machine]],'CODE mchn'!$A$4:$C$170,2,0))</f>
        <v>Acier</v>
      </c>
      <c r="D96" s="36" t="str">
        <f>IF(ISNA(VLOOKUP(Tableau13[[#This Row],[Code machine]],'CODE mchn'!$A$4:$C$170,3,0)),"",VLOOKUP(Tableau13[[#This Row],[Code machine]],'CODE mchn'!$A$4:$C$170,3,0))</f>
        <v>Schlatter</v>
      </c>
      <c r="E96" s="105"/>
      <c r="F96" s="36"/>
      <c r="G96" s="36" t="s">
        <v>104</v>
      </c>
      <c r="H96" s="36"/>
      <c r="I96" s="36" t="s">
        <v>13</v>
      </c>
      <c r="J96" s="106" t="s">
        <v>201</v>
      </c>
      <c r="K96" s="104">
        <v>43522</v>
      </c>
      <c r="L96" s="36" t="s">
        <v>85</v>
      </c>
      <c r="M96" s="107"/>
      <c r="N96" s="108">
        <f>MONTH(Tableau13[[#This Row],[Date fin intervention]])</f>
        <v>2</v>
      </c>
      <c r="O96" s="108">
        <f>YEAR(Tableau13[[#This Row],[Date fin intervention]])</f>
        <v>2019</v>
      </c>
      <c r="P96" s="36"/>
    </row>
    <row r="97" spans="1:16" ht="28.5">
      <c r="A97" s="104">
        <v>43522</v>
      </c>
      <c r="B97" s="105">
        <v>568</v>
      </c>
      <c r="C97" s="106" t="str">
        <f>IF(ISNA(VLOOKUP(Tableau13[[#This Row],[Code machine]],'CODE mchn'!$A$4:$C$170,2,0)),"",VLOOKUP(Tableau13[[#This Row],[Code machine]],'CODE mchn'!$A$4:$C$170,2,0))</f>
        <v>Ponts roulants</v>
      </c>
      <c r="D97" s="36" t="str">
        <f>IF(ISNA(VLOOKUP(Tableau13[[#This Row],[Code machine]],'CODE mchn'!$A$4:$C$170,3,0)),"",VLOOKUP(Tableau13[[#This Row],[Code machine]],'CODE mchn'!$A$4:$C$170,3,0))</f>
        <v>Pont roulant Demag 5T (milieu)</v>
      </c>
      <c r="E97" s="105"/>
      <c r="F97" s="36"/>
      <c r="G97" s="36" t="s">
        <v>80</v>
      </c>
      <c r="H97" s="36"/>
      <c r="I97" s="36" t="s">
        <v>13</v>
      </c>
      <c r="J97" s="106" t="s">
        <v>208</v>
      </c>
      <c r="K97" s="104">
        <v>43522</v>
      </c>
      <c r="L97" s="109" t="s">
        <v>209</v>
      </c>
      <c r="M97" s="107"/>
      <c r="N97" s="108">
        <f>MONTH(Tableau13[[#This Row],[Date fin intervention]])</f>
        <v>2</v>
      </c>
      <c r="O97" s="108">
        <f>YEAR(Tableau13[[#This Row],[Date fin intervention]])</f>
        <v>2019</v>
      </c>
      <c r="P97" s="36"/>
    </row>
    <row r="98" spans="1:16">
      <c r="A98" s="104">
        <v>43523</v>
      </c>
      <c r="B98" s="105">
        <v>800</v>
      </c>
      <c r="C98" s="106" t="str">
        <f>IF(ISNA(VLOOKUP(Tableau13[[#This Row],[Code machine]],'CODE mchn'!$A$4:$C$170,2,0)),"",VLOOKUP(Tableau13[[#This Row],[Code machine]],'CODE mchn'!$A$4:$C$170,2,0))</f>
        <v>Béton</v>
      </c>
      <c r="D98" s="36" t="str">
        <f>IF(ISNA(VLOOKUP(Tableau13[[#This Row],[Code machine]],'CODE mchn'!$A$4:$C$170,3,0)),"",VLOOKUP(Tableau13[[#This Row],[Code machine]],'CODE mchn'!$A$4:$C$170,3,0))</f>
        <v>Poyatos 2</v>
      </c>
      <c r="E98" s="105"/>
      <c r="F98" s="36"/>
      <c r="G98" s="36" t="s">
        <v>210</v>
      </c>
      <c r="H98" s="36"/>
      <c r="I98" s="36" t="s">
        <v>13</v>
      </c>
      <c r="J98" s="106" t="s">
        <v>211</v>
      </c>
      <c r="K98" s="104">
        <v>43523</v>
      </c>
      <c r="L98" s="36" t="s">
        <v>85</v>
      </c>
      <c r="M98" s="107"/>
      <c r="N98" s="108">
        <f>MONTH(Tableau13[[#This Row],[Date fin intervention]])</f>
        <v>2</v>
      </c>
      <c r="O98" s="108">
        <f>YEAR(Tableau13[[#This Row],[Date fin intervention]])</f>
        <v>2019</v>
      </c>
      <c r="P98" s="36"/>
    </row>
    <row r="99" spans="1:16" ht="28.5">
      <c r="A99" s="104">
        <v>43523</v>
      </c>
      <c r="B99" s="105">
        <v>700</v>
      </c>
      <c r="C99" s="106" t="str">
        <f>IF(ISNA(VLOOKUP(Tableau13[[#This Row],[Code machine]],'CODE mchn'!$A$4:$C$170,2,0)),"",VLOOKUP(Tableau13[[#This Row],[Code machine]],'CODE mchn'!$A$4:$C$170,2,0))</f>
        <v>Béton</v>
      </c>
      <c r="D99" s="36" t="str">
        <f>IF(ISNA(VLOOKUP(Tableau13[[#This Row],[Code machine]],'CODE mchn'!$A$4:$C$170,3,0)),"",VLOOKUP(Tableau13[[#This Row],[Code machine]],'CODE mchn'!$A$4:$C$170,3,0))</f>
        <v>Poyatos 1</v>
      </c>
      <c r="E99" s="105"/>
      <c r="F99" s="36"/>
      <c r="G99" s="36" t="s">
        <v>43</v>
      </c>
      <c r="H99" s="36"/>
      <c r="I99" s="36" t="s">
        <v>13</v>
      </c>
      <c r="J99" s="106" t="s">
        <v>212</v>
      </c>
      <c r="K99" s="104">
        <v>43523</v>
      </c>
      <c r="L99" s="36" t="s">
        <v>85</v>
      </c>
      <c r="M99" s="107"/>
      <c r="N99" s="108">
        <f>MONTH(Tableau13[[#This Row],[Date fin intervention]])</f>
        <v>2</v>
      </c>
      <c r="O99" s="108">
        <f>YEAR(Tableau13[[#This Row],[Date fin intervention]])</f>
        <v>2019</v>
      </c>
      <c r="P99" s="36"/>
    </row>
    <row r="100" spans="1:16">
      <c r="A100" s="104">
        <v>43525</v>
      </c>
      <c r="B100" s="105">
        <v>581</v>
      </c>
      <c r="C100" s="106" t="str">
        <f>IF(ISNA(VLOOKUP(Tableau13[[#This Row],[Code machine]],'CODE mchn'!$A$4:$C$170,2,0)),"",VLOOKUP(Tableau13[[#This Row],[Code machine]],'CODE mchn'!$A$4:$C$170,2,0))</f>
        <v>Acier</v>
      </c>
      <c r="D100" s="36" t="str">
        <f>IF(ISNA(VLOOKUP(Tableau13[[#This Row],[Code machine]],'CODE mchn'!$A$4:$C$170,3,0)),"",VLOOKUP(Tableau13[[#This Row],[Code machine]],'CODE mchn'!$A$4:$C$170,3,0))</f>
        <v>Teurema 1</v>
      </c>
      <c r="E100" s="105"/>
      <c r="F100" s="36"/>
      <c r="G100" s="36" t="s">
        <v>274</v>
      </c>
      <c r="H100" s="36"/>
      <c r="I100" s="36" t="s">
        <v>13</v>
      </c>
      <c r="J100" s="106" t="s">
        <v>276</v>
      </c>
      <c r="K100" s="104">
        <v>43525</v>
      </c>
      <c r="L100" s="36" t="s">
        <v>85</v>
      </c>
      <c r="M100" s="107"/>
      <c r="N100" s="108">
        <f>MONTH(Tableau13[[#This Row],[Date fin intervention]])</f>
        <v>3</v>
      </c>
      <c r="O100" s="108">
        <f>YEAR(Tableau13[[#This Row],[Date fin intervention]])</f>
        <v>2019</v>
      </c>
      <c r="P100" s="36"/>
    </row>
    <row r="101" spans="1:16">
      <c r="A101" s="104">
        <v>43526</v>
      </c>
      <c r="B101" s="105">
        <v>560</v>
      </c>
      <c r="C101" s="106" t="str">
        <f>IF(ISNA(VLOOKUP(Tableau13[[#This Row],[Code machine]],'CODE mchn'!$A$4:$C$170,2,0)),"",VLOOKUP(Tableau13[[#This Row],[Code machine]],'CODE mchn'!$A$4:$C$170,2,0))</f>
        <v>Acier</v>
      </c>
      <c r="D101" s="36" t="str">
        <f>IF(ISNA(VLOOKUP(Tableau13[[#This Row],[Code machine]],'CODE mchn'!$A$4:$C$170,3,0)),"",VLOOKUP(Tableau13[[#This Row],[Code machine]],'CODE mchn'!$A$4:$C$170,3,0))</f>
        <v>Schlatter</v>
      </c>
      <c r="E101" s="105"/>
      <c r="F101" s="36"/>
      <c r="G101" s="36" t="s">
        <v>104</v>
      </c>
      <c r="H101" s="36"/>
      <c r="I101" s="36" t="s">
        <v>13</v>
      </c>
      <c r="J101" s="106" t="s">
        <v>199</v>
      </c>
      <c r="K101" s="104">
        <v>43526</v>
      </c>
      <c r="L101" s="36"/>
      <c r="M101" s="107"/>
      <c r="N101" s="108">
        <f>MONTH(Tableau13[[#This Row],[Date fin intervention]])</f>
        <v>3</v>
      </c>
      <c r="O101" s="108">
        <f>YEAR(Tableau13[[#This Row],[Date fin intervention]])</f>
        <v>2019</v>
      </c>
      <c r="P101" s="36"/>
    </row>
    <row r="102" spans="1:16">
      <c r="A102" s="104">
        <v>43528</v>
      </c>
      <c r="B102" s="105">
        <v>800</v>
      </c>
      <c r="C102" s="106" t="str">
        <f>IF(ISNA(VLOOKUP(Tableau13[[#This Row],[Code machine]],'CODE mchn'!$A$4:$C$170,2,0)),"",VLOOKUP(Tableau13[[#This Row],[Code machine]],'CODE mchn'!$A$4:$C$170,2,0))</f>
        <v>Béton</v>
      </c>
      <c r="D102" s="36" t="str">
        <f>IF(ISNA(VLOOKUP(Tableau13[[#This Row],[Code machine]],'CODE mchn'!$A$4:$C$170,3,0)),"",VLOOKUP(Tableau13[[#This Row],[Code machine]],'CODE mchn'!$A$4:$C$170,3,0))</f>
        <v>Poyatos 2</v>
      </c>
      <c r="E102" s="105"/>
      <c r="F102" s="36"/>
      <c r="G102" s="36" t="s">
        <v>213</v>
      </c>
      <c r="H102" s="36"/>
      <c r="I102" s="36" t="s">
        <v>13</v>
      </c>
      <c r="J102" s="106" t="s">
        <v>297</v>
      </c>
      <c r="K102" s="104">
        <v>43528</v>
      </c>
      <c r="L102" s="109" t="s">
        <v>298</v>
      </c>
      <c r="M102" s="107"/>
      <c r="N102" s="108">
        <f>MONTH(Tableau13[[#This Row],[Date fin intervention]])</f>
        <v>3</v>
      </c>
      <c r="O102" s="108">
        <f>YEAR(Tableau13[[#This Row],[Date fin intervention]])</f>
        <v>2019</v>
      </c>
      <c r="P102" s="36"/>
    </row>
    <row r="103" spans="1:16">
      <c r="A103" s="104">
        <v>43528</v>
      </c>
      <c r="B103" s="105">
        <v>700</v>
      </c>
      <c r="C103" s="106" t="str">
        <f>IF(ISNA(VLOOKUP(Tableau13[[#This Row],[Code machine]],'CODE mchn'!$A$4:$C$170,2,0)),"",VLOOKUP(Tableau13[[#This Row],[Code machine]],'CODE mchn'!$A$4:$C$170,2,0))</f>
        <v>Béton</v>
      </c>
      <c r="D103" s="36" t="str">
        <f>IF(ISNA(VLOOKUP(Tableau13[[#This Row],[Code machine]],'CODE mchn'!$A$4:$C$170,3,0)),"",VLOOKUP(Tableau13[[#This Row],[Code machine]],'CODE mchn'!$A$4:$C$170,3,0))</f>
        <v>Poyatos 1</v>
      </c>
      <c r="E103" s="105"/>
      <c r="F103" s="36"/>
      <c r="G103" s="36" t="s">
        <v>118</v>
      </c>
      <c r="H103" s="36"/>
      <c r="I103" s="36" t="s">
        <v>13</v>
      </c>
      <c r="J103" s="106" t="s">
        <v>119</v>
      </c>
      <c r="K103" s="104">
        <v>43528</v>
      </c>
      <c r="L103" s="36" t="s">
        <v>85</v>
      </c>
      <c r="M103" s="107"/>
      <c r="N103" s="108">
        <f>MONTH(Tableau13[[#This Row],[Date fin intervention]])</f>
        <v>3</v>
      </c>
      <c r="O103" s="108">
        <f>YEAR(Tableau13[[#This Row],[Date fin intervention]])</f>
        <v>2019</v>
      </c>
      <c r="P103" s="36"/>
    </row>
    <row r="104" spans="1:16">
      <c r="A104" s="104">
        <v>43528</v>
      </c>
      <c r="B104" s="105">
        <v>565</v>
      </c>
      <c r="C104" s="106" t="str">
        <f>IF(ISNA(VLOOKUP(Tableau13[[#This Row],[Code machine]],'CODE mchn'!$A$4:$C$170,2,0)),"",VLOOKUP(Tableau13[[#This Row],[Code machine]],'CODE mchn'!$A$4:$C$170,2,0))</f>
        <v>Acier</v>
      </c>
      <c r="D104" s="36" t="str">
        <f>IF(ISNA(VLOOKUP(Tableau13[[#This Row],[Code machine]],'CODE mchn'!$A$4:$C$170,3,0)),"",VLOOKUP(Tableau13[[#This Row],[Code machine]],'CODE mchn'!$A$4:$C$170,3,0))</f>
        <v>EVG GE12</v>
      </c>
      <c r="E104" s="105"/>
      <c r="F104" s="36"/>
      <c r="G104" s="36" t="s">
        <v>104</v>
      </c>
      <c r="H104" s="36"/>
      <c r="I104" s="36" t="s">
        <v>13</v>
      </c>
      <c r="J104" s="106" t="s">
        <v>277</v>
      </c>
      <c r="K104" s="104">
        <v>43528</v>
      </c>
      <c r="L104" s="36"/>
      <c r="M104" s="107"/>
      <c r="N104" s="108">
        <f>MONTH(Tableau13[[#This Row],[Date fin intervention]])</f>
        <v>3</v>
      </c>
      <c r="O104" s="108">
        <f>YEAR(Tableau13[[#This Row],[Date fin intervention]])</f>
        <v>2019</v>
      </c>
      <c r="P104" s="36"/>
    </row>
    <row r="105" spans="1:16">
      <c r="A105" s="104">
        <v>43529</v>
      </c>
      <c r="B105" s="105">
        <v>560</v>
      </c>
      <c r="C105" s="106" t="str">
        <f>IF(ISNA(VLOOKUP(Tableau13[[#This Row],[Code machine]],'CODE mchn'!$A$4:$C$170,2,0)),"",VLOOKUP(Tableau13[[#This Row],[Code machine]],'CODE mchn'!$A$4:$C$170,2,0))</f>
        <v>Acier</v>
      </c>
      <c r="D105" s="36" t="str">
        <f>IF(ISNA(VLOOKUP(Tableau13[[#This Row],[Code machine]],'CODE mchn'!$A$4:$C$170,3,0)),"",VLOOKUP(Tableau13[[#This Row],[Code machine]],'CODE mchn'!$A$4:$C$170,3,0))</f>
        <v>Schlatter</v>
      </c>
      <c r="E105" s="105"/>
      <c r="F105" s="36"/>
      <c r="G105" s="62" t="s">
        <v>104</v>
      </c>
      <c r="H105" s="62" t="s">
        <v>466</v>
      </c>
      <c r="I105" s="62" t="s">
        <v>13</v>
      </c>
      <c r="J105" s="248" t="s">
        <v>467</v>
      </c>
      <c r="K105" s="104">
        <v>43529</v>
      </c>
      <c r="L105" s="109"/>
      <c r="M105" s="107"/>
      <c r="N105" s="108">
        <f>MONTH(Tableau13[[#This Row],[Date fin intervention]])</f>
        <v>3</v>
      </c>
      <c r="O105" s="108">
        <f>YEAR(Tableau13[[#This Row],[Date fin intervention]])</f>
        <v>2019</v>
      </c>
      <c r="P105" s="36"/>
    </row>
    <row r="106" spans="1:16">
      <c r="A106" s="104">
        <v>43530</v>
      </c>
      <c r="B106" s="105">
        <v>573</v>
      </c>
      <c r="C106" s="106" t="str">
        <f>IF(ISNA(VLOOKUP(Tableau13[[#This Row],[Code machine]],'CODE mchn'!$A$4:$C$170,2,0)),"",VLOOKUP(Tableau13[[#This Row],[Code machine]],'CODE mchn'!$A$4:$C$170,2,0))</f>
        <v>Ponts roulants</v>
      </c>
      <c r="D106" s="36" t="str">
        <f>IF(ISNA(VLOOKUP(Tableau13[[#This Row],[Code machine]],'CODE mchn'!$A$4:$C$170,3,0)),"",VLOOKUP(Tableau13[[#This Row],[Code machine]],'CODE mchn'!$A$4:$C$170,3,0))</f>
        <v xml:space="preserve">Pont roulant Demag 1 3,5T </v>
      </c>
      <c r="E106" s="105"/>
      <c r="F106" s="36"/>
      <c r="G106" s="36" t="s">
        <v>52</v>
      </c>
      <c r="H106" s="36"/>
      <c r="I106" s="36" t="s">
        <v>13</v>
      </c>
      <c r="J106" s="106" t="s">
        <v>156</v>
      </c>
      <c r="K106" s="104">
        <v>43530</v>
      </c>
      <c r="L106" s="36"/>
      <c r="M106" s="107"/>
      <c r="N106" s="108">
        <f>MONTH(Tableau13[[#This Row],[Date fin intervention]])</f>
        <v>3</v>
      </c>
      <c r="O106" s="108">
        <f>YEAR(Tableau13[[#This Row],[Date fin intervention]])</f>
        <v>2019</v>
      </c>
      <c r="P106" s="36"/>
    </row>
    <row r="107" spans="1:16" ht="28.5">
      <c r="A107" s="104">
        <v>43530</v>
      </c>
      <c r="B107" s="105">
        <v>584</v>
      </c>
      <c r="C107" s="106" t="str">
        <f>IF(ISNA(VLOOKUP(Tableau13[[#This Row],[Code machine]],'CODE mchn'!$A$4:$C$170,2,0)),"",VLOOKUP(Tableau13[[#This Row],[Code machine]],'CODE mchn'!$A$4:$C$170,2,0))</f>
        <v>Ponts roulants</v>
      </c>
      <c r="D107" s="36" t="str">
        <f>IF(ISNA(VLOOKUP(Tableau13[[#This Row],[Code machine]],'CODE mchn'!$A$4:$C$170,3,0)),"",VLOOKUP(Tableau13[[#This Row],[Code machine]],'CODE mchn'!$A$4:$C$170,3,0))</f>
        <v>Pont roulant Demag 3,2T (teurema2)</v>
      </c>
      <c r="E107" s="105"/>
      <c r="F107" s="36"/>
      <c r="G107" s="36" t="s">
        <v>35</v>
      </c>
      <c r="H107" s="36"/>
      <c r="I107" s="36" t="s">
        <v>13</v>
      </c>
      <c r="J107" s="106" t="s">
        <v>310</v>
      </c>
      <c r="K107" s="104">
        <v>43530</v>
      </c>
      <c r="L107" s="36"/>
      <c r="M107" s="107"/>
      <c r="N107" s="108">
        <f>MONTH(Tableau13[[#This Row],[Date fin intervention]])</f>
        <v>3</v>
      </c>
      <c r="O107" s="108">
        <f>YEAR(Tableau13[[#This Row],[Date fin intervention]])</f>
        <v>2019</v>
      </c>
      <c r="P107" s="36"/>
    </row>
    <row r="108" spans="1:16" ht="28.5">
      <c r="A108" s="104">
        <v>43530</v>
      </c>
      <c r="B108" s="105">
        <v>562</v>
      </c>
      <c r="C108" s="106" t="str">
        <f>IF(ISNA(VLOOKUP(Tableau13[[#This Row],[Code machine]],'CODE mchn'!$A$4:$C$170,2,0)),"",VLOOKUP(Tableau13[[#This Row],[Code machine]],'CODE mchn'!$A$4:$C$170,2,0))</f>
        <v>Ponts roulants</v>
      </c>
      <c r="D108" s="36" t="str">
        <f>IF(ISNA(VLOOKUP(Tableau13[[#This Row],[Code machine]],'CODE mchn'!$A$4:$C$170,3,0)),"",VLOOKUP(Tableau13[[#This Row],[Code machine]],'CODE mchn'!$A$4:$C$170,3,0))</f>
        <v>Pont roulant GH Beasain 12T</v>
      </c>
      <c r="E108" s="105"/>
      <c r="F108" s="36"/>
      <c r="G108" s="36" t="s">
        <v>35</v>
      </c>
      <c r="H108" s="36"/>
      <c r="I108" s="36" t="s">
        <v>13</v>
      </c>
      <c r="J108" s="106" t="s">
        <v>278</v>
      </c>
      <c r="K108" s="104">
        <v>43530</v>
      </c>
      <c r="L108" s="36"/>
      <c r="M108" s="107"/>
      <c r="N108" s="108">
        <f>MONTH(Tableau13[[#This Row],[Date fin intervention]])</f>
        <v>3</v>
      </c>
      <c r="O108" s="108">
        <f>YEAR(Tableau13[[#This Row],[Date fin intervention]])</f>
        <v>2019</v>
      </c>
      <c r="P108" s="36"/>
    </row>
    <row r="109" spans="1:16">
      <c r="A109" s="104">
        <v>43531</v>
      </c>
      <c r="B109" s="105">
        <v>570</v>
      </c>
      <c r="C109" s="106" t="str">
        <f>IF(ISNA(VLOOKUP(Tableau13[[#This Row],[Code machine]],'CODE mchn'!$A$4:$C$170,2,0)),"",VLOOKUP(Tableau13[[#This Row],[Code machine]],'CODE mchn'!$A$4:$C$170,2,0))</f>
        <v>Acier</v>
      </c>
      <c r="D109" s="36" t="str">
        <f>IF(ISNA(VLOOKUP(Tableau13[[#This Row],[Code machine]],'CODE mchn'!$A$4:$C$170,3,0)),"",VLOOKUP(Tableau13[[#This Row],[Code machine]],'CODE mchn'!$A$4:$C$170,3,0))</f>
        <v>Sigmatic</v>
      </c>
      <c r="E109" s="105"/>
      <c r="F109" s="36"/>
      <c r="G109" s="36" t="s">
        <v>279</v>
      </c>
      <c r="H109" s="36"/>
      <c r="I109" s="36" t="s">
        <v>13</v>
      </c>
      <c r="J109" s="106" t="s">
        <v>280</v>
      </c>
      <c r="K109" s="104">
        <v>43531</v>
      </c>
      <c r="L109" s="36"/>
      <c r="M109" s="107"/>
      <c r="N109" s="108">
        <f>MONTH(Tableau13[[#This Row],[Date fin intervention]])</f>
        <v>3</v>
      </c>
      <c r="O109" s="108">
        <f>YEAR(Tableau13[[#This Row],[Date fin intervention]])</f>
        <v>2019</v>
      </c>
      <c r="P109" s="36"/>
    </row>
    <row r="110" spans="1:16">
      <c r="A110" s="104">
        <v>43531</v>
      </c>
      <c r="B110" s="105">
        <v>590</v>
      </c>
      <c r="C110" s="106" t="str">
        <f>IF(ISNA(VLOOKUP(Tableau13[[#This Row],[Code machine]],'CODE mchn'!$A$4:$C$170,2,0)),"",VLOOKUP(Tableau13[[#This Row],[Code machine]],'CODE mchn'!$A$4:$C$170,2,0))</f>
        <v>Acier</v>
      </c>
      <c r="D110" s="36" t="str">
        <f>IF(ISNA(VLOOKUP(Tableau13[[#This Row],[Code machine]],'CODE mchn'!$A$4:$C$170,3,0)),"",VLOOKUP(Tableau13[[#This Row],[Code machine]],'CODE mchn'!$A$4:$C$170,3,0))</f>
        <v>Teurema 3</v>
      </c>
      <c r="E110" s="105"/>
      <c r="F110" s="36"/>
      <c r="G110" s="36" t="s">
        <v>200</v>
      </c>
      <c r="H110" s="36"/>
      <c r="I110" s="36" t="s">
        <v>13</v>
      </c>
      <c r="J110" s="106" t="s">
        <v>281</v>
      </c>
      <c r="K110" s="104">
        <v>43531</v>
      </c>
      <c r="L110" s="36"/>
      <c r="M110" s="107"/>
      <c r="N110" s="108">
        <f>MONTH(Tableau13[[#This Row],[Date fin intervention]])</f>
        <v>3</v>
      </c>
      <c r="O110" s="108">
        <f>YEAR(Tableau13[[#This Row],[Date fin intervention]])</f>
        <v>2019</v>
      </c>
      <c r="P110" s="36"/>
    </row>
    <row r="111" spans="1:16" ht="28.5">
      <c r="A111" s="104">
        <v>43531</v>
      </c>
      <c r="B111" s="105">
        <v>583</v>
      </c>
      <c r="C111" s="106" t="str">
        <f>IF(ISNA(VLOOKUP(Tableau13[[#This Row],[Code machine]],'CODE mchn'!$A$4:$C$170,2,0)),"",VLOOKUP(Tableau13[[#This Row],[Code machine]],'CODE mchn'!$A$4:$C$170,2,0))</f>
        <v>Ponts roulants</v>
      </c>
      <c r="D111" s="36" t="str">
        <f>IF(ISNA(VLOOKUP(Tableau13[[#This Row],[Code machine]],'CODE mchn'!$A$4:$C$170,3,0)),"",VLOOKUP(Tableau13[[#This Row],[Code machine]],'CODE mchn'!$A$4:$C$170,3,0))</f>
        <v>Pont roulant Abus 5T (teurema1)</v>
      </c>
      <c r="E111" s="105"/>
      <c r="F111" s="36"/>
      <c r="G111" s="36" t="s">
        <v>80</v>
      </c>
      <c r="H111" s="36"/>
      <c r="I111" s="36" t="s">
        <v>13</v>
      </c>
      <c r="J111" s="106" t="s">
        <v>311</v>
      </c>
      <c r="K111" s="104">
        <v>43531</v>
      </c>
      <c r="L111" s="36"/>
      <c r="M111" s="107"/>
      <c r="N111" s="108">
        <f>MONTH(Tableau13[[#This Row],[Date fin intervention]])</f>
        <v>3</v>
      </c>
      <c r="O111" s="108">
        <f>YEAR(Tableau13[[#This Row],[Date fin intervention]])</f>
        <v>2019</v>
      </c>
      <c r="P111" s="36"/>
    </row>
    <row r="112" spans="1:16">
      <c r="A112" s="104">
        <v>43531</v>
      </c>
      <c r="B112" s="105">
        <v>800</v>
      </c>
      <c r="C112" s="106" t="str">
        <f>IF(ISNA(VLOOKUP(Tableau13[[#This Row],[Code machine]],'CODE mchn'!$A$4:$C$170,2,0)),"",VLOOKUP(Tableau13[[#This Row],[Code machine]],'CODE mchn'!$A$4:$C$170,2,0))</f>
        <v>Béton</v>
      </c>
      <c r="D112" s="36" t="str">
        <f>IF(ISNA(VLOOKUP(Tableau13[[#This Row],[Code machine]],'CODE mchn'!$A$4:$C$170,3,0)),"",VLOOKUP(Tableau13[[#This Row],[Code machine]],'CODE mchn'!$A$4:$C$170,3,0))</f>
        <v>Poyatos 2</v>
      </c>
      <c r="E112" s="105"/>
      <c r="F112" s="36"/>
      <c r="G112" s="36" t="s">
        <v>289</v>
      </c>
      <c r="H112" s="36"/>
      <c r="I112" s="36" t="s">
        <v>13</v>
      </c>
      <c r="J112" s="106" t="s">
        <v>290</v>
      </c>
      <c r="K112" s="104">
        <v>43531</v>
      </c>
      <c r="L112" s="36" t="s">
        <v>85</v>
      </c>
      <c r="M112" s="107"/>
      <c r="N112" s="108">
        <f>MONTH(Tableau13[[#This Row],[Date fin intervention]])</f>
        <v>3</v>
      </c>
      <c r="O112" s="108">
        <f>YEAR(Tableau13[[#This Row],[Date fin intervention]])</f>
        <v>2019</v>
      </c>
      <c r="P112" s="36"/>
    </row>
    <row r="113" spans="1:16">
      <c r="A113" s="104">
        <v>43531</v>
      </c>
      <c r="B113" s="105">
        <v>581</v>
      </c>
      <c r="C113" s="106" t="str">
        <f>IF(ISNA(VLOOKUP(Tableau13[[#This Row],[Code machine]],'CODE mchn'!$A$4:$C$170,2,0)),"",VLOOKUP(Tableau13[[#This Row],[Code machine]],'CODE mchn'!$A$4:$C$170,2,0))</f>
        <v>Acier</v>
      </c>
      <c r="D113" s="36" t="str">
        <f>IF(ISNA(VLOOKUP(Tableau13[[#This Row],[Code machine]],'CODE mchn'!$A$4:$C$170,3,0)),"",VLOOKUP(Tableau13[[#This Row],[Code machine]],'CODE mchn'!$A$4:$C$170,3,0))</f>
        <v>Teurema 1</v>
      </c>
      <c r="E113" s="105"/>
      <c r="F113" s="36"/>
      <c r="G113" s="36" t="s">
        <v>70</v>
      </c>
      <c r="H113" s="36"/>
      <c r="I113" s="36" t="s">
        <v>107</v>
      </c>
      <c r="J113" s="106" t="s">
        <v>312</v>
      </c>
      <c r="K113" s="104">
        <v>43531</v>
      </c>
      <c r="L113" s="109" t="s">
        <v>313</v>
      </c>
      <c r="M113" s="107"/>
      <c r="N113" s="108">
        <f>MONTH(Tableau13[[#This Row],[Date fin intervention]])</f>
        <v>3</v>
      </c>
      <c r="O113" s="108">
        <f>YEAR(Tableau13[[#This Row],[Date fin intervention]])</f>
        <v>2019</v>
      </c>
      <c r="P113" s="36"/>
    </row>
    <row r="114" spans="1:16">
      <c r="A114" s="104">
        <v>43531</v>
      </c>
      <c r="B114" s="105">
        <v>560</v>
      </c>
      <c r="C114" s="106" t="str">
        <f>IF(ISNA(VLOOKUP(Tableau13[[#This Row],[Code machine]],'CODE mchn'!$A$4:$C$170,2,0)),"",VLOOKUP(Tableau13[[#This Row],[Code machine]],'CODE mchn'!$A$4:$C$170,2,0))</f>
        <v>Acier</v>
      </c>
      <c r="D114" s="36" t="str">
        <f>IF(ISNA(VLOOKUP(Tableau13[[#This Row],[Code machine]],'CODE mchn'!$A$4:$C$170,3,0)),"",VLOOKUP(Tableau13[[#This Row],[Code machine]],'CODE mchn'!$A$4:$C$170,3,0))</f>
        <v>Schlatter</v>
      </c>
      <c r="E114" s="105"/>
      <c r="F114" s="36"/>
      <c r="G114" s="62" t="s">
        <v>104</v>
      </c>
      <c r="H114" s="62" t="s">
        <v>477</v>
      </c>
      <c r="I114" s="62" t="s">
        <v>13</v>
      </c>
      <c r="J114" s="248" t="s">
        <v>452</v>
      </c>
      <c r="K114" s="104">
        <v>43531</v>
      </c>
      <c r="L114" s="109"/>
      <c r="M114" s="107"/>
      <c r="N114" s="108">
        <f>MONTH(Tableau13[[#This Row],[Date fin intervention]])</f>
        <v>3</v>
      </c>
      <c r="O114" s="108">
        <f>YEAR(Tableau13[[#This Row],[Date fin intervention]])</f>
        <v>2019</v>
      </c>
      <c r="P114" s="36"/>
    </row>
    <row r="115" spans="1:16">
      <c r="A115" s="104">
        <v>43532</v>
      </c>
      <c r="B115" s="105">
        <v>601</v>
      </c>
      <c r="C115" s="106" t="str">
        <f>IF(ISNA(VLOOKUP(Tableau13[[#This Row],[Code machine]],'CODE mchn'!$A$4:$C$170,2,0)),"",VLOOKUP(Tableau13[[#This Row],[Code machine]],'CODE mchn'!$A$4:$C$170,2,0))</f>
        <v>Acier</v>
      </c>
      <c r="D115" s="36" t="str">
        <f>IF(ISNA(VLOOKUP(Tableau13[[#This Row],[Code machine]],'CODE mchn'!$A$4:$C$170,3,0)),"",VLOOKUP(Tableau13[[#This Row],[Code machine]],'CODE mchn'!$A$4:$C$170,3,0))</f>
        <v>TI 9505/9</v>
      </c>
      <c r="E115" s="105"/>
      <c r="F115" s="36"/>
      <c r="G115" s="36"/>
      <c r="H115" s="36"/>
      <c r="I115" s="36" t="s">
        <v>13</v>
      </c>
      <c r="J115" s="106"/>
      <c r="K115" s="104">
        <v>43532</v>
      </c>
      <c r="L115" s="36"/>
      <c r="M115" s="107"/>
      <c r="N115" s="108">
        <f>MONTH(Tableau13[[#This Row],[Date fin intervention]])</f>
        <v>3</v>
      </c>
      <c r="O115" s="108">
        <f>YEAR(Tableau13[[#This Row],[Date fin intervention]])</f>
        <v>2019</v>
      </c>
      <c r="P115" s="36"/>
    </row>
    <row r="116" spans="1:16">
      <c r="A116" s="104">
        <v>43532</v>
      </c>
      <c r="B116" s="105">
        <v>565</v>
      </c>
      <c r="C116" s="106" t="str">
        <f>IF(ISNA(VLOOKUP(Tableau13[[#This Row],[Code machine]],'CODE mchn'!$A$4:$C$170,2,0)),"",VLOOKUP(Tableau13[[#This Row],[Code machine]],'CODE mchn'!$A$4:$C$170,2,0))</f>
        <v>Acier</v>
      </c>
      <c r="D116" s="36" t="str">
        <f>IF(ISNA(VLOOKUP(Tableau13[[#This Row],[Code machine]],'CODE mchn'!$A$4:$C$170,3,0)),"",VLOOKUP(Tableau13[[#This Row],[Code machine]],'CODE mchn'!$A$4:$C$170,3,0))</f>
        <v>EVG GE12</v>
      </c>
      <c r="E116" s="105"/>
      <c r="F116" s="36"/>
      <c r="G116" s="36" t="s">
        <v>145</v>
      </c>
      <c r="H116" s="36"/>
      <c r="I116" s="36" t="s">
        <v>13</v>
      </c>
      <c r="J116" s="106" t="s">
        <v>309</v>
      </c>
      <c r="K116" s="104">
        <v>43532</v>
      </c>
      <c r="L116" s="36"/>
      <c r="M116" s="107"/>
      <c r="N116" s="108">
        <f>MONTH(Tableau13[[#This Row],[Date fin intervention]])</f>
        <v>3</v>
      </c>
      <c r="O116" s="108">
        <f>YEAR(Tableau13[[#This Row],[Date fin intervention]])</f>
        <v>2019</v>
      </c>
      <c r="P116" s="36"/>
    </row>
    <row r="117" spans="1:16">
      <c r="A117" s="104">
        <v>43532</v>
      </c>
      <c r="B117" s="105">
        <v>800</v>
      </c>
      <c r="C117" s="106" t="str">
        <f>IF(ISNA(VLOOKUP(Tableau13[[#This Row],[Code machine]],'CODE mchn'!$A$4:$C$170,2,0)),"",VLOOKUP(Tableau13[[#This Row],[Code machine]],'CODE mchn'!$A$4:$C$170,2,0))</f>
        <v>Béton</v>
      </c>
      <c r="D117" s="36" t="str">
        <f>IF(ISNA(VLOOKUP(Tableau13[[#This Row],[Code machine]],'CODE mchn'!$A$4:$C$170,3,0)),"",VLOOKUP(Tableau13[[#This Row],[Code machine]],'CODE mchn'!$A$4:$C$170,3,0))</f>
        <v>Poyatos 2</v>
      </c>
      <c r="E117" s="105"/>
      <c r="F117" s="36"/>
      <c r="G117" s="36" t="s">
        <v>291</v>
      </c>
      <c r="H117" s="36"/>
      <c r="I117" s="36" t="s">
        <v>13</v>
      </c>
      <c r="J117" s="106" t="s">
        <v>292</v>
      </c>
      <c r="K117" s="104">
        <v>43532</v>
      </c>
      <c r="L117" s="109" t="s">
        <v>299</v>
      </c>
      <c r="M117" s="107"/>
      <c r="N117" s="108">
        <f>MONTH(Tableau13[[#This Row],[Date fin intervention]])</f>
        <v>3</v>
      </c>
      <c r="O117" s="108">
        <f>YEAR(Tableau13[[#This Row],[Date fin intervention]])</f>
        <v>2019</v>
      </c>
      <c r="P117" s="36"/>
    </row>
    <row r="118" spans="1:16" ht="42.75">
      <c r="A118" s="104">
        <v>43535</v>
      </c>
      <c r="B118" s="105">
        <v>700</v>
      </c>
      <c r="C118" s="106" t="str">
        <f>IF(ISNA(VLOOKUP(Tableau13[[#This Row],[Code machine]],'CODE mchn'!$A$4:$C$170,2,0)),"",VLOOKUP(Tableau13[[#This Row],[Code machine]],'CODE mchn'!$A$4:$C$170,2,0))</f>
        <v>Béton</v>
      </c>
      <c r="D118" s="36" t="str">
        <f>IF(ISNA(VLOOKUP(Tableau13[[#This Row],[Code machine]],'CODE mchn'!$A$4:$C$170,3,0)),"",VLOOKUP(Tableau13[[#This Row],[Code machine]],'CODE mchn'!$A$4:$C$170,3,0))</f>
        <v>Poyatos 1</v>
      </c>
      <c r="E118" s="105"/>
      <c r="F118" s="36"/>
      <c r="G118" s="36" t="s">
        <v>20</v>
      </c>
      <c r="H118" s="36"/>
      <c r="I118" s="36" t="s">
        <v>315</v>
      </c>
      <c r="J118" s="106" t="s">
        <v>314</v>
      </c>
      <c r="K118" s="104">
        <v>43535</v>
      </c>
      <c r="L118" s="109" t="s">
        <v>316</v>
      </c>
      <c r="M118" s="107"/>
      <c r="N118" s="108">
        <f>MONTH(Tableau13[[#This Row],[Date fin intervention]])</f>
        <v>3</v>
      </c>
      <c r="O118" s="108">
        <f>YEAR(Tableau13[[#This Row],[Date fin intervention]])</f>
        <v>2019</v>
      </c>
      <c r="P118" s="36"/>
    </row>
    <row r="119" spans="1:16">
      <c r="A119" s="104">
        <v>43536</v>
      </c>
      <c r="B119" s="105">
        <v>565</v>
      </c>
      <c r="C119" s="106" t="str">
        <f>IF(ISNA(VLOOKUP(Tableau13[[#This Row],[Code machine]],'CODE mchn'!$A$4:$C$170,2,0)),"",VLOOKUP(Tableau13[[#This Row],[Code machine]],'CODE mchn'!$A$4:$C$170,2,0))</f>
        <v>Acier</v>
      </c>
      <c r="D119" s="36" t="str">
        <f>IF(ISNA(VLOOKUP(Tableau13[[#This Row],[Code machine]],'CODE mchn'!$A$4:$C$170,3,0)),"",VLOOKUP(Tableau13[[#This Row],[Code machine]],'CODE mchn'!$A$4:$C$170,3,0))</f>
        <v>EVG GE12</v>
      </c>
      <c r="E119" s="105"/>
      <c r="F119" s="36"/>
      <c r="G119" s="36" t="s">
        <v>145</v>
      </c>
      <c r="H119" s="36"/>
      <c r="I119" s="36" t="s">
        <v>13</v>
      </c>
      <c r="J119" s="106" t="s">
        <v>282</v>
      </c>
      <c r="K119" s="104">
        <v>43536</v>
      </c>
      <c r="L119" s="36"/>
      <c r="M119" s="107"/>
      <c r="N119" s="108">
        <f>MONTH(Tableau13[[#This Row],[Date fin intervention]])</f>
        <v>3</v>
      </c>
      <c r="O119" s="108">
        <f>YEAR(Tableau13[[#This Row],[Date fin intervention]])</f>
        <v>2019</v>
      </c>
      <c r="P119" s="36"/>
    </row>
    <row r="120" spans="1:16" ht="28.5">
      <c r="A120" s="104">
        <v>43536</v>
      </c>
      <c r="B120" s="105">
        <v>800</v>
      </c>
      <c r="C120" s="106" t="str">
        <f>IF(ISNA(VLOOKUP(Tableau13[[#This Row],[Code machine]],'CODE mchn'!$A$4:$C$170,2,0)),"",VLOOKUP(Tableau13[[#This Row],[Code machine]],'CODE mchn'!$A$4:$C$170,2,0))</f>
        <v>Béton</v>
      </c>
      <c r="D120" s="36" t="str">
        <f>IF(ISNA(VLOOKUP(Tableau13[[#This Row],[Code machine]],'CODE mchn'!$A$4:$C$170,3,0)),"",VLOOKUP(Tableau13[[#This Row],[Code machine]],'CODE mchn'!$A$4:$C$170,3,0))</f>
        <v>Poyatos 2</v>
      </c>
      <c r="E120" s="105"/>
      <c r="F120" s="36"/>
      <c r="G120" s="36" t="s">
        <v>300</v>
      </c>
      <c r="H120" s="36"/>
      <c r="I120" s="36" t="s">
        <v>13</v>
      </c>
      <c r="J120" s="106" t="s">
        <v>297</v>
      </c>
      <c r="K120" s="104">
        <v>43536</v>
      </c>
      <c r="L120" s="109" t="s">
        <v>301</v>
      </c>
      <c r="M120" s="107"/>
      <c r="N120" s="108">
        <f>MONTH(Tableau13[[#This Row],[Date fin intervention]])</f>
        <v>3</v>
      </c>
      <c r="O120" s="108">
        <f>YEAR(Tableau13[[#This Row],[Date fin intervention]])</f>
        <v>2019</v>
      </c>
      <c r="P120" s="36"/>
    </row>
    <row r="121" spans="1:16">
      <c r="A121" s="104">
        <v>43536</v>
      </c>
      <c r="B121" s="105">
        <v>700</v>
      </c>
      <c r="C121" s="106" t="str">
        <f>IF(ISNA(VLOOKUP(Tableau13[[#This Row],[Code machine]],'CODE mchn'!$A$4:$C$170,2,0)),"",VLOOKUP(Tableau13[[#This Row],[Code machine]],'CODE mchn'!$A$4:$C$170,2,0))</f>
        <v>Béton</v>
      </c>
      <c r="D121" s="36" t="str">
        <f>IF(ISNA(VLOOKUP(Tableau13[[#This Row],[Code machine]],'CODE mchn'!$A$4:$C$170,3,0)),"",VLOOKUP(Tableau13[[#This Row],[Code machine]],'CODE mchn'!$A$4:$C$170,3,0))</f>
        <v>Poyatos 1</v>
      </c>
      <c r="E121" s="105"/>
      <c r="F121" s="36"/>
      <c r="G121" s="36" t="s">
        <v>118</v>
      </c>
      <c r="H121" s="36"/>
      <c r="I121" s="36" t="s">
        <v>13</v>
      </c>
      <c r="J121" s="106" t="s">
        <v>304</v>
      </c>
      <c r="K121" s="104">
        <v>43536</v>
      </c>
      <c r="L121" s="109" t="s">
        <v>305</v>
      </c>
      <c r="M121" s="107"/>
      <c r="N121" s="108">
        <f>MONTH(Tableau13[[#This Row],[Date fin intervention]])</f>
        <v>3</v>
      </c>
      <c r="O121" s="108">
        <f>YEAR(Tableau13[[#This Row],[Date fin intervention]])</f>
        <v>2019</v>
      </c>
      <c r="P121" s="36"/>
    </row>
    <row r="122" spans="1:16">
      <c r="A122" s="104">
        <v>43536</v>
      </c>
      <c r="B122" s="105">
        <v>560</v>
      </c>
      <c r="C122" s="106" t="str">
        <f>IF(ISNA(VLOOKUP(Tableau13[[#This Row],[Code machine]],'CODE mchn'!$A$4:$C$170,2,0)),"",VLOOKUP(Tableau13[[#This Row],[Code machine]],'CODE mchn'!$A$4:$C$170,2,0))</f>
        <v>Acier</v>
      </c>
      <c r="D122" s="36" t="str">
        <f>IF(ISNA(VLOOKUP(Tableau13[[#This Row],[Code machine]],'CODE mchn'!$A$4:$C$170,3,0)),"",VLOOKUP(Tableau13[[#This Row],[Code machine]],'CODE mchn'!$A$4:$C$170,3,0))</f>
        <v>Schlatter</v>
      </c>
      <c r="E122" s="105"/>
      <c r="F122" s="36"/>
      <c r="G122" s="62" t="s">
        <v>104</v>
      </c>
      <c r="H122" s="62" t="s">
        <v>500</v>
      </c>
      <c r="I122" s="62" t="s">
        <v>13</v>
      </c>
      <c r="J122" s="248" t="s">
        <v>567</v>
      </c>
      <c r="K122" s="104">
        <v>43536</v>
      </c>
      <c r="L122" s="109"/>
      <c r="M122" s="107"/>
      <c r="N122" s="108">
        <f>MONTH(Tableau13[[#This Row],[Date fin intervention]])</f>
        <v>3</v>
      </c>
      <c r="O122" s="108">
        <f>YEAR(Tableau13[[#This Row],[Date fin intervention]])</f>
        <v>2019</v>
      </c>
      <c r="P122" s="36"/>
    </row>
    <row r="123" spans="1:16">
      <c r="A123" s="104">
        <v>43537</v>
      </c>
      <c r="B123" s="105">
        <v>560</v>
      </c>
      <c r="C123" s="106" t="str">
        <f>IF(ISNA(VLOOKUP(Tableau13[[#This Row],[Code machine]],'CODE mchn'!$A$4:$C$170,2,0)),"",VLOOKUP(Tableau13[[#This Row],[Code machine]],'CODE mchn'!$A$4:$C$170,2,0))</f>
        <v>Acier</v>
      </c>
      <c r="D123" s="36" t="str">
        <f>IF(ISNA(VLOOKUP(Tableau13[[#This Row],[Code machine]],'CODE mchn'!$A$4:$C$170,3,0)),"",VLOOKUP(Tableau13[[#This Row],[Code machine]],'CODE mchn'!$A$4:$C$170,3,0))</f>
        <v>Schlatter</v>
      </c>
      <c r="E123" s="105"/>
      <c r="F123" s="36"/>
      <c r="G123" s="36" t="s">
        <v>104</v>
      </c>
      <c r="H123" s="36"/>
      <c r="I123" s="36" t="s">
        <v>13</v>
      </c>
      <c r="J123" s="106" t="s">
        <v>199</v>
      </c>
      <c r="K123" s="104">
        <v>43537</v>
      </c>
      <c r="L123" s="36"/>
      <c r="M123" s="107"/>
      <c r="N123" s="108">
        <f>MONTH(Tableau13[[#This Row],[Date fin intervention]])</f>
        <v>3</v>
      </c>
      <c r="O123" s="108">
        <f>YEAR(Tableau13[[#This Row],[Date fin intervention]])</f>
        <v>2019</v>
      </c>
      <c r="P123" s="36"/>
    </row>
    <row r="124" spans="1:16">
      <c r="A124" s="104">
        <v>43537</v>
      </c>
      <c r="B124" s="105">
        <v>581</v>
      </c>
      <c r="C124" s="106" t="str">
        <f>IF(ISNA(VLOOKUP(Tableau13[[#This Row],[Code machine]],'CODE mchn'!$A$4:$C$170,2,0)),"",VLOOKUP(Tableau13[[#This Row],[Code machine]],'CODE mchn'!$A$4:$C$170,2,0))</f>
        <v>Acier</v>
      </c>
      <c r="D124" s="36" t="str">
        <f>IF(ISNA(VLOOKUP(Tableau13[[#This Row],[Code machine]],'CODE mchn'!$A$4:$C$170,3,0)),"",VLOOKUP(Tableau13[[#This Row],[Code machine]],'CODE mchn'!$A$4:$C$170,3,0))</f>
        <v>Teurema 1</v>
      </c>
      <c r="E124" s="105"/>
      <c r="F124" s="36"/>
      <c r="G124" s="36" t="s">
        <v>274</v>
      </c>
      <c r="H124" s="36"/>
      <c r="I124" s="36" t="s">
        <v>13</v>
      </c>
      <c r="J124" s="106" t="s">
        <v>283</v>
      </c>
      <c r="K124" s="104">
        <v>43537</v>
      </c>
      <c r="L124" s="36"/>
      <c r="M124" s="107"/>
      <c r="N124" s="108">
        <f>MONTH(Tableau13[[#This Row],[Date fin intervention]])</f>
        <v>3</v>
      </c>
      <c r="O124" s="108">
        <f>YEAR(Tableau13[[#This Row],[Date fin intervention]])</f>
        <v>2019</v>
      </c>
      <c r="P124" s="36"/>
    </row>
    <row r="125" spans="1:16" ht="28.5">
      <c r="A125" s="104">
        <v>43538</v>
      </c>
      <c r="B125" s="105">
        <v>573</v>
      </c>
      <c r="C125" s="106" t="str">
        <f>IF(ISNA(VLOOKUP(Tableau13[[#This Row],[Code machine]],'CODE mchn'!$A$4:$C$170,2,0)),"",VLOOKUP(Tableau13[[#This Row],[Code machine]],'CODE mchn'!$A$4:$C$170,2,0))</f>
        <v>Ponts roulants</v>
      </c>
      <c r="D125" s="36" t="str">
        <f>IF(ISNA(VLOOKUP(Tableau13[[#This Row],[Code machine]],'CODE mchn'!$A$4:$C$170,3,0)),"",VLOOKUP(Tableau13[[#This Row],[Code machine]],'CODE mchn'!$A$4:$C$170,3,0))</f>
        <v xml:space="preserve">Pont roulant Demag 1 3,5T </v>
      </c>
      <c r="E125" s="105"/>
      <c r="F125" s="36"/>
      <c r="G125" s="36" t="s">
        <v>204</v>
      </c>
      <c r="H125" s="36"/>
      <c r="I125" s="36" t="s">
        <v>63</v>
      </c>
      <c r="J125" s="106" t="s">
        <v>284</v>
      </c>
      <c r="K125" s="104">
        <v>43538</v>
      </c>
      <c r="L125" s="109" t="s">
        <v>285</v>
      </c>
      <c r="M125" s="107"/>
      <c r="N125" s="108">
        <f>MONTH(Tableau13[[#This Row],[Date fin intervention]])</f>
        <v>3</v>
      </c>
      <c r="O125" s="108">
        <f>YEAR(Tableau13[[#This Row],[Date fin intervention]])</f>
        <v>2019</v>
      </c>
      <c r="P125" s="36"/>
    </row>
    <row r="126" spans="1:16">
      <c r="A126" s="104">
        <v>43538</v>
      </c>
      <c r="B126" s="105">
        <v>800</v>
      </c>
      <c r="C126" s="106" t="str">
        <f>IF(ISNA(VLOOKUP(Tableau13[[#This Row],[Code machine]],'CODE mchn'!$A$4:$C$170,2,0)),"",VLOOKUP(Tableau13[[#This Row],[Code machine]],'CODE mchn'!$A$4:$C$170,2,0))</f>
        <v>Béton</v>
      </c>
      <c r="D126" s="36" t="str">
        <f>IF(ISNA(VLOOKUP(Tableau13[[#This Row],[Code machine]],'CODE mchn'!$A$4:$C$170,3,0)),"",VLOOKUP(Tableau13[[#This Row],[Code machine]],'CODE mchn'!$A$4:$C$170,3,0))</f>
        <v>Poyatos 2</v>
      </c>
      <c r="E126" s="105"/>
      <c r="F126" s="36"/>
      <c r="G126" s="36" t="s">
        <v>306</v>
      </c>
      <c r="H126" s="36"/>
      <c r="I126" s="36" t="s">
        <v>13</v>
      </c>
      <c r="J126" s="106" t="s">
        <v>307</v>
      </c>
      <c r="K126" s="104">
        <v>43538</v>
      </c>
      <c r="L126" s="36" t="s">
        <v>85</v>
      </c>
      <c r="M126" s="107"/>
      <c r="N126" s="108">
        <f>MONTH(Tableau13[[#This Row],[Date fin intervention]])</f>
        <v>3</v>
      </c>
      <c r="O126" s="108">
        <f>YEAR(Tableau13[[#This Row],[Date fin intervention]])</f>
        <v>2019</v>
      </c>
      <c r="P126" s="36"/>
    </row>
    <row r="127" spans="1:16">
      <c r="A127" s="104">
        <v>43539</v>
      </c>
      <c r="B127" s="105">
        <v>560</v>
      </c>
      <c r="C127" s="106" t="str">
        <f>IF(ISNA(VLOOKUP(Tableau13[[#This Row],[Code machine]],'CODE mchn'!$A$4:$C$170,2,0)),"",VLOOKUP(Tableau13[[#This Row],[Code machine]],'CODE mchn'!$A$4:$C$170,2,0))</f>
        <v>Acier</v>
      </c>
      <c r="D127" s="36" t="str">
        <f>IF(ISNA(VLOOKUP(Tableau13[[#This Row],[Code machine]],'CODE mchn'!$A$4:$C$170,3,0)),"",VLOOKUP(Tableau13[[#This Row],[Code machine]],'CODE mchn'!$A$4:$C$170,3,0))</f>
        <v>Schlatter</v>
      </c>
      <c r="E127" s="105"/>
      <c r="F127" s="36"/>
      <c r="G127" s="36" t="s">
        <v>104</v>
      </c>
      <c r="H127" s="36" t="s">
        <v>920</v>
      </c>
      <c r="I127" s="36" t="s">
        <v>13</v>
      </c>
      <c r="J127" s="106" t="s">
        <v>950</v>
      </c>
      <c r="K127" s="104">
        <v>43539</v>
      </c>
      <c r="L127" s="109"/>
      <c r="M127" s="107"/>
      <c r="N127" s="108">
        <f>MONTH(Tableau13[[#This Row],[Date fin intervention]])</f>
        <v>3</v>
      </c>
      <c r="O127" s="108">
        <f>YEAR(Tableau13[[#This Row],[Date fin intervention]])</f>
        <v>2019</v>
      </c>
      <c r="P127" s="36"/>
    </row>
    <row r="128" spans="1:16" ht="28.5">
      <c r="A128" s="104">
        <v>43539</v>
      </c>
      <c r="B128" s="105">
        <v>583</v>
      </c>
      <c r="C128" s="106" t="str">
        <f>IF(ISNA(VLOOKUP(Tableau13[[#This Row],[Code machine]],'CODE mchn'!$A$4:$C$170,2,0)),"",VLOOKUP(Tableau13[[#This Row],[Code machine]],'CODE mchn'!$A$4:$C$170,2,0))</f>
        <v>Ponts roulants</v>
      </c>
      <c r="D128" s="36" t="str">
        <f>IF(ISNA(VLOOKUP(Tableau13[[#This Row],[Code machine]],'CODE mchn'!$A$4:$C$170,3,0)),"",VLOOKUP(Tableau13[[#This Row],[Code machine]],'CODE mchn'!$A$4:$C$170,3,0))</f>
        <v>Pont roulant Abus 5T (teurema1)</v>
      </c>
      <c r="E128" s="105"/>
      <c r="F128" s="36"/>
      <c r="G128" s="36" t="s">
        <v>204</v>
      </c>
      <c r="H128" s="36"/>
      <c r="I128" s="36" t="s">
        <v>63</v>
      </c>
      <c r="J128" s="106" t="s">
        <v>286</v>
      </c>
      <c r="K128" s="104">
        <v>43539</v>
      </c>
      <c r="L128" s="36"/>
      <c r="M128" s="107"/>
      <c r="N128" s="108">
        <f>MONTH(Tableau13[[#This Row],[Date fin intervention]])</f>
        <v>3</v>
      </c>
      <c r="O128" s="108">
        <f>YEAR(Tableau13[[#This Row],[Date fin intervention]])</f>
        <v>2019</v>
      </c>
      <c r="P128" s="36"/>
    </row>
    <row r="129" spans="1:16">
      <c r="A129" s="104">
        <v>43539</v>
      </c>
      <c r="B129" s="105">
        <v>800</v>
      </c>
      <c r="C129" s="106" t="str">
        <f>IF(ISNA(VLOOKUP(Tableau13[[#This Row],[Code machine]],'CODE mchn'!$A$4:$C$170,2,0)),"",VLOOKUP(Tableau13[[#This Row],[Code machine]],'CODE mchn'!$A$4:$C$170,2,0))</f>
        <v>Béton</v>
      </c>
      <c r="D129" s="36" t="str">
        <f>IF(ISNA(VLOOKUP(Tableau13[[#This Row],[Code machine]],'CODE mchn'!$A$4:$C$170,3,0)),"",VLOOKUP(Tableau13[[#This Row],[Code machine]],'CODE mchn'!$A$4:$C$170,3,0))</f>
        <v>Poyatos 2</v>
      </c>
      <c r="E129" s="105"/>
      <c r="F129" s="36"/>
      <c r="G129" s="36" t="s">
        <v>185</v>
      </c>
      <c r="H129" s="36"/>
      <c r="I129" s="36" t="s">
        <v>13</v>
      </c>
      <c r="J129" s="106" t="s">
        <v>303</v>
      </c>
      <c r="K129" s="104">
        <v>43539</v>
      </c>
      <c r="L129" s="36" t="s">
        <v>85</v>
      </c>
      <c r="M129" s="107"/>
      <c r="N129" s="108">
        <f>MONTH(Tableau13[[#This Row],[Date fin intervention]])</f>
        <v>3</v>
      </c>
      <c r="O129" s="108">
        <f>YEAR(Tableau13[[#This Row],[Date fin intervention]])</f>
        <v>2019</v>
      </c>
      <c r="P129" s="36"/>
    </row>
    <row r="130" spans="1:16">
      <c r="A130" s="104">
        <v>43539</v>
      </c>
      <c r="B130" s="105">
        <v>800</v>
      </c>
      <c r="C130" s="106" t="str">
        <f>IF(ISNA(VLOOKUP(Tableau13[[#This Row],[Code machine]],'CODE mchn'!$A$4:$C$170,2,0)),"",VLOOKUP(Tableau13[[#This Row],[Code machine]],'CODE mchn'!$A$4:$C$170,2,0))</f>
        <v>Béton</v>
      </c>
      <c r="D130" s="36" t="str">
        <f>IF(ISNA(VLOOKUP(Tableau13[[#This Row],[Code machine]],'CODE mchn'!$A$4:$C$170,3,0)),"",VLOOKUP(Tableau13[[#This Row],[Code machine]],'CODE mchn'!$A$4:$C$170,3,0))</f>
        <v>Poyatos 2</v>
      </c>
      <c r="E130" s="105"/>
      <c r="F130" s="36"/>
      <c r="G130" s="36" t="s">
        <v>43</v>
      </c>
      <c r="H130" s="36"/>
      <c r="I130" s="36" t="s">
        <v>13</v>
      </c>
      <c r="J130" s="106" t="s">
        <v>308</v>
      </c>
      <c r="K130" s="104">
        <v>43539</v>
      </c>
      <c r="L130" s="36" t="s">
        <v>85</v>
      </c>
      <c r="M130" s="107"/>
      <c r="N130" s="108">
        <f>MONTH(Tableau13[[#This Row],[Date fin intervention]])</f>
        <v>3</v>
      </c>
      <c r="O130" s="108">
        <f>YEAR(Tableau13[[#This Row],[Date fin intervention]])</f>
        <v>2019</v>
      </c>
      <c r="P130" s="36"/>
    </row>
    <row r="131" spans="1:16">
      <c r="A131" s="104">
        <v>43540</v>
      </c>
      <c r="B131" s="105">
        <v>560</v>
      </c>
      <c r="C131" s="106" t="str">
        <f>IF(ISNA(VLOOKUP(Tableau13[[#This Row],[Code machine]],'CODE mchn'!$A$4:$C$170,2,0)),"",VLOOKUP(Tableau13[[#This Row],[Code machine]],'CODE mchn'!$A$4:$C$170,2,0))</f>
        <v>Acier</v>
      </c>
      <c r="D131" s="36" t="str">
        <f>IF(ISNA(VLOOKUP(Tableau13[[#This Row],[Code machine]],'CODE mchn'!$A$4:$C$170,3,0)),"",VLOOKUP(Tableau13[[#This Row],[Code machine]],'CODE mchn'!$A$4:$C$170,3,0))</f>
        <v>Schlatter</v>
      </c>
      <c r="E131" s="105"/>
      <c r="F131" s="36"/>
      <c r="G131" s="63" t="s">
        <v>104</v>
      </c>
      <c r="H131" s="63" t="s">
        <v>754</v>
      </c>
      <c r="I131" s="63" t="s">
        <v>13</v>
      </c>
      <c r="J131" s="117" t="s">
        <v>755</v>
      </c>
      <c r="K131" s="104">
        <v>43540</v>
      </c>
      <c r="L131" s="109"/>
      <c r="M131" s="107"/>
      <c r="N131" s="108">
        <f>MONTH(Tableau13[[#This Row],[Date fin intervention]])</f>
        <v>3</v>
      </c>
      <c r="O131" s="108">
        <f>YEAR(Tableau13[[#This Row],[Date fin intervention]])</f>
        <v>2019</v>
      </c>
      <c r="P131" s="36"/>
    </row>
    <row r="132" spans="1:16">
      <c r="A132" s="104">
        <v>43540</v>
      </c>
      <c r="B132" s="105">
        <v>605</v>
      </c>
      <c r="C132" s="106" t="str">
        <f>IF(ISNA(VLOOKUP(Tableau13[[#This Row],[Code machine]],'CODE mchn'!$A$4:$C$170,2,0)),"",VLOOKUP(Tableau13[[#This Row],[Code machine]],'CODE mchn'!$A$4:$C$170,2,0))</f>
        <v>Acier</v>
      </c>
      <c r="D132" s="36" t="str">
        <f>IF(ISNA(VLOOKUP(Tableau13[[#This Row],[Code machine]],'CODE mchn'!$A$4:$C$170,3,0)),"",VLOOKUP(Tableau13[[#This Row],[Code machine]],'CODE mchn'!$A$4:$C$170,3,0))</f>
        <v>Vitari 1</v>
      </c>
      <c r="E132" s="105"/>
      <c r="F132" s="36"/>
      <c r="G132" s="36" t="s">
        <v>78</v>
      </c>
      <c r="H132" s="36"/>
      <c r="I132" s="36" t="s">
        <v>63</v>
      </c>
      <c r="J132" s="106" t="s">
        <v>287</v>
      </c>
      <c r="K132" s="104">
        <v>43540</v>
      </c>
      <c r="L132" s="109" t="s">
        <v>288</v>
      </c>
      <c r="M132" s="107"/>
      <c r="N132" s="108">
        <f>MONTH(Tableau13[[#This Row],[Date fin intervention]])</f>
        <v>3</v>
      </c>
      <c r="O132" s="108">
        <f>YEAR(Tableau13[[#This Row],[Date fin intervention]])</f>
        <v>2019</v>
      </c>
      <c r="P132" s="36"/>
    </row>
    <row r="133" spans="1:16">
      <c r="A133" s="104">
        <v>43540</v>
      </c>
      <c r="B133" s="105">
        <v>700</v>
      </c>
      <c r="C133" s="106" t="str">
        <f>IF(ISNA(VLOOKUP(Tableau13[[#This Row],[Code machine]],'CODE mchn'!$A$4:$C$170,2,0)),"",VLOOKUP(Tableau13[[#This Row],[Code machine]],'CODE mchn'!$A$4:$C$170,2,0))</f>
        <v>Béton</v>
      </c>
      <c r="D133" s="36" t="str">
        <f>IF(ISNA(VLOOKUP(Tableau13[[#This Row],[Code machine]],'CODE mchn'!$A$4:$C$170,3,0)),"",VLOOKUP(Tableau13[[#This Row],[Code machine]],'CODE mchn'!$A$4:$C$170,3,0))</f>
        <v>Poyatos 1</v>
      </c>
      <c r="E133" s="105"/>
      <c r="F133" s="36"/>
      <c r="G133" s="36" t="s">
        <v>325</v>
      </c>
      <c r="H133" s="36"/>
      <c r="I133" s="36" t="s">
        <v>13</v>
      </c>
      <c r="J133" s="106" t="s">
        <v>326</v>
      </c>
      <c r="K133" s="104">
        <v>43540</v>
      </c>
      <c r="L133" s="109" t="s">
        <v>85</v>
      </c>
      <c r="M133" s="107"/>
      <c r="N133" s="108">
        <f>MONTH(Tableau13[[#This Row],[Date fin intervention]])</f>
        <v>3</v>
      </c>
      <c r="O133" s="108">
        <f>YEAR(Tableau13[[#This Row],[Date fin intervention]])</f>
        <v>2019</v>
      </c>
      <c r="P133" s="36"/>
    </row>
    <row r="134" spans="1:16">
      <c r="A134" s="104">
        <v>43542</v>
      </c>
      <c r="B134" s="105">
        <v>560</v>
      </c>
      <c r="C134" s="106" t="str">
        <f>IF(ISNA(VLOOKUP(Tableau13[[#This Row],[Code machine]],'CODE mchn'!$A$4:$C$170,2,0)),"",VLOOKUP(Tableau13[[#This Row],[Code machine]],'CODE mchn'!$A$4:$C$170,2,0))</f>
        <v>Acier</v>
      </c>
      <c r="D134" s="36" t="str">
        <f>IF(ISNA(VLOOKUP(Tableau13[[#This Row],[Code machine]],'CODE mchn'!$A$4:$C$170,3,0)),"",VLOOKUP(Tableau13[[#This Row],[Code machine]],'CODE mchn'!$A$4:$C$170,3,0))</f>
        <v>Schlatter</v>
      </c>
      <c r="E134" s="105"/>
      <c r="F134" s="36"/>
      <c r="G134" s="62" t="s">
        <v>104</v>
      </c>
      <c r="H134" s="62" t="s">
        <v>517</v>
      </c>
      <c r="I134" s="62" t="s">
        <v>13</v>
      </c>
      <c r="J134" s="248" t="s">
        <v>518</v>
      </c>
      <c r="K134" s="104">
        <v>43542</v>
      </c>
      <c r="L134" s="109"/>
      <c r="M134" s="107"/>
      <c r="N134" s="108">
        <f>MONTH(Tableau13[[#This Row],[Date fin intervention]])</f>
        <v>3</v>
      </c>
      <c r="O134" s="108">
        <f>YEAR(Tableau13[[#This Row],[Date fin intervention]])</f>
        <v>2019</v>
      </c>
      <c r="P134" s="36"/>
    </row>
    <row r="135" spans="1:16">
      <c r="A135" s="104">
        <v>43542</v>
      </c>
      <c r="B135" s="105">
        <v>560</v>
      </c>
      <c r="C135" s="106" t="str">
        <f>IF(ISNA(VLOOKUP(Tableau13[[#This Row],[Code machine]],'CODE mchn'!$A$4:$C$170,2,0)),"",VLOOKUP(Tableau13[[#This Row],[Code machine]],'CODE mchn'!$A$4:$C$170,2,0))</f>
        <v>Acier</v>
      </c>
      <c r="D135" s="36" t="str">
        <f>IF(ISNA(VLOOKUP(Tableau13[[#This Row],[Code machine]],'CODE mchn'!$A$4:$C$170,3,0)),"",VLOOKUP(Tableau13[[#This Row],[Code machine]],'CODE mchn'!$A$4:$C$170,3,0))</f>
        <v>Schlatter</v>
      </c>
      <c r="E135" s="105"/>
      <c r="F135" s="36"/>
      <c r="G135" s="36" t="s">
        <v>10</v>
      </c>
      <c r="H135" s="36"/>
      <c r="I135" s="36" t="s">
        <v>13</v>
      </c>
      <c r="J135" s="106" t="s">
        <v>320</v>
      </c>
      <c r="K135" s="104">
        <v>43542</v>
      </c>
      <c r="L135" s="36"/>
      <c r="M135" s="107"/>
      <c r="N135" s="108">
        <f>MONTH(Tableau13[[#This Row],[Date fin intervention]])</f>
        <v>3</v>
      </c>
      <c r="O135" s="108">
        <f>YEAR(Tableau13[[#This Row],[Date fin intervention]])</f>
        <v>2019</v>
      </c>
      <c r="P135" s="36"/>
    </row>
    <row r="136" spans="1:16">
      <c r="A136" s="104">
        <v>43543</v>
      </c>
      <c r="B136" s="105">
        <v>560</v>
      </c>
      <c r="C136" s="106" t="str">
        <f>IF(ISNA(VLOOKUP(Tableau13[[#This Row],[Code machine]],'CODE mchn'!$A$4:$C$170,2,0)),"",VLOOKUP(Tableau13[[#This Row],[Code machine]],'CODE mchn'!$A$4:$C$170,2,0))</f>
        <v>Acier</v>
      </c>
      <c r="D136" s="36" t="str">
        <f>IF(ISNA(VLOOKUP(Tableau13[[#This Row],[Code machine]],'CODE mchn'!$A$4:$C$170,3,0)),"",VLOOKUP(Tableau13[[#This Row],[Code machine]],'CODE mchn'!$A$4:$C$170,3,0))</f>
        <v>Schlatter</v>
      </c>
      <c r="E136" s="105"/>
      <c r="F136" s="36"/>
      <c r="G136" s="63" t="s">
        <v>104</v>
      </c>
      <c r="H136" s="63" t="s">
        <v>716</v>
      </c>
      <c r="I136" s="63" t="s">
        <v>13</v>
      </c>
      <c r="J136" s="117" t="s">
        <v>718</v>
      </c>
      <c r="K136" s="104">
        <v>43543</v>
      </c>
      <c r="L136" s="109"/>
      <c r="M136" s="107"/>
      <c r="N136" s="108">
        <f>MONTH(Tableau13[[#This Row],[Date fin intervention]])</f>
        <v>3</v>
      </c>
      <c r="O136" s="108">
        <f>YEAR(Tableau13[[#This Row],[Date fin intervention]])</f>
        <v>2019</v>
      </c>
      <c r="P136" s="36"/>
    </row>
    <row r="137" spans="1:16">
      <c r="A137" s="104">
        <v>43543</v>
      </c>
      <c r="B137" s="105">
        <v>582</v>
      </c>
      <c r="C137" s="106" t="str">
        <f>IF(ISNA(VLOOKUP(Tableau13[[#This Row],[Code machine]],'CODE mchn'!$A$4:$C$170,2,0)),"",VLOOKUP(Tableau13[[#This Row],[Code machine]],'CODE mchn'!$A$4:$C$170,2,0))</f>
        <v>Acier</v>
      </c>
      <c r="D137" s="36" t="str">
        <f>IF(ISNA(VLOOKUP(Tableau13[[#This Row],[Code machine]],'CODE mchn'!$A$4:$C$170,3,0)),"",VLOOKUP(Tableau13[[#This Row],[Code machine]],'CODE mchn'!$A$4:$C$170,3,0))</f>
        <v>Teurema 2</v>
      </c>
      <c r="E137" s="105"/>
      <c r="F137" s="36"/>
      <c r="G137" s="36" t="s">
        <v>275</v>
      </c>
      <c r="H137" s="36"/>
      <c r="I137" s="36" t="s">
        <v>13</v>
      </c>
      <c r="J137" s="106" t="s">
        <v>214</v>
      </c>
      <c r="K137" s="104">
        <v>43543</v>
      </c>
      <c r="L137" s="36"/>
      <c r="M137" s="107"/>
      <c r="N137" s="108">
        <f>MONTH(Tableau13[[#This Row],[Date fin intervention]])</f>
        <v>3</v>
      </c>
      <c r="O137" s="108">
        <f>YEAR(Tableau13[[#This Row],[Date fin intervention]])</f>
        <v>2019</v>
      </c>
      <c r="P137" s="36"/>
    </row>
    <row r="138" spans="1:16" ht="28.5">
      <c r="A138" s="104">
        <v>43544</v>
      </c>
      <c r="B138" s="105">
        <v>800</v>
      </c>
      <c r="C138" s="106" t="str">
        <f>IF(ISNA(VLOOKUP(Tableau13[[#This Row],[Code machine]],'CODE mchn'!$A$4:$C$170,2,0)),"",VLOOKUP(Tableau13[[#This Row],[Code machine]],'CODE mchn'!$A$4:$C$170,2,0))</f>
        <v>Béton</v>
      </c>
      <c r="D138" s="36" t="str">
        <f>IF(ISNA(VLOOKUP(Tableau13[[#This Row],[Code machine]],'CODE mchn'!$A$4:$C$170,3,0)),"",VLOOKUP(Tableau13[[#This Row],[Code machine]],'CODE mchn'!$A$4:$C$170,3,0))</f>
        <v>Poyatos 2</v>
      </c>
      <c r="E138" s="105"/>
      <c r="F138" s="36"/>
      <c r="G138" s="36" t="s">
        <v>319</v>
      </c>
      <c r="H138" s="36"/>
      <c r="I138" s="36" t="s">
        <v>13</v>
      </c>
      <c r="J138" s="106" t="s">
        <v>317</v>
      </c>
      <c r="K138" s="104">
        <v>43544</v>
      </c>
      <c r="L138" s="109" t="s">
        <v>318</v>
      </c>
      <c r="M138" s="107"/>
      <c r="N138" s="108">
        <f>MONTH(Tableau13[[#This Row],[Date fin intervention]])</f>
        <v>3</v>
      </c>
      <c r="O138" s="108">
        <f>YEAR(Tableau13[[#This Row],[Date fin intervention]])</f>
        <v>2019</v>
      </c>
      <c r="P138" s="36"/>
    </row>
    <row r="139" spans="1:16" ht="28.5">
      <c r="A139" s="104">
        <v>43547</v>
      </c>
      <c r="B139" s="105">
        <v>605</v>
      </c>
      <c r="C139" s="106" t="str">
        <f>IF(ISNA(VLOOKUP(Tableau13[[#This Row],[Code machine]],'CODE mchn'!$A$4:$C$170,2,0)),"",VLOOKUP(Tableau13[[#This Row],[Code machine]],'CODE mchn'!$A$4:$C$170,2,0))</f>
        <v>Acier</v>
      </c>
      <c r="D139" s="36" t="str">
        <f>IF(ISNA(VLOOKUP(Tableau13[[#This Row],[Code machine]],'CODE mchn'!$A$4:$C$170,3,0)),"",VLOOKUP(Tableau13[[#This Row],[Code machine]],'CODE mchn'!$A$4:$C$170,3,0))</f>
        <v>Vitari 1</v>
      </c>
      <c r="E139" s="105"/>
      <c r="F139" s="36"/>
      <c r="G139" s="36" t="s">
        <v>78</v>
      </c>
      <c r="H139" s="36"/>
      <c r="I139" s="36" t="s">
        <v>13</v>
      </c>
      <c r="J139" s="106" t="s">
        <v>322</v>
      </c>
      <c r="K139" s="104">
        <v>43547</v>
      </c>
      <c r="L139" s="109" t="s">
        <v>323</v>
      </c>
      <c r="M139" s="107"/>
      <c r="N139" s="108">
        <f>MONTH(Tableau13[[#This Row],[Date fin intervention]])</f>
        <v>3</v>
      </c>
      <c r="O139" s="108">
        <f>YEAR(Tableau13[[#This Row],[Date fin intervention]])</f>
        <v>2019</v>
      </c>
      <c r="P139" s="36"/>
    </row>
    <row r="140" spans="1:16">
      <c r="A140" s="104">
        <v>43552</v>
      </c>
      <c r="B140" s="105">
        <v>581</v>
      </c>
      <c r="C140" s="106" t="str">
        <f>IF(ISNA(VLOOKUP(Tableau13[[#This Row],[Code machine]],'CODE mchn'!$A$4:$C$170,2,0)),"",VLOOKUP(Tableau13[[#This Row],[Code machine]],'CODE mchn'!$A$4:$C$170,2,0))</f>
        <v>Acier</v>
      </c>
      <c r="D140" s="36" t="str">
        <f>IF(ISNA(VLOOKUP(Tableau13[[#This Row],[Code machine]],'CODE mchn'!$A$4:$C$170,3,0)),"",VLOOKUP(Tableau13[[#This Row],[Code machine]],'CODE mchn'!$A$4:$C$170,3,0))</f>
        <v>Teurema 1</v>
      </c>
      <c r="E140" s="105"/>
      <c r="F140" s="36"/>
      <c r="G140" s="36" t="s">
        <v>274</v>
      </c>
      <c r="H140" s="36"/>
      <c r="I140" s="36" t="s">
        <v>13</v>
      </c>
      <c r="J140" s="106" t="s">
        <v>324</v>
      </c>
      <c r="K140" s="104">
        <v>43552</v>
      </c>
      <c r="L140" s="36" t="s">
        <v>85</v>
      </c>
      <c r="M140" s="107"/>
      <c r="N140" s="108">
        <f>MONTH(Tableau13[[#This Row],[Date fin intervention]])</f>
        <v>3</v>
      </c>
      <c r="O140" s="108">
        <f>YEAR(Tableau13[[#This Row],[Date fin intervention]])</f>
        <v>2019</v>
      </c>
      <c r="P140" s="36"/>
    </row>
    <row r="141" spans="1:16" ht="28.5">
      <c r="A141" s="104">
        <v>43556</v>
      </c>
      <c r="B141" s="105">
        <v>561</v>
      </c>
      <c r="C141" s="106" t="str">
        <f>IF(ISNA(VLOOKUP(Tableau13[[#This Row],[Code machine]],'CODE mchn'!$A$4:$C$170,2,0)),"",VLOOKUP(Tableau13[[#This Row],[Code machine]],'CODE mchn'!$A$4:$C$170,2,0))</f>
        <v>Ponts roulants</v>
      </c>
      <c r="D141" s="36" t="str">
        <f>IF(ISNA(VLOOKUP(Tableau13[[#This Row],[Code machine]],'CODE mchn'!$A$4:$C$170,3,0)),"",VLOOKUP(Tableau13[[#This Row],[Code machine]],'CODE mchn'!$A$4:$C$170,3,0))</f>
        <v>Pont roulant Demag 5T TS</v>
      </c>
      <c r="E141" s="105"/>
      <c r="F141" s="36"/>
      <c r="G141" s="36" t="s">
        <v>52</v>
      </c>
      <c r="H141" s="36"/>
      <c r="I141" s="36" t="s">
        <v>13</v>
      </c>
      <c r="J141" s="106" t="s">
        <v>156</v>
      </c>
      <c r="K141" s="104">
        <v>43556</v>
      </c>
      <c r="L141" s="109" t="s">
        <v>328</v>
      </c>
      <c r="M141" s="107"/>
      <c r="N141" s="108">
        <f>MONTH(Tableau13[[#This Row],[Date fin intervention]])</f>
        <v>4</v>
      </c>
      <c r="O141" s="108">
        <f>YEAR(Tableau13[[#This Row],[Date fin intervention]])</f>
        <v>2019</v>
      </c>
      <c r="P141" s="36"/>
    </row>
    <row r="142" spans="1:16">
      <c r="A142" s="104">
        <v>43556</v>
      </c>
      <c r="B142" s="105">
        <v>560</v>
      </c>
      <c r="C142" s="106" t="str">
        <f>IF(ISNA(VLOOKUP(Tableau13[[#This Row],[Code machine]],'CODE mchn'!$A$4:$C$170,2,0)),"",VLOOKUP(Tableau13[[#This Row],[Code machine]],'CODE mchn'!$A$4:$C$170,2,0))</f>
        <v>Acier</v>
      </c>
      <c r="D142" s="36" t="str">
        <f>IF(ISNA(VLOOKUP(Tableau13[[#This Row],[Code machine]],'CODE mchn'!$A$4:$C$170,3,0)),"",VLOOKUP(Tableau13[[#This Row],[Code machine]],'CODE mchn'!$A$4:$C$170,3,0))</f>
        <v>Schlatter</v>
      </c>
      <c r="E142" s="105"/>
      <c r="F142" s="36"/>
      <c r="G142" s="36" t="s">
        <v>104</v>
      </c>
      <c r="H142" s="36"/>
      <c r="I142" s="36" t="s">
        <v>13</v>
      </c>
      <c r="J142" s="106" t="s">
        <v>330</v>
      </c>
      <c r="K142" s="104">
        <v>43556</v>
      </c>
      <c r="L142" s="109" t="s">
        <v>85</v>
      </c>
      <c r="M142" s="107"/>
      <c r="N142" s="108">
        <f>MONTH(Tableau13[[#This Row],[Date fin intervention]])</f>
        <v>4</v>
      </c>
      <c r="O142" s="108">
        <f>YEAR(Tableau13[[#This Row],[Date fin intervention]])</f>
        <v>2019</v>
      </c>
      <c r="P142" s="36"/>
    </row>
    <row r="143" spans="1:16">
      <c r="A143" s="104">
        <v>43556</v>
      </c>
      <c r="B143" s="105">
        <v>605</v>
      </c>
      <c r="C143" s="106" t="str">
        <f>IF(ISNA(VLOOKUP(Tableau13[[#This Row],[Code machine]],'CODE mchn'!$A$4:$C$170,2,0)),"",VLOOKUP(Tableau13[[#This Row],[Code machine]],'CODE mchn'!$A$4:$C$170,2,0))</f>
        <v>Acier</v>
      </c>
      <c r="D143" s="36" t="str">
        <f>IF(ISNA(VLOOKUP(Tableau13[[#This Row],[Code machine]],'CODE mchn'!$A$4:$C$170,3,0)),"",VLOOKUP(Tableau13[[#This Row],[Code machine]],'CODE mchn'!$A$4:$C$170,3,0))</f>
        <v>Vitari 1</v>
      </c>
      <c r="E143" s="105"/>
      <c r="F143" s="36"/>
      <c r="G143" s="36" t="s">
        <v>78</v>
      </c>
      <c r="H143" s="36"/>
      <c r="I143" s="36" t="s">
        <v>13</v>
      </c>
      <c r="J143" s="106" t="s">
        <v>329</v>
      </c>
      <c r="K143" s="104">
        <v>43556</v>
      </c>
      <c r="L143" s="109" t="s">
        <v>85</v>
      </c>
      <c r="M143" s="107"/>
      <c r="N143" s="108">
        <f>MONTH(Tableau13[[#This Row],[Date fin intervention]])</f>
        <v>4</v>
      </c>
      <c r="O143" s="108">
        <f>YEAR(Tableau13[[#This Row],[Date fin intervention]])</f>
        <v>2019</v>
      </c>
      <c r="P143" s="36"/>
    </row>
    <row r="144" spans="1:16">
      <c r="A144" s="104">
        <v>43556</v>
      </c>
      <c r="B144" s="105">
        <v>700</v>
      </c>
      <c r="C144" s="106" t="str">
        <f>IF(ISNA(VLOOKUP(Tableau13[[#This Row],[Code machine]],'CODE mchn'!$A$4:$C$170,2,0)),"",VLOOKUP(Tableau13[[#This Row],[Code machine]],'CODE mchn'!$A$4:$C$170,2,0))</f>
        <v>Béton</v>
      </c>
      <c r="D144" s="36" t="str">
        <f>IF(ISNA(VLOOKUP(Tableau13[[#This Row],[Code machine]],'CODE mchn'!$A$4:$C$170,3,0)),"",VLOOKUP(Tableau13[[#This Row],[Code machine]],'CODE mchn'!$A$4:$C$170,3,0))</f>
        <v>Poyatos 1</v>
      </c>
      <c r="E144" s="105"/>
      <c r="F144" s="36"/>
      <c r="G144" s="36" t="s">
        <v>331</v>
      </c>
      <c r="H144" s="36"/>
      <c r="I144" s="36" t="s">
        <v>13</v>
      </c>
      <c r="J144" s="106" t="s">
        <v>332</v>
      </c>
      <c r="K144" s="104">
        <v>43556</v>
      </c>
      <c r="L144" s="109" t="s">
        <v>85</v>
      </c>
      <c r="M144" s="107"/>
      <c r="N144" s="108">
        <f>MONTH(Tableau13[[#This Row],[Date fin intervention]])</f>
        <v>4</v>
      </c>
      <c r="O144" s="108">
        <f>YEAR(Tableau13[[#This Row],[Date fin intervention]])</f>
        <v>2019</v>
      </c>
      <c r="P144" s="36"/>
    </row>
    <row r="145" spans="1:16">
      <c r="A145" s="104">
        <v>43556</v>
      </c>
      <c r="B145" s="105">
        <v>800</v>
      </c>
      <c r="C145" s="106" t="str">
        <f>IF(ISNA(VLOOKUP(Tableau13[[#This Row],[Code machine]],'CODE mchn'!$A$4:$C$170,2,0)),"",VLOOKUP(Tableau13[[#This Row],[Code machine]],'CODE mchn'!$A$4:$C$170,2,0))</f>
        <v>Béton</v>
      </c>
      <c r="D145" s="36" t="str">
        <f>IF(ISNA(VLOOKUP(Tableau13[[#This Row],[Code machine]],'CODE mchn'!$A$4:$C$170,3,0)),"",VLOOKUP(Tableau13[[#This Row],[Code machine]],'CODE mchn'!$A$4:$C$170,3,0))</f>
        <v>Poyatos 2</v>
      </c>
      <c r="E145" s="105"/>
      <c r="F145" s="36"/>
      <c r="G145" s="36" t="s">
        <v>331</v>
      </c>
      <c r="H145" s="36"/>
      <c r="I145" s="36" t="s">
        <v>8</v>
      </c>
      <c r="J145" s="106" t="s">
        <v>333</v>
      </c>
      <c r="K145" s="104">
        <v>43556</v>
      </c>
      <c r="L145" s="109"/>
      <c r="M145" s="107"/>
      <c r="N145" s="108">
        <f>MONTH(Tableau13[[#This Row],[Date fin intervention]])</f>
        <v>4</v>
      </c>
      <c r="O145" s="108">
        <f>YEAR(Tableau13[[#This Row],[Date fin intervention]])</f>
        <v>2019</v>
      </c>
      <c r="P145" s="36"/>
    </row>
    <row r="146" spans="1:16">
      <c r="A146" s="104">
        <v>43556</v>
      </c>
      <c r="B146" s="105">
        <v>800</v>
      </c>
      <c r="C146" s="106" t="str">
        <f>IF(ISNA(VLOOKUP(Tableau13[[#This Row],[Code machine]],'CODE mchn'!$A$4:$C$170,2,0)),"",VLOOKUP(Tableau13[[#This Row],[Code machine]],'CODE mchn'!$A$4:$C$170,2,0))</f>
        <v>Béton</v>
      </c>
      <c r="D146" s="36" t="str">
        <f>IF(ISNA(VLOOKUP(Tableau13[[#This Row],[Code machine]],'CODE mchn'!$A$4:$C$170,3,0)),"",VLOOKUP(Tableau13[[#This Row],[Code machine]],'CODE mchn'!$A$4:$C$170,3,0))</f>
        <v>Poyatos 2</v>
      </c>
      <c r="E146" s="105"/>
      <c r="F146" s="36"/>
      <c r="G146" s="36" t="s">
        <v>335</v>
      </c>
      <c r="H146" s="36"/>
      <c r="I146" s="36" t="s">
        <v>13</v>
      </c>
      <c r="J146" s="106" t="s">
        <v>334</v>
      </c>
      <c r="K146" s="104">
        <v>43556</v>
      </c>
      <c r="L146" s="109"/>
      <c r="M146" s="107"/>
      <c r="N146" s="108">
        <f>MONTH(Tableau13[[#This Row],[Date fin intervention]])</f>
        <v>4</v>
      </c>
      <c r="O146" s="108">
        <f>YEAR(Tableau13[[#This Row],[Date fin intervention]])</f>
        <v>2019</v>
      </c>
      <c r="P146" s="36"/>
    </row>
    <row r="147" spans="1:16">
      <c r="A147" s="104">
        <v>43557</v>
      </c>
      <c r="B147" s="105">
        <v>700</v>
      </c>
      <c r="C147" s="106" t="str">
        <f>IF(ISNA(VLOOKUP(Tableau13[[#This Row],[Code machine]],'CODE mchn'!$A$4:$C$170,2,0)),"",VLOOKUP(Tableau13[[#This Row],[Code machine]],'CODE mchn'!$A$4:$C$170,2,0))</f>
        <v>Béton</v>
      </c>
      <c r="D147" s="36" t="str">
        <f>IF(ISNA(VLOOKUP(Tableau13[[#This Row],[Code machine]],'CODE mchn'!$A$4:$C$170,3,0)),"",VLOOKUP(Tableau13[[#This Row],[Code machine]],'CODE mchn'!$A$4:$C$170,3,0))</f>
        <v>Poyatos 1</v>
      </c>
      <c r="E147" s="105"/>
      <c r="F147" s="36"/>
      <c r="G147" s="36" t="s">
        <v>43</v>
      </c>
      <c r="H147" s="36"/>
      <c r="I147" s="36" t="s">
        <v>13</v>
      </c>
      <c r="J147" s="106" t="s">
        <v>336</v>
      </c>
      <c r="K147" s="104">
        <v>43557</v>
      </c>
      <c r="L147" s="109"/>
      <c r="M147" s="107"/>
      <c r="N147" s="108">
        <f>MONTH(Tableau13[[#This Row],[Date fin intervention]])</f>
        <v>4</v>
      </c>
      <c r="O147" s="108">
        <f>YEAR(Tableau13[[#This Row],[Date fin intervention]])</f>
        <v>2019</v>
      </c>
      <c r="P147" s="36"/>
    </row>
    <row r="148" spans="1:16">
      <c r="A148" s="104">
        <v>43557</v>
      </c>
      <c r="B148" s="105">
        <v>700</v>
      </c>
      <c r="C148" s="106" t="str">
        <f>IF(ISNA(VLOOKUP(Tableau13[[#This Row],[Code machine]],'CODE mchn'!$A$4:$C$170,2,0)),"",VLOOKUP(Tableau13[[#This Row],[Code machine]],'CODE mchn'!$A$4:$C$170,2,0))</f>
        <v>Béton</v>
      </c>
      <c r="D148" s="36" t="str">
        <f>IF(ISNA(VLOOKUP(Tableau13[[#This Row],[Code machine]],'CODE mchn'!$A$4:$C$170,3,0)),"",VLOOKUP(Tableau13[[#This Row],[Code machine]],'CODE mchn'!$A$4:$C$170,3,0))</f>
        <v>Poyatos 1</v>
      </c>
      <c r="E148" s="105"/>
      <c r="F148" s="36"/>
      <c r="G148" s="36" t="s">
        <v>132</v>
      </c>
      <c r="H148" s="36"/>
      <c r="I148" s="36" t="s">
        <v>13</v>
      </c>
      <c r="J148" s="106" t="s">
        <v>337</v>
      </c>
      <c r="K148" s="104">
        <v>43557</v>
      </c>
      <c r="L148" s="109"/>
      <c r="M148" s="107"/>
      <c r="N148" s="108">
        <f>MONTH(Tableau13[[#This Row],[Date fin intervention]])</f>
        <v>4</v>
      </c>
      <c r="O148" s="108">
        <f>YEAR(Tableau13[[#This Row],[Date fin intervention]])</f>
        <v>2019</v>
      </c>
      <c r="P148" s="36"/>
    </row>
    <row r="149" spans="1:16">
      <c r="A149" s="110">
        <v>43558</v>
      </c>
      <c r="B149" s="111">
        <v>560</v>
      </c>
      <c r="C149" s="106" t="str">
        <f>IF(ISNA(VLOOKUP(Tableau13[[#This Row],[Code machine]],'CODE mchn'!$A$4:$C$170,2,0)),"",VLOOKUP(Tableau13[[#This Row],[Code machine]],'CODE mchn'!$A$4:$C$170,2,0))</f>
        <v>Acier</v>
      </c>
      <c r="D149" s="36" t="str">
        <f>IF(ISNA(VLOOKUP(Tableau13[[#This Row],[Code machine]],'CODE mchn'!$A$4:$C$170,3,0)),"",VLOOKUP(Tableau13[[#This Row],[Code machine]],'CODE mchn'!$A$4:$C$170,3,0))</f>
        <v>Schlatter</v>
      </c>
      <c r="E149" s="105"/>
      <c r="F149" s="36"/>
      <c r="G149" s="62" t="s">
        <v>104</v>
      </c>
      <c r="H149" s="62" t="s">
        <v>517</v>
      </c>
      <c r="I149" s="62" t="s">
        <v>13</v>
      </c>
      <c r="J149" s="248" t="s">
        <v>518</v>
      </c>
      <c r="K149" s="112">
        <v>43558</v>
      </c>
      <c r="L149" s="109"/>
      <c r="M149" s="107"/>
      <c r="N149" s="108">
        <f>MONTH(Tableau13[[#This Row],[Date fin intervention]])</f>
        <v>4</v>
      </c>
      <c r="O149" s="108">
        <f>YEAR(Tableau13[[#This Row],[Date fin intervention]])</f>
        <v>2019</v>
      </c>
      <c r="P149" s="36"/>
    </row>
    <row r="150" spans="1:16" ht="28.5">
      <c r="A150" s="104">
        <v>43559</v>
      </c>
      <c r="B150" s="105">
        <v>700</v>
      </c>
      <c r="C150" s="106" t="str">
        <f>IF(ISNA(VLOOKUP(Tableau13[[#This Row],[Code machine]],'CODE mchn'!$A$4:$C$170,2,0)),"",VLOOKUP(Tableau13[[#This Row],[Code machine]],'CODE mchn'!$A$4:$C$170,2,0))</f>
        <v>Béton</v>
      </c>
      <c r="D150" s="36" t="str">
        <f>IF(ISNA(VLOOKUP(Tableau13[[#This Row],[Code machine]],'CODE mchn'!$A$4:$C$170,3,0)),"",VLOOKUP(Tableau13[[#This Row],[Code machine]],'CODE mchn'!$A$4:$C$170,3,0))</f>
        <v>Poyatos 1</v>
      </c>
      <c r="E150" s="105"/>
      <c r="F150" s="36"/>
      <c r="G150" s="36" t="s">
        <v>291</v>
      </c>
      <c r="H150" s="36"/>
      <c r="I150" s="36" t="s">
        <v>13</v>
      </c>
      <c r="J150" s="106" t="s">
        <v>338</v>
      </c>
      <c r="K150" s="104">
        <v>43559</v>
      </c>
      <c r="L150" s="109" t="s">
        <v>339</v>
      </c>
      <c r="M150" s="107"/>
      <c r="N150" s="108">
        <f>MONTH(Tableau13[[#This Row],[Date fin intervention]])</f>
        <v>4</v>
      </c>
      <c r="O150" s="108">
        <f>YEAR(Tableau13[[#This Row],[Date fin intervention]])</f>
        <v>2019</v>
      </c>
      <c r="P150" s="36"/>
    </row>
    <row r="151" spans="1:16">
      <c r="A151" s="110">
        <v>43559</v>
      </c>
      <c r="B151" s="111">
        <v>560</v>
      </c>
      <c r="C151" s="106" t="str">
        <f>IF(ISNA(VLOOKUP(Tableau13[[#This Row],[Code machine]],'CODE mchn'!$A$4:$C$170,2,0)),"",VLOOKUP(Tableau13[[#This Row],[Code machine]],'CODE mchn'!$A$4:$C$170,2,0))</f>
        <v>Acier</v>
      </c>
      <c r="D151" s="36" t="str">
        <f>IF(ISNA(VLOOKUP(Tableau13[[#This Row],[Code machine]],'CODE mchn'!$A$4:$C$170,3,0)),"",VLOOKUP(Tableau13[[#This Row],[Code machine]],'CODE mchn'!$A$4:$C$170,3,0))</f>
        <v>Schlatter</v>
      </c>
      <c r="E151" s="105"/>
      <c r="F151" s="36"/>
      <c r="G151" s="63" t="s">
        <v>726</v>
      </c>
      <c r="H151" s="63" t="s">
        <v>734</v>
      </c>
      <c r="I151" s="63" t="s">
        <v>13</v>
      </c>
      <c r="J151" s="117" t="s">
        <v>735</v>
      </c>
      <c r="K151" s="71">
        <v>43559</v>
      </c>
      <c r="L151" s="109"/>
      <c r="M151" s="107"/>
      <c r="N151" s="108">
        <f>MONTH(Tableau13[[#This Row],[Date fin intervention]])</f>
        <v>4</v>
      </c>
      <c r="O151" s="108">
        <f>YEAR(Tableau13[[#This Row],[Date fin intervention]])</f>
        <v>2019</v>
      </c>
      <c r="P151" s="36"/>
    </row>
    <row r="152" spans="1:16">
      <c r="A152" s="104">
        <v>43563</v>
      </c>
      <c r="B152" s="105">
        <v>800</v>
      </c>
      <c r="C152" s="106" t="str">
        <f>IF(ISNA(VLOOKUP(Tableau13[[#This Row],[Code machine]],'CODE mchn'!$A$4:$C$170,2,0)),"",VLOOKUP(Tableau13[[#This Row],[Code machine]],'CODE mchn'!$A$4:$C$170,2,0))</f>
        <v>Béton</v>
      </c>
      <c r="D152" s="36" t="str">
        <f>IF(ISNA(VLOOKUP(Tableau13[[#This Row],[Code machine]],'CODE mchn'!$A$4:$C$170,3,0)),"",VLOOKUP(Tableau13[[#This Row],[Code machine]],'CODE mchn'!$A$4:$C$170,3,0))</f>
        <v>Poyatos 2</v>
      </c>
      <c r="E152" s="105"/>
      <c r="F152" s="36"/>
      <c r="G152" s="36" t="s">
        <v>331</v>
      </c>
      <c r="H152" s="36"/>
      <c r="I152" s="36" t="s">
        <v>13</v>
      </c>
      <c r="J152" s="106" t="s">
        <v>297</v>
      </c>
      <c r="K152" s="104">
        <v>43563</v>
      </c>
      <c r="L152" s="109"/>
      <c r="M152" s="107"/>
      <c r="N152" s="108">
        <f>MONTH(Tableau13[[#This Row],[Date fin intervention]])</f>
        <v>4</v>
      </c>
      <c r="O152" s="108">
        <f>YEAR(Tableau13[[#This Row],[Date fin intervention]])</f>
        <v>2019</v>
      </c>
      <c r="P152" s="36"/>
    </row>
    <row r="153" spans="1:16">
      <c r="A153" s="104">
        <v>43563</v>
      </c>
      <c r="B153" s="105">
        <v>800</v>
      </c>
      <c r="C153" s="106" t="str">
        <f>IF(ISNA(VLOOKUP(Tableau13[[#This Row],[Code machine]],'CODE mchn'!$A$4:$C$170,2,0)),"",VLOOKUP(Tableau13[[#This Row],[Code machine]],'CODE mchn'!$A$4:$C$170,2,0))</f>
        <v>Béton</v>
      </c>
      <c r="D153" s="36" t="str">
        <f>IF(ISNA(VLOOKUP(Tableau13[[#This Row],[Code machine]],'CODE mchn'!$A$4:$C$170,3,0)),"",VLOOKUP(Tableau13[[#This Row],[Code machine]],'CODE mchn'!$A$4:$C$170,3,0))</f>
        <v>Poyatos 2</v>
      </c>
      <c r="E153" s="105"/>
      <c r="F153" s="36"/>
      <c r="G153" s="36" t="s">
        <v>60</v>
      </c>
      <c r="H153" s="36"/>
      <c r="I153" s="36" t="s">
        <v>13</v>
      </c>
      <c r="J153" s="106" t="s">
        <v>340</v>
      </c>
      <c r="K153" s="104">
        <v>43563</v>
      </c>
      <c r="L153" s="109"/>
      <c r="M153" s="107"/>
      <c r="N153" s="108">
        <f>MONTH(Tableau13[[#This Row],[Date fin intervention]])</f>
        <v>4</v>
      </c>
      <c r="O153" s="108">
        <f>YEAR(Tableau13[[#This Row],[Date fin intervention]])</f>
        <v>2019</v>
      </c>
      <c r="P153" s="36"/>
    </row>
    <row r="154" spans="1:16">
      <c r="A154" s="110">
        <v>43564</v>
      </c>
      <c r="B154" s="111">
        <v>700</v>
      </c>
      <c r="C154" s="106" t="str">
        <f>IF(ISNA(VLOOKUP(Tableau13[[#This Row],[Code machine]],'CODE mchn'!$A$4:$C$170,2,0)),"",VLOOKUP(Tableau13[[#This Row],[Code machine]],'CODE mchn'!$A$4:$C$170,2,0))</f>
        <v>Béton</v>
      </c>
      <c r="D154" s="36" t="str">
        <f>IF(ISNA(VLOOKUP(Tableau13[[#This Row],[Code machine]],'CODE mchn'!$A$4:$C$170,3,0)),"",VLOOKUP(Tableau13[[#This Row],[Code machine]],'CODE mchn'!$A$4:$C$170,3,0))</f>
        <v>Poyatos 1</v>
      </c>
      <c r="E154" s="105"/>
      <c r="F154" s="36"/>
      <c r="G154" s="62" t="s">
        <v>291</v>
      </c>
      <c r="H154" s="62" t="s">
        <v>348</v>
      </c>
      <c r="I154" s="62" t="s">
        <v>13</v>
      </c>
      <c r="J154" s="248" t="s">
        <v>349</v>
      </c>
      <c r="K154" s="112">
        <v>43564</v>
      </c>
      <c r="L154" s="109"/>
      <c r="M154" s="107"/>
      <c r="N154" s="108">
        <f>MONTH(Tableau13[[#This Row],[Date fin intervention]])</f>
        <v>4</v>
      </c>
      <c r="O154" s="108">
        <f>YEAR(Tableau13[[#This Row],[Date fin intervention]])</f>
        <v>2019</v>
      </c>
      <c r="P154" s="36"/>
    </row>
    <row r="155" spans="1:16" ht="28.5">
      <c r="A155" s="110">
        <v>43565</v>
      </c>
      <c r="B155" s="111">
        <v>800</v>
      </c>
      <c r="C155" s="106" t="str">
        <f>IF(ISNA(VLOOKUP(Tableau13[[#This Row],[Code machine]],'CODE mchn'!$A$4:$C$170,2,0)),"",VLOOKUP(Tableau13[[#This Row],[Code machine]],'CODE mchn'!$A$4:$C$170,2,0))</f>
        <v>Béton</v>
      </c>
      <c r="D155" s="36" t="str">
        <f>IF(ISNA(VLOOKUP(Tableau13[[#This Row],[Code machine]],'CODE mchn'!$A$4:$C$170,3,0)),"",VLOOKUP(Tableau13[[#This Row],[Code machine]],'CODE mchn'!$A$4:$C$170,3,0))</f>
        <v>Poyatos 2</v>
      </c>
      <c r="E155" s="105"/>
      <c r="F155" s="36"/>
      <c r="G155" s="62" t="s">
        <v>291</v>
      </c>
      <c r="H155" s="62" t="s">
        <v>350</v>
      </c>
      <c r="I155" s="62" t="s">
        <v>107</v>
      </c>
      <c r="J155" s="248" t="s">
        <v>351</v>
      </c>
      <c r="K155" s="112">
        <v>43565</v>
      </c>
      <c r="L155" s="109"/>
      <c r="M155" s="107"/>
      <c r="N155" s="108">
        <f>MONTH(Tableau13[[#This Row],[Date fin intervention]])</f>
        <v>4</v>
      </c>
      <c r="O155" s="108">
        <f>YEAR(Tableau13[[#This Row],[Date fin intervention]])</f>
        <v>2019</v>
      </c>
      <c r="P155" s="36"/>
    </row>
    <row r="156" spans="1:16">
      <c r="A156" s="110">
        <v>43565</v>
      </c>
      <c r="B156" s="111">
        <v>700</v>
      </c>
      <c r="C156" s="106" t="str">
        <f>IF(ISNA(VLOOKUP(Tableau13[[#This Row],[Code machine]],'CODE mchn'!$A$4:$C$170,2,0)),"",VLOOKUP(Tableau13[[#This Row],[Code machine]],'CODE mchn'!$A$4:$C$170,2,0))</f>
        <v>Béton</v>
      </c>
      <c r="D156" s="36" t="str">
        <f>IF(ISNA(VLOOKUP(Tableau13[[#This Row],[Code machine]],'CODE mchn'!$A$4:$C$170,3,0)),"",VLOOKUP(Tableau13[[#This Row],[Code machine]],'CODE mchn'!$A$4:$C$170,3,0))</f>
        <v>Poyatos 1</v>
      </c>
      <c r="E156" s="105"/>
      <c r="F156" s="36"/>
      <c r="G156" s="62" t="s">
        <v>291</v>
      </c>
      <c r="H156" s="62" t="s">
        <v>352</v>
      </c>
      <c r="I156" s="62" t="s">
        <v>107</v>
      </c>
      <c r="J156" s="248" t="s">
        <v>353</v>
      </c>
      <c r="K156" s="112">
        <v>43565</v>
      </c>
      <c r="L156" s="109"/>
      <c r="M156" s="107"/>
      <c r="N156" s="108">
        <f>MONTH(Tableau13[[#This Row],[Date fin intervention]])</f>
        <v>4</v>
      </c>
      <c r="O156" s="108">
        <f>YEAR(Tableau13[[#This Row],[Date fin intervention]])</f>
        <v>2019</v>
      </c>
      <c r="P156" s="36"/>
    </row>
    <row r="157" spans="1:16" ht="42.75">
      <c r="A157" s="110">
        <v>43565</v>
      </c>
      <c r="B157" s="111">
        <v>800</v>
      </c>
      <c r="C157" s="106" t="str">
        <f>IF(ISNA(VLOOKUP(Tableau13[[#This Row],[Code machine]],'CODE mchn'!$A$4:$C$170,2,0)),"",VLOOKUP(Tableau13[[#This Row],[Code machine]],'CODE mchn'!$A$4:$C$170,2,0))</f>
        <v>Béton</v>
      </c>
      <c r="D157" s="36" t="str">
        <f>IF(ISNA(VLOOKUP(Tableau13[[#This Row],[Code machine]],'CODE mchn'!$A$4:$C$170,3,0)),"",VLOOKUP(Tableau13[[#This Row],[Code machine]],'CODE mchn'!$A$4:$C$170,3,0))</f>
        <v>Poyatos 2</v>
      </c>
      <c r="E157" s="105"/>
      <c r="F157" s="36"/>
      <c r="G157" s="62" t="s">
        <v>128</v>
      </c>
      <c r="H157" s="62" t="s">
        <v>441</v>
      </c>
      <c r="I157" s="62" t="s">
        <v>13</v>
      </c>
      <c r="J157" s="248" t="s">
        <v>442</v>
      </c>
      <c r="K157" s="112">
        <v>43626</v>
      </c>
      <c r="L157" s="109"/>
      <c r="M157" s="107" t="s">
        <v>2259</v>
      </c>
      <c r="N157" s="108">
        <f>MONTH(Tableau13[[#This Row],[Date fin intervention]])</f>
        <v>6</v>
      </c>
      <c r="O157" s="108">
        <f>YEAR(Tableau13[[#This Row],[Date fin intervention]])</f>
        <v>2019</v>
      </c>
      <c r="P157" s="36"/>
    </row>
    <row r="158" spans="1:16">
      <c r="A158" s="110">
        <v>43566</v>
      </c>
      <c r="B158" s="111">
        <v>700</v>
      </c>
      <c r="C158" s="106" t="str">
        <f>IF(ISNA(VLOOKUP(Tableau13[[#This Row],[Code machine]],'CODE mchn'!$A$4:$C$170,2,0)),"",VLOOKUP(Tableau13[[#This Row],[Code machine]],'CODE mchn'!$A$4:$C$170,2,0))</f>
        <v>Béton</v>
      </c>
      <c r="D158" s="36" t="str">
        <f>IF(ISNA(VLOOKUP(Tableau13[[#This Row],[Code machine]],'CODE mchn'!$A$4:$C$170,3,0)),"",VLOOKUP(Tableau13[[#This Row],[Code machine]],'CODE mchn'!$A$4:$C$170,3,0))</f>
        <v>Poyatos 1</v>
      </c>
      <c r="E158" s="105"/>
      <c r="F158" s="36"/>
      <c r="G158" s="62" t="s">
        <v>118</v>
      </c>
      <c r="H158" s="62" t="s">
        <v>354</v>
      </c>
      <c r="I158" s="62" t="s">
        <v>13</v>
      </c>
      <c r="J158" s="248" t="s">
        <v>355</v>
      </c>
      <c r="K158" s="112">
        <v>43566</v>
      </c>
      <c r="L158" s="109"/>
      <c r="M158" s="107"/>
      <c r="N158" s="108">
        <f>MONTH(Tableau13[[#This Row],[Date fin intervention]])</f>
        <v>4</v>
      </c>
      <c r="O158" s="108">
        <f>YEAR(Tableau13[[#This Row],[Date fin intervention]])</f>
        <v>2019</v>
      </c>
      <c r="P158" s="36"/>
    </row>
    <row r="159" spans="1:16">
      <c r="A159" s="110">
        <v>43567</v>
      </c>
      <c r="B159" s="111">
        <v>800</v>
      </c>
      <c r="C159" s="106" t="str">
        <f>IF(ISNA(VLOOKUP(Tableau13[[#This Row],[Code machine]],'CODE mchn'!$A$4:$C$170,2,0)),"",VLOOKUP(Tableau13[[#This Row],[Code machine]],'CODE mchn'!$A$4:$C$170,2,0))</f>
        <v>Béton</v>
      </c>
      <c r="D159" s="36" t="str">
        <f>IF(ISNA(VLOOKUP(Tableau13[[#This Row],[Code machine]],'CODE mchn'!$A$4:$C$170,3,0)),"",VLOOKUP(Tableau13[[#This Row],[Code machine]],'CODE mchn'!$A$4:$C$170,3,0))</f>
        <v>Poyatos 2</v>
      </c>
      <c r="E159" s="105"/>
      <c r="F159" s="36"/>
      <c r="G159" s="62" t="s">
        <v>185</v>
      </c>
      <c r="H159" s="62" t="s">
        <v>356</v>
      </c>
      <c r="I159" s="62" t="s">
        <v>13</v>
      </c>
      <c r="J159" s="248" t="s">
        <v>357</v>
      </c>
      <c r="K159" s="112">
        <v>43567</v>
      </c>
      <c r="L159" s="109"/>
      <c r="M159" s="107"/>
      <c r="N159" s="108">
        <f>MONTH(Tableau13[[#This Row],[Date fin intervention]])</f>
        <v>4</v>
      </c>
      <c r="O159" s="108">
        <f>YEAR(Tableau13[[#This Row],[Date fin intervention]])</f>
        <v>2019</v>
      </c>
      <c r="P159" s="36"/>
    </row>
    <row r="160" spans="1:16">
      <c r="A160" s="110">
        <v>43567</v>
      </c>
      <c r="B160" s="111">
        <v>700</v>
      </c>
      <c r="C160" s="106" t="str">
        <f>IF(ISNA(VLOOKUP(Tableau13[[#This Row],[Code machine]],'CODE mchn'!$A$4:$C$170,2,0)),"",VLOOKUP(Tableau13[[#This Row],[Code machine]],'CODE mchn'!$A$4:$C$170,2,0))</f>
        <v>Béton</v>
      </c>
      <c r="D160" s="36" t="str">
        <f>IF(ISNA(VLOOKUP(Tableau13[[#This Row],[Code machine]],'CODE mchn'!$A$4:$C$170,3,0)),"",VLOOKUP(Tableau13[[#This Row],[Code machine]],'CODE mchn'!$A$4:$C$170,3,0))</f>
        <v>Poyatos 1</v>
      </c>
      <c r="E160" s="105"/>
      <c r="F160" s="36"/>
      <c r="G160" s="62" t="s">
        <v>128</v>
      </c>
      <c r="H160" s="62" t="s">
        <v>358</v>
      </c>
      <c r="I160" s="62" t="s">
        <v>13</v>
      </c>
      <c r="J160" s="248" t="s">
        <v>359</v>
      </c>
      <c r="K160" s="112">
        <v>43567</v>
      </c>
      <c r="L160" s="109"/>
      <c r="M160" s="107"/>
      <c r="N160" s="108">
        <f>MONTH(Tableau13[[#This Row],[Date fin intervention]])</f>
        <v>4</v>
      </c>
      <c r="O160" s="108">
        <f>YEAR(Tableau13[[#This Row],[Date fin intervention]])</f>
        <v>2019</v>
      </c>
      <c r="P160" s="36"/>
    </row>
    <row r="161" spans="1:16">
      <c r="A161" s="110">
        <v>43567</v>
      </c>
      <c r="B161" s="111">
        <v>560</v>
      </c>
      <c r="C161" s="106" t="str">
        <f>IF(ISNA(VLOOKUP(Tableau13[[#This Row],[Code machine]],'CODE mchn'!$A$4:$C$170,2,0)),"",VLOOKUP(Tableau13[[#This Row],[Code machine]],'CODE mchn'!$A$4:$C$170,2,0))</f>
        <v>Acier</v>
      </c>
      <c r="D161" s="36" t="str">
        <f>IF(ISNA(VLOOKUP(Tableau13[[#This Row],[Code machine]],'CODE mchn'!$A$4:$C$170,3,0)),"",VLOOKUP(Tableau13[[#This Row],[Code machine]],'CODE mchn'!$A$4:$C$170,3,0))</f>
        <v>Schlatter</v>
      </c>
      <c r="E161" s="105"/>
      <c r="F161" s="36"/>
      <c r="G161" s="63" t="s">
        <v>104</v>
      </c>
      <c r="H161" s="63" t="s">
        <v>850</v>
      </c>
      <c r="I161" s="63" t="s">
        <v>13</v>
      </c>
      <c r="J161" s="117" t="s">
        <v>518</v>
      </c>
      <c r="K161" s="112">
        <v>43567</v>
      </c>
      <c r="L161" s="109"/>
      <c r="M161" s="107"/>
      <c r="N161" s="108">
        <f>MONTH(Tableau13[[#This Row],[Date fin intervention]])</f>
        <v>4</v>
      </c>
      <c r="O161" s="108">
        <f>YEAR(Tableau13[[#This Row],[Date fin intervention]])</f>
        <v>2019</v>
      </c>
      <c r="P161" s="36"/>
    </row>
    <row r="162" spans="1:16" ht="42.75">
      <c r="A162" s="110">
        <v>43568</v>
      </c>
      <c r="B162" s="111">
        <v>700</v>
      </c>
      <c r="C162" s="106" t="str">
        <f>IF(ISNA(VLOOKUP(Tableau13[[#This Row],[Code machine]],'CODE mchn'!$A$4:$C$170,2,0)),"",VLOOKUP(Tableau13[[#This Row],[Code machine]],'CODE mchn'!$A$4:$C$170,2,0))</f>
        <v>Béton</v>
      </c>
      <c r="D162" s="36" t="str">
        <f>IF(ISNA(VLOOKUP(Tableau13[[#This Row],[Code machine]],'CODE mchn'!$A$4:$C$170,3,0)),"",VLOOKUP(Tableau13[[#This Row],[Code machine]],'CODE mchn'!$A$4:$C$170,3,0))</f>
        <v>Poyatos 1</v>
      </c>
      <c r="E162" s="105"/>
      <c r="F162" s="36"/>
      <c r="G162" s="62" t="s">
        <v>360</v>
      </c>
      <c r="H162" s="62" t="s">
        <v>362</v>
      </c>
      <c r="I162" s="62" t="s">
        <v>107</v>
      </c>
      <c r="J162" s="248" t="s">
        <v>361</v>
      </c>
      <c r="K162" s="112">
        <v>43570</v>
      </c>
      <c r="L162" s="109"/>
      <c r="M162" s="107" t="s">
        <v>2259</v>
      </c>
      <c r="N162" s="108">
        <f>MONTH(Tableau13[[#This Row],[Date fin intervention]])</f>
        <v>4</v>
      </c>
      <c r="O162" s="108">
        <f>YEAR(Tableau13[[#This Row],[Date fin intervention]])</f>
        <v>2019</v>
      </c>
      <c r="P162" s="36"/>
    </row>
    <row r="163" spans="1:16">
      <c r="A163" s="110">
        <v>43568</v>
      </c>
      <c r="B163" s="111">
        <v>700</v>
      </c>
      <c r="C163" s="106" t="str">
        <f>IF(ISNA(VLOOKUP(Tableau13[[#This Row],[Code machine]],'CODE mchn'!$A$4:$C$170,2,0)),"",VLOOKUP(Tableau13[[#This Row],[Code machine]],'CODE mchn'!$A$4:$C$170,2,0))</f>
        <v>Béton</v>
      </c>
      <c r="D163" s="36" t="str">
        <f>IF(ISNA(VLOOKUP(Tableau13[[#This Row],[Code machine]],'CODE mchn'!$A$4:$C$170,3,0)),"",VLOOKUP(Tableau13[[#This Row],[Code machine]],'CODE mchn'!$A$4:$C$170,3,0))</f>
        <v>Poyatos 1</v>
      </c>
      <c r="E163" s="105"/>
      <c r="F163" s="36"/>
      <c r="G163" s="62" t="s">
        <v>291</v>
      </c>
      <c r="H163" s="62" t="s">
        <v>363</v>
      </c>
      <c r="I163" s="62" t="s">
        <v>107</v>
      </c>
      <c r="J163" s="248" t="s">
        <v>364</v>
      </c>
      <c r="K163" s="112">
        <v>43568</v>
      </c>
      <c r="L163" s="109"/>
      <c r="M163" s="107"/>
      <c r="N163" s="108">
        <f>MONTH(Tableau13[[#This Row],[Date fin intervention]])</f>
        <v>4</v>
      </c>
      <c r="O163" s="108">
        <f>YEAR(Tableau13[[#This Row],[Date fin intervention]])</f>
        <v>2019</v>
      </c>
      <c r="P163" s="36"/>
    </row>
    <row r="164" spans="1:16">
      <c r="A164" s="110">
        <v>43570</v>
      </c>
      <c r="B164" s="111">
        <v>800</v>
      </c>
      <c r="C164" s="106" t="str">
        <f>IF(ISNA(VLOOKUP(Tableau13[[#This Row],[Code machine]],'CODE mchn'!$A$4:$C$170,2,0)),"",VLOOKUP(Tableau13[[#This Row],[Code machine]],'CODE mchn'!$A$4:$C$170,2,0))</f>
        <v>Béton</v>
      </c>
      <c r="D164" s="36" t="str">
        <f>IF(ISNA(VLOOKUP(Tableau13[[#This Row],[Code machine]],'CODE mchn'!$A$4:$C$170,3,0)),"",VLOOKUP(Tableau13[[#This Row],[Code machine]],'CODE mchn'!$A$4:$C$170,3,0))</f>
        <v>Poyatos 2</v>
      </c>
      <c r="E164" s="105"/>
      <c r="F164" s="36"/>
      <c r="G164" s="62" t="s">
        <v>365</v>
      </c>
      <c r="H164" s="62" t="s">
        <v>366</v>
      </c>
      <c r="I164" s="62" t="s">
        <v>107</v>
      </c>
      <c r="J164" s="248" t="s">
        <v>367</v>
      </c>
      <c r="K164" s="112">
        <v>43570</v>
      </c>
      <c r="L164" s="109"/>
      <c r="M164" s="107"/>
      <c r="N164" s="108">
        <f>MONTH(Tableau13[[#This Row],[Date fin intervention]])</f>
        <v>4</v>
      </c>
      <c r="O164" s="108">
        <f>YEAR(Tableau13[[#This Row],[Date fin intervention]])</f>
        <v>2019</v>
      </c>
      <c r="P164" s="36"/>
    </row>
    <row r="165" spans="1:16">
      <c r="A165" s="110">
        <v>43570</v>
      </c>
      <c r="B165" s="111">
        <v>560</v>
      </c>
      <c r="C165" s="106" t="str">
        <f>IF(ISNA(VLOOKUP(Tableau13[[#This Row],[Code machine]],'CODE mchn'!$A$4:$C$170,2,0)),"",VLOOKUP(Tableau13[[#This Row],[Code machine]],'CODE mchn'!$A$4:$C$170,2,0))</f>
        <v>Acier</v>
      </c>
      <c r="D165" s="36" t="str">
        <f>IF(ISNA(VLOOKUP(Tableau13[[#This Row],[Code machine]],'CODE mchn'!$A$4:$C$170,3,0)),"",VLOOKUP(Tableau13[[#This Row],[Code machine]],'CODE mchn'!$A$4:$C$170,3,0))</f>
        <v>Schlatter</v>
      </c>
      <c r="E165" s="105"/>
      <c r="F165" s="36"/>
      <c r="G165" s="63" t="s">
        <v>104</v>
      </c>
      <c r="H165" s="63" t="s">
        <v>850</v>
      </c>
      <c r="I165" s="63" t="s">
        <v>13</v>
      </c>
      <c r="J165" s="117" t="s">
        <v>748</v>
      </c>
      <c r="K165" s="112">
        <v>43570</v>
      </c>
      <c r="L165" s="109"/>
      <c r="M165" s="107"/>
      <c r="N165" s="108">
        <f>MONTH(Tableau13[[#This Row],[Date fin intervention]])</f>
        <v>4</v>
      </c>
      <c r="O165" s="108">
        <f>YEAR(Tableau13[[#This Row],[Date fin intervention]])</f>
        <v>2019</v>
      </c>
      <c r="P165" s="36"/>
    </row>
    <row r="166" spans="1:16">
      <c r="A166" s="110">
        <v>43572</v>
      </c>
      <c r="B166" s="111">
        <v>800</v>
      </c>
      <c r="C166" s="106" t="str">
        <f>IF(ISNA(VLOOKUP(Tableau13[[#This Row],[Code machine]],'CODE mchn'!$A$4:$C$170,2,0)),"",VLOOKUP(Tableau13[[#This Row],[Code machine]],'CODE mchn'!$A$4:$C$170,2,0))</f>
        <v>Béton</v>
      </c>
      <c r="D166" s="36" t="str">
        <f>IF(ISNA(VLOOKUP(Tableau13[[#This Row],[Code machine]],'CODE mchn'!$A$4:$C$170,3,0)),"",VLOOKUP(Tableau13[[#This Row],[Code machine]],'CODE mchn'!$A$4:$C$170,3,0))</f>
        <v>Poyatos 2</v>
      </c>
      <c r="E166" s="105"/>
      <c r="F166" s="36"/>
      <c r="G166" s="62" t="s">
        <v>185</v>
      </c>
      <c r="H166" s="62" t="s">
        <v>368</v>
      </c>
      <c r="I166" s="62" t="s">
        <v>13</v>
      </c>
      <c r="J166" s="248" t="s">
        <v>369</v>
      </c>
      <c r="K166" s="112">
        <v>43572</v>
      </c>
      <c r="L166" s="109"/>
      <c r="M166" s="107"/>
      <c r="N166" s="108">
        <f>MONTH(Tableau13[[#This Row],[Date fin intervention]])</f>
        <v>4</v>
      </c>
      <c r="O166" s="108">
        <f>YEAR(Tableau13[[#This Row],[Date fin intervention]])</f>
        <v>2019</v>
      </c>
      <c r="P166" s="36"/>
    </row>
    <row r="167" spans="1:16" ht="42.75">
      <c r="A167" s="110">
        <v>43574</v>
      </c>
      <c r="B167" s="111">
        <v>700</v>
      </c>
      <c r="C167" s="106" t="str">
        <f>IF(ISNA(VLOOKUP(Tableau13[[#This Row],[Code machine]],'CODE mchn'!$A$4:$C$170,2,0)),"",VLOOKUP(Tableau13[[#This Row],[Code machine]],'CODE mchn'!$A$4:$C$170,2,0))</f>
        <v>Béton</v>
      </c>
      <c r="D167" s="36" t="str">
        <f>IF(ISNA(VLOOKUP(Tableau13[[#This Row],[Code machine]],'CODE mchn'!$A$4:$C$170,3,0)),"",VLOOKUP(Tableau13[[#This Row],[Code machine]],'CODE mchn'!$A$4:$C$170,3,0))</f>
        <v>Poyatos 1</v>
      </c>
      <c r="E167" s="105"/>
      <c r="F167" s="36"/>
      <c r="G167" s="62" t="s">
        <v>46</v>
      </c>
      <c r="H167" s="62" t="s">
        <v>370</v>
      </c>
      <c r="I167" s="62" t="s">
        <v>13</v>
      </c>
      <c r="J167" s="248" t="s">
        <v>371</v>
      </c>
      <c r="K167" s="112">
        <v>43575</v>
      </c>
      <c r="L167" s="109"/>
      <c r="M167" s="107" t="s">
        <v>2259</v>
      </c>
      <c r="N167" s="108">
        <f>MONTH(Tableau13[[#This Row],[Date fin intervention]])</f>
        <v>4</v>
      </c>
      <c r="O167" s="108">
        <f>YEAR(Tableau13[[#This Row],[Date fin intervention]])</f>
        <v>2019</v>
      </c>
      <c r="P167" s="36"/>
    </row>
    <row r="168" spans="1:16">
      <c r="A168" s="110">
        <v>43574</v>
      </c>
      <c r="B168" s="111">
        <v>700</v>
      </c>
      <c r="C168" s="106" t="str">
        <f>IF(ISNA(VLOOKUP(Tableau13[[#This Row],[Code machine]],'CODE mchn'!$A$4:$C$170,2,0)),"",VLOOKUP(Tableau13[[#This Row],[Code machine]],'CODE mchn'!$A$4:$C$170,2,0))</f>
        <v>Béton</v>
      </c>
      <c r="D168" s="36" t="str">
        <f>IF(ISNA(VLOOKUP(Tableau13[[#This Row],[Code machine]],'CODE mchn'!$A$4:$C$170,3,0)),"",VLOOKUP(Tableau13[[#This Row],[Code machine]],'CODE mchn'!$A$4:$C$170,3,0))</f>
        <v>Poyatos 1</v>
      </c>
      <c r="E168" s="105"/>
      <c r="F168" s="36"/>
      <c r="G168" s="62" t="s">
        <v>375</v>
      </c>
      <c r="H168" s="62" t="s">
        <v>376</v>
      </c>
      <c r="I168" s="62" t="s">
        <v>13</v>
      </c>
      <c r="J168" s="248" t="s">
        <v>377</v>
      </c>
      <c r="K168" s="112">
        <v>43574</v>
      </c>
      <c r="L168" s="109"/>
      <c r="M168" s="107"/>
      <c r="N168" s="108">
        <f>MONTH(Tableau13[[#This Row],[Date fin intervention]])</f>
        <v>4</v>
      </c>
      <c r="O168" s="108">
        <f>YEAR(Tableau13[[#This Row],[Date fin intervention]])</f>
        <v>2019</v>
      </c>
      <c r="P168" s="36"/>
    </row>
    <row r="169" spans="1:16">
      <c r="A169" s="110">
        <v>43577</v>
      </c>
      <c r="B169" s="111">
        <v>700</v>
      </c>
      <c r="C169" s="106" t="str">
        <f>IF(ISNA(VLOOKUP(Tableau13[[#This Row],[Code machine]],'CODE mchn'!$A$4:$C$170,2,0)),"",VLOOKUP(Tableau13[[#This Row],[Code machine]],'CODE mchn'!$A$4:$C$170,2,0))</f>
        <v>Béton</v>
      </c>
      <c r="D169" s="36" t="str">
        <f>IF(ISNA(VLOOKUP(Tableau13[[#This Row],[Code machine]],'CODE mchn'!$A$4:$C$170,3,0)),"",VLOOKUP(Tableau13[[#This Row],[Code machine]],'CODE mchn'!$A$4:$C$170,3,0))</f>
        <v>Poyatos 1</v>
      </c>
      <c r="E169" s="105"/>
      <c r="F169" s="36"/>
      <c r="G169" s="62" t="s">
        <v>360</v>
      </c>
      <c r="H169" s="62" t="s">
        <v>362</v>
      </c>
      <c r="I169" s="62" t="s">
        <v>13</v>
      </c>
      <c r="J169" s="248" t="s">
        <v>372</v>
      </c>
      <c r="K169" s="112">
        <v>43577</v>
      </c>
      <c r="L169" s="109"/>
      <c r="M169" s="107"/>
      <c r="N169" s="108">
        <f>MONTH(Tableau13[[#This Row],[Date fin intervention]])</f>
        <v>4</v>
      </c>
      <c r="O169" s="108">
        <f>YEAR(Tableau13[[#This Row],[Date fin intervention]])</f>
        <v>2019</v>
      </c>
      <c r="P169" s="36"/>
    </row>
    <row r="170" spans="1:16">
      <c r="A170" s="110">
        <v>43577</v>
      </c>
      <c r="B170" s="111">
        <v>700</v>
      </c>
      <c r="C170" s="106" t="str">
        <f>IF(ISNA(VLOOKUP(Tableau13[[#This Row],[Code machine]],'CODE mchn'!$A$4:$C$170,2,0)),"",VLOOKUP(Tableau13[[#This Row],[Code machine]],'CODE mchn'!$A$4:$C$170,2,0))</f>
        <v>Béton</v>
      </c>
      <c r="D170" s="36" t="str">
        <f>IF(ISNA(VLOOKUP(Tableau13[[#This Row],[Code machine]],'CODE mchn'!$A$4:$C$170,3,0)),"",VLOOKUP(Tableau13[[#This Row],[Code machine]],'CODE mchn'!$A$4:$C$170,3,0))</f>
        <v>Poyatos 1</v>
      </c>
      <c r="E170" s="105"/>
      <c r="F170" s="36"/>
      <c r="G170" s="62" t="s">
        <v>291</v>
      </c>
      <c r="H170" s="62" t="s">
        <v>373</v>
      </c>
      <c r="I170" s="62" t="s">
        <v>13</v>
      </c>
      <c r="J170" s="248" t="s">
        <v>374</v>
      </c>
      <c r="K170" s="112">
        <v>43577</v>
      </c>
      <c r="L170" s="109"/>
      <c r="M170" s="107"/>
      <c r="N170" s="108">
        <f>MONTH(Tableau13[[#This Row],[Date fin intervention]])</f>
        <v>4</v>
      </c>
      <c r="O170" s="108">
        <f>YEAR(Tableau13[[#This Row],[Date fin intervention]])</f>
        <v>2019</v>
      </c>
      <c r="P170" s="36"/>
    </row>
    <row r="171" spans="1:16">
      <c r="A171" s="110">
        <v>43579</v>
      </c>
      <c r="B171" s="111">
        <v>533</v>
      </c>
      <c r="C171" s="106" t="str">
        <f>IF(ISNA(VLOOKUP(Tableau13[[#This Row],[Code machine]],'CODE mchn'!$A$4:$C$170,2,0)),"",VLOOKUP(Tableau13[[#This Row],[Code machine]],'CODE mchn'!$A$4:$C$170,2,0))</f>
        <v>Enrobage</v>
      </c>
      <c r="D171" s="36" t="str">
        <f>IF(ISNA(VLOOKUP(Tableau13[[#This Row],[Code machine]],'CODE mchn'!$A$4:$C$170,3,0)),"",VLOOKUP(Tableau13[[#This Row],[Code machine]],'CODE mchn'!$A$4:$C$170,3,0))</f>
        <v>CAROSSEL</v>
      </c>
      <c r="E171" s="105"/>
      <c r="F171" s="36"/>
      <c r="G171" s="62" t="s">
        <v>378</v>
      </c>
      <c r="H171" s="62" t="s">
        <v>379</v>
      </c>
      <c r="I171" s="62" t="s">
        <v>107</v>
      </c>
      <c r="J171" s="248" t="s">
        <v>380</v>
      </c>
      <c r="K171" s="112">
        <v>43579</v>
      </c>
      <c r="L171" s="109"/>
      <c r="M171" s="107"/>
      <c r="N171" s="108">
        <f>MONTH(Tableau13[[#This Row],[Date fin intervention]])</f>
        <v>4</v>
      </c>
      <c r="O171" s="108">
        <f>YEAR(Tableau13[[#This Row],[Date fin intervention]])</f>
        <v>2019</v>
      </c>
      <c r="P171" s="36"/>
    </row>
    <row r="172" spans="1:16">
      <c r="A172" s="110">
        <v>43579</v>
      </c>
      <c r="B172" s="111">
        <v>800</v>
      </c>
      <c r="C172" s="106" t="str">
        <f>IF(ISNA(VLOOKUP(Tableau13[[#This Row],[Code machine]],'CODE mchn'!$A$4:$C$170,2,0)),"",VLOOKUP(Tableau13[[#This Row],[Code machine]],'CODE mchn'!$A$4:$C$170,2,0))</f>
        <v>Béton</v>
      </c>
      <c r="D172" s="36" t="str">
        <f>IF(ISNA(VLOOKUP(Tableau13[[#This Row],[Code machine]],'CODE mchn'!$A$4:$C$170,3,0)),"",VLOOKUP(Tableau13[[#This Row],[Code machine]],'CODE mchn'!$A$4:$C$170,3,0))</f>
        <v>Poyatos 2</v>
      </c>
      <c r="E172" s="105"/>
      <c r="F172" s="36"/>
      <c r="G172" s="62" t="s">
        <v>118</v>
      </c>
      <c r="H172" s="62" t="s">
        <v>379</v>
      </c>
      <c r="I172" s="62" t="s">
        <v>107</v>
      </c>
      <c r="J172" s="248" t="s">
        <v>119</v>
      </c>
      <c r="K172" s="112">
        <v>43579</v>
      </c>
      <c r="L172" s="109"/>
      <c r="M172" s="107"/>
      <c r="N172" s="108">
        <f>MONTH(Tableau13[[#This Row],[Date fin intervention]])</f>
        <v>4</v>
      </c>
      <c r="O172" s="108">
        <f>YEAR(Tableau13[[#This Row],[Date fin intervention]])</f>
        <v>2019</v>
      </c>
      <c r="P172" s="36"/>
    </row>
    <row r="173" spans="1:16" ht="42.75">
      <c r="A173" s="110">
        <v>43579</v>
      </c>
      <c r="B173" s="111">
        <v>565</v>
      </c>
      <c r="C173" s="106" t="str">
        <f>IF(ISNA(VLOOKUP(Tableau13[[#This Row],[Code machine]],'CODE mchn'!$A$4:$C$170,2,0)),"",VLOOKUP(Tableau13[[#This Row],[Code machine]],'CODE mchn'!$A$4:$C$170,2,0))</f>
        <v>Acier</v>
      </c>
      <c r="D173" s="36" t="str">
        <f>IF(ISNA(VLOOKUP(Tableau13[[#This Row],[Code machine]],'CODE mchn'!$A$4:$C$170,3,0)),"",VLOOKUP(Tableau13[[#This Row],[Code machine]],'CODE mchn'!$A$4:$C$170,3,0))</f>
        <v>EVG GE12</v>
      </c>
      <c r="E173" s="105"/>
      <c r="F173" s="36"/>
      <c r="G173" s="62" t="s">
        <v>478</v>
      </c>
      <c r="H173" s="62" t="s">
        <v>479</v>
      </c>
      <c r="I173" s="62" t="s">
        <v>13</v>
      </c>
      <c r="J173" s="248" t="s">
        <v>480</v>
      </c>
      <c r="K173" s="112">
        <v>43602</v>
      </c>
      <c r="L173" s="109"/>
      <c r="M173" s="107" t="s">
        <v>2259</v>
      </c>
      <c r="N173" s="108">
        <f>MONTH(Tableau13[[#This Row],[Date fin intervention]])</f>
        <v>5</v>
      </c>
      <c r="O173" s="108">
        <f>YEAR(Tableau13[[#This Row],[Date fin intervention]])</f>
        <v>2019</v>
      </c>
      <c r="P173" s="36"/>
    </row>
    <row r="174" spans="1:16" ht="42.75">
      <c r="A174" s="110">
        <v>43581</v>
      </c>
      <c r="B174" s="111">
        <v>582</v>
      </c>
      <c r="C174" s="106" t="str">
        <f>IF(ISNA(VLOOKUP(Tableau13[[#This Row],[Code machine]],'CODE mchn'!$A$4:$C$170,2,0)),"",VLOOKUP(Tableau13[[#This Row],[Code machine]],'CODE mchn'!$A$4:$C$170,2,0))</f>
        <v>Acier</v>
      </c>
      <c r="D174" s="36" t="str">
        <f>IF(ISNA(VLOOKUP(Tableau13[[#This Row],[Code machine]],'CODE mchn'!$A$4:$C$170,3,0)),"",VLOOKUP(Tableau13[[#This Row],[Code machine]],'CODE mchn'!$A$4:$C$170,3,0))</f>
        <v>Teurema 2</v>
      </c>
      <c r="E174" s="105"/>
      <c r="F174" s="36"/>
      <c r="G174" s="62" t="s">
        <v>532</v>
      </c>
      <c r="H174" s="62" t="s">
        <v>514</v>
      </c>
      <c r="I174" s="62" t="s">
        <v>13</v>
      </c>
      <c r="J174" s="248" t="s">
        <v>515</v>
      </c>
      <c r="K174" s="112">
        <v>43633</v>
      </c>
      <c r="L174" s="62" t="s">
        <v>516</v>
      </c>
      <c r="M174" s="107" t="s">
        <v>2259</v>
      </c>
      <c r="N174" s="108">
        <f>MONTH(Tableau13[[#This Row],[Date fin intervention]])</f>
        <v>6</v>
      </c>
      <c r="O174" s="108">
        <f>YEAR(Tableau13[[#This Row],[Date fin intervention]])</f>
        <v>2019</v>
      </c>
      <c r="P174" s="36"/>
    </row>
    <row r="175" spans="1:16">
      <c r="A175" s="110">
        <v>43586</v>
      </c>
      <c r="B175" s="111">
        <v>700</v>
      </c>
      <c r="C175" s="106" t="str">
        <f>IF(ISNA(VLOOKUP(Tableau13[[#This Row],[Code machine]],'CODE mchn'!$A$4:$C$170,2,0)),"",VLOOKUP(Tableau13[[#This Row],[Code machine]],'CODE mchn'!$A$4:$C$170,2,0))</f>
        <v>Béton</v>
      </c>
      <c r="D175" s="36" t="str">
        <f>IF(ISNA(VLOOKUP(Tableau13[[#This Row],[Code machine]],'CODE mchn'!$A$4:$C$170,3,0)),"",VLOOKUP(Tableau13[[#This Row],[Code machine]],'CODE mchn'!$A$4:$C$170,3,0))</f>
        <v>Poyatos 1</v>
      </c>
      <c r="E175" s="105"/>
      <c r="F175" s="36"/>
      <c r="G175" s="62" t="s">
        <v>213</v>
      </c>
      <c r="H175" s="62" t="s">
        <v>381</v>
      </c>
      <c r="I175" s="62" t="s">
        <v>13</v>
      </c>
      <c r="J175" s="248" t="s">
        <v>382</v>
      </c>
      <c r="K175" s="112">
        <v>43586</v>
      </c>
      <c r="L175" s="109"/>
      <c r="M175" s="107"/>
      <c r="N175" s="108">
        <f>MONTH(Tableau13[[#This Row],[Date fin intervention]])</f>
        <v>5</v>
      </c>
      <c r="O175" s="108">
        <f>YEAR(Tableau13[[#This Row],[Date fin intervention]])</f>
        <v>2019</v>
      </c>
      <c r="P175" s="36"/>
    </row>
    <row r="176" spans="1:16">
      <c r="A176" s="110">
        <v>43587</v>
      </c>
      <c r="B176" s="111">
        <v>800</v>
      </c>
      <c r="C176" s="106" t="str">
        <f>IF(ISNA(VLOOKUP(Tableau13[[#This Row],[Code machine]],'CODE mchn'!$A$4:$C$170,2,0)),"",VLOOKUP(Tableau13[[#This Row],[Code machine]],'CODE mchn'!$A$4:$C$170,2,0))</f>
        <v>Béton</v>
      </c>
      <c r="D176" s="36" t="str">
        <f>IF(ISNA(VLOOKUP(Tableau13[[#This Row],[Code machine]],'CODE mchn'!$A$4:$C$170,3,0)),"",VLOOKUP(Tableau13[[#This Row],[Code machine]],'CODE mchn'!$A$4:$C$170,3,0))</f>
        <v>Poyatos 2</v>
      </c>
      <c r="E176" s="105"/>
      <c r="F176" s="36"/>
      <c r="G176" s="62" t="s">
        <v>185</v>
      </c>
      <c r="H176" s="62" t="s">
        <v>383</v>
      </c>
      <c r="I176" s="62" t="s">
        <v>13</v>
      </c>
      <c r="J176" s="248" t="s">
        <v>384</v>
      </c>
      <c r="K176" s="112">
        <v>43587</v>
      </c>
      <c r="L176" s="109"/>
      <c r="M176" s="107"/>
      <c r="N176" s="108">
        <f>MONTH(Tableau13[[#This Row],[Date fin intervention]])</f>
        <v>5</v>
      </c>
      <c r="O176" s="108">
        <f>YEAR(Tableau13[[#This Row],[Date fin intervention]])</f>
        <v>2019</v>
      </c>
      <c r="P176" s="36"/>
    </row>
    <row r="177" spans="1:16" ht="42.75">
      <c r="A177" s="110">
        <v>43587</v>
      </c>
      <c r="B177" s="111">
        <v>582</v>
      </c>
      <c r="C177" s="106" t="str">
        <f>IF(ISNA(VLOOKUP(Tableau13[[#This Row],[Code machine]],'CODE mchn'!$A$4:$C$170,2,0)),"",VLOOKUP(Tableau13[[#This Row],[Code machine]],'CODE mchn'!$A$4:$C$170,2,0))</f>
        <v>Acier</v>
      </c>
      <c r="D177" s="36" t="str">
        <f>IF(ISNA(VLOOKUP(Tableau13[[#This Row],[Code machine]],'CODE mchn'!$A$4:$C$170,3,0)),"",VLOOKUP(Tableau13[[#This Row],[Code machine]],'CODE mchn'!$A$4:$C$170,3,0))</f>
        <v>Teurema 2</v>
      </c>
      <c r="E177" s="105"/>
      <c r="F177" s="36"/>
      <c r="G177" s="62" t="s">
        <v>443</v>
      </c>
      <c r="H177" s="62" t="s">
        <v>444</v>
      </c>
      <c r="I177" s="62" t="s">
        <v>13</v>
      </c>
      <c r="J177" s="248" t="s">
        <v>445</v>
      </c>
      <c r="K177" s="112">
        <v>43589</v>
      </c>
      <c r="L177" s="109"/>
      <c r="M177" s="107" t="s">
        <v>2259</v>
      </c>
      <c r="N177" s="108">
        <f>MONTH(Tableau13[[#This Row],[Date fin intervention]])</f>
        <v>5</v>
      </c>
      <c r="O177" s="108">
        <f>YEAR(Tableau13[[#This Row],[Date fin intervention]])</f>
        <v>2019</v>
      </c>
      <c r="P177" s="36"/>
    </row>
    <row r="178" spans="1:16" ht="28.5">
      <c r="A178" s="110">
        <v>43587</v>
      </c>
      <c r="B178" s="111">
        <v>581</v>
      </c>
      <c r="C178" s="106" t="str">
        <f>IF(ISNA(VLOOKUP(Tableau13[[#This Row],[Code machine]],'CODE mchn'!$A$4:$C$170,2,0)),"",VLOOKUP(Tableau13[[#This Row],[Code machine]],'CODE mchn'!$A$4:$C$170,2,0))</f>
        <v>Acier</v>
      </c>
      <c r="D178" s="36" t="str">
        <f>IF(ISNA(VLOOKUP(Tableau13[[#This Row],[Code machine]],'CODE mchn'!$A$4:$C$170,3,0)),"",VLOOKUP(Tableau13[[#This Row],[Code machine]],'CODE mchn'!$A$4:$C$170,3,0))</f>
        <v>Teurema 1</v>
      </c>
      <c r="E178" s="105"/>
      <c r="F178" s="36"/>
      <c r="G178" s="62" t="s">
        <v>446</v>
      </c>
      <c r="H178" s="62" t="s">
        <v>447</v>
      </c>
      <c r="I178" s="62" t="s">
        <v>13</v>
      </c>
      <c r="J178" s="248" t="s">
        <v>448</v>
      </c>
      <c r="K178" s="112">
        <v>43587</v>
      </c>
      <c r="L178" s="109"/>
      <c r="M178" s="107"/>
      <c r="N178" s="108">
        <f>MONTH(Tableau13[[#This Row],[Date fin intervention]])</f>
        <v>5</v>
      </c>
      <c r="O178" s="108">
        <f>YEAR(Tableau13[[#This Row],[Date fin intervention]])</f>
        <v>2019</v>
      </c>
      <c r="P178" s="36"/>
    </row>
    <row r="179" spans="1:16">
      <c r="A179" s="110">
        <v>43587</v>
      </c>
      <c r="B179" s="111">
        <v>581</v>
      </c>
      <c r="C179" s="106" t="str">
        <f>IF(ISNA(VLOOKUP(Tableau13[[#This Row],[Code machine]],'CODE mchn'!$A$4:$C$170,2,0)),"",VLOOKUP(Tableau13[[#This Row],[Code machine]],'CODE mchn'!$A$4:$C$170,2,0))</f>
        <v>Acier</v>
      </c>
      <c r="D179" s="36" t="str">
        <f>IF(ISNA(VLOOKUP(Tableau13[[#This Row],[Code machine]],'CODE mchn'!$A$4:$C$170,3,0)),"",VLOOKUP(Tableau13[[#This Row],[Code machine]],'CODE mchn'!$A$4:$C$170,3,0))</f>
        <v>Teurema 1</v>
      </c>
      <c r="E179" s="105"/>
      <c r="F179" s="36"/>
      <c r="G179" s="62" t="s">
        <v>274</v>
      </c>
      <c r="H179" s="62" t="s">
        <v>449</v>
      </c>
      <c r="I179" s="62" t="s">
        <v>13</v>
      </c>
      <c r="J179" s="248" t="s">
        <v>450</v>
      </c>
      <c r="K179" s="112">
        <v>43587</v>
      </c>
      <c r="L179" s="109"/>
      <c r="M179" s="107"/>
      <c r="N179" s="108">
        <f>MONTH(Tableau13[[#This Row],[Date fin intervention]])</f>
        <v>5</v>
      </c>
      <c r="O179" s="108">
        <f>YEAR(Tableau13[[#This Row],[Date fin intervention]])</f>
        <v>2019</v>
      </c>
      <c r="P179" s="36"/>
    </row>
    <row r="180" spans="1:16">
      <c r="A180" s="110">
        <v>43588</v>
      </c>
      <c r="B180" s="111">
        <v>700</v>
      </c>
      <c r="C180" s="106" t="str">
        <f>IF(ISNA(VLOOKUP(Tableau13[[#This Row],[Code machine]],'CODE mchn'!$A$4:$C$170,2,0)),"",VLOOKUP(Tableau13[[#This Row],[Code machine]],'CODE mchn'!$A$4:$C$170,2,0))</f>
        <v>Béton</v>
      </c>
      <c r="D180" s="36" t="str">
        <f>IF(ISNA(VLOOKUP(Tableau13[[#This Row],[Code machine]],'CODE mchn'!$A$4:$C$170,3,0)),"",VLOOKUP(Tableau13[[#This Row],[Code machine]],'CODE mchn'!$A$4:$C$170,3,0))</f>
        <v>Poyatos 1</v>
      </c>
      <c r="E180" s="105"/>
      <c r="F180" s="36"/>
      <c r="G180" s="62" t="s">
        <v>118</v>
      </c>
      <c r="H180" s="62" t="s">
        <v>379</v>
      </c>
      <c r="I180" s="62" t="s">
        <v>13</v>
      </c>
      <c r="J180" s="248" t="s">
        <v>119</v>
      </c>
      <c r="K180" s="112">
        <v>43588</v>
      </c>
      <c r="L180" s="109"/>
      <c r="M180" s="107"/>
      <c r="N180" s="108">
        <f>MONTH(Tableau13[[#This Row],[Date fin intervention]])</f>
        <v>5</v>
      </c>
      <c r="O180" s="108">
        <f>YEAR(Tableau13[[#This Row],[Date fin intervention]])</f>
        <v>2019</v>
      </c>
      <c r="P180" s="36"/>
    </row>
    <row r="181" spans="1:16">
      <c r="A181" s="110">
        <v>43588</v>
      </c>
      <c r="B181" s="111">
        <v>560</v>
      </c>
      <c r="C181" s="106" t="str">
        <f>IF(ISNA(VLOOKUP(Tableau13[[#This Row],[Code machine]],'CODE mchn'!$A$4:$C$170,2,0)),"",VLOOKUP(Tableau13[[#This Row],[Code machine]],'CODE mchn'!$A$4:$C$170,2,0))</f>
        <v>Acier</v>
      </c>
      <c r="D181" s="36" t="str">
        <f>IF(ISNA(VLOOKUP(Tableau13[[#This Row],[Code machine]],'CODE mchn'!$A$4:$C$170,3,0)),"",VLOOKUP(Tableau13[[#This Row],[Code machine]],'CODE mchn'!$A$4:$C$170,3,0))</f>
        <v>Schlatter</v>
      </c>
      <c r="E181" s="105"/>
      <c r="F181" s="36"/>
      <c r="G181" s="62" t="s">
        <v>104</v>
      </c>
      <c r="H181" s="62" t="s">
        <v>451</v>
      </c>
      <c r="I181" s="62" t="s">
        <v>13</v>
      </c>
      <c r="J181" s="248" t="s">
        <v>452</v>
      </c>
      <c r="K181" s="112">
        <v>43588</v>
      </c>
      <c r="L181" s="109"/>
      <c r="M181" s="107"/>
      <c r="N181" s="108">
        <f>MONTH(Tableau13[[#This Row],[Date fin intervention]])</f>
        <v>5</v>
      </c>
      <c r="O181" s="108">
        <f>YEAR(Tableau13[[#This Row],[Date fin intervention]])</f>
        <v>2019</v>
      </c>
      <c r="P181" s="36"/>
    </row>
    <row r="182" spans="1:16">
      <c r="A182" s="110">
        <v>43588</v>
      </c>
      <c r="B182" s="111">
        <v>581</v>
      </c>
      <c r="C182" s="106" t="str">
        <f>IF(ISNA(VLOOKUP(Tableau13[[#This Row],[Code machine]],'CODE mchn'!$A$4:$C$170,2,0)),"",VLOOKUP(Tableau13[[#This Row],[Code machine]],'CODE mchn'!$A$4:$C$170,2,0))</f>
        <v>Acier</v>
      </c>
      <c r="D182" s="36" t="str">
        <f>IF(ISNA(VLOOKUP(Tableau13[[#This Row],[Code machine]],'CODE mchn'!$A$4:$C$170,3,0)),"",VLOOKUP(Tableau13[[#This Row],[Code machine]],'CODE mchn'!$A$4:$C$170,3,0))</f>
        <v>Teurema 1</v>
      </c>
      <c r="E182" s="105"/>
      <c r="F182" s="36"/>
      <c r="G182" s="62" t="s">
        <v>274</v>
      </c>
      <c r="H182" s="62" t="s">
        <v>453</v>
      </c>
      <c r="I182" s="62" t="s">
        <v>13</v>
      </c>
      <c r="J182" s="248" t="s">
        <v>454</v>
      </c>
      <c r="K182" s="112">
        <v>43588</v>
      </c>
      <c r="L182" s="109"/>
      <c r="M182" s="107"/>
      <c r="N182" s="108">
        <f>MONTH(Tableau13[[#This Row],[Date fin intervention]])</f>
        <v>5</v>
      </c>
      <c r="O182" s="108">
        <f>YEAR(Tableau13[[#This Row],[Date fin intervention]])</f>
        <v>2019</v>
      </c>
      <c r="P182" s="36"/>
    </row>
    <row r="183" spans="1:16">
      <c r="A183" s="110">
        <v>43589</v>
      </c>
      <c r="B183" s="111">
        <v>560</v>
      </c>
      <c r="C183" s="106" t="str">
        <f>IF(ISNA(VLOOKUP(Tableau13[[#This Row],[Code machine]],'CODE mchn'!$A$4:$C$170,2,0)),"",VLOOKUP(Tableau13[[#This Row],[Code machine]],'CODE mchn'!$A$4:$C$170,2,0))</f>
        <v>Acier</v>
      </c>
      <c r="D183" s="36" t="str">
        <f>IF(ISNA(VLOOKUP(Tableau13[[#This Row],[Code machine]],'CODE mchn'!$A$4:$C$170,3,0)),"",VLOOKUP(Tableau13[[#This Row],[Code machine]],'CODE mchn'!$A$4:$C$170,3,0))</f>
        <v>Schlatter</v>
      </c>
      <c r="E183" s="105"/>
      <c r="F183" s="36"/>
      <c r="G183" s="62" t="s">
        <v>104</v>
      </c>
      <c r="H183" s="62" t="s">
        <v>455</v>
      </c>
      <c r="I183" s="62" t="s">
        <v>13</v>
      </c>
      <c r="J183" s="248" t="s">
        <v>456</v>
      </c>
      <c r="K183" s="112">
        <v>43589</v>
      </c>
      <c r="L183" s="109" t="s">
        <v>457</v>
      </c>
      <c r="M183" s="107"/>
      <c r="N183" s="108">
        <f>MONTH(Tableau13[[#This Row],[Date fin intervention]])</f>
        <v>5</v>
      </c>
      <c r="O183" s="108">
        <f>YEAR(Tableau13[[#This Row],[Date fin intervention]])</f>
        <v>2019</v>
      </c>
      <c r="P183" s="36"/>
    </row>
    <row r="184" spans="1:16">
      <c r="A184" s="110">
        <v>43589</v>
      </c>
      <c r="B184" s="111">
        <v>590</v>
      </c>
      <c r="C184" s="106" t="str">
        <f>IF(ISNA(VLOOKUP(Tableau13[[#This Row],[Code machine]],'CODE mchn'!$A$4:$C$170,2,0)),"",VLOOKUP(Tableau13[[#This Row],[Code machine]],'CODE mchn'!$A$4:$C$170,2,0))</f>
        <v>Acier</v>
      </c>
      <c r="D184" s="36" t="str">
        <f>IF(ISNA(VLOOKUP(Tableau13[[#This Row],[Code machine]],'CODE mchn'!$A$4:$C$170,3,0)),"",VLOOKUP(Tableau13[[#This Row],[Code machine]],'CODE mchn'!$A$4:$C$170,3,0))</f>
        <v>Teurema 3</v>
      </c>
      <c r="E184" s="105"/>
      <c r="F184" s="36"/>
      <c r="G184" s="62" t="s">
        <v>200</v>
      </c>
      <c r="H184" s="62" t="s">
        <v>458</v>
      </c>
      <c r="I184" s="62" t="s">
        <v>13</v>
      </c>
      <c r="J184" s="248" t="s">
        <v>56</v>
      </c>
      <c r="K184" s="112">
        <v>43589</v>
      </c>
      <c r="L184" s="109"/>
      <c r="M184" s="107"/>
      <c r="N184" s="108">
        <f>MONTH(Tableau13[[#This Row],[Date fin intervention]])</f>
        <v>5</v>
      </c>
      <c r="O184" s="108">
        <f>YEAR(Tableau13[[#This Row],[Date fin intervention]])</f>
        <v>2019</v>
      </c>
      <c r="P184" s="36"/>
    </row>
    <row r="185" spans="1:16">
      <c r="A185" s="110">
        <v>43589</v>
      </c>
      <c r="B185" s="111">
        <v>590</v>
      </c>
      <c r="C185" s="106" t="str">
        <f>IF(ISNA(VLOOKUP(Tableau13[[#This Row],[Code machine]],'CODE mchn'!$A$4:$C$170,2,0)),"",VLOOKUP(Tableau13[[#This Row],[Code machine]],'CODE mchn'!$A$4:$C$170,2,0))</f>
        <v>Acier</v>
      </c>
      <c r="D185" s="36" t="str">
        <f>IF(ISNA(VLOOKUP(Tableau13[[#This Row],[Code machine]],'CODE mchn'!$A$4:$C$170,3,0)),"",VLOOKUP(Tableau13[[#This Row],[Code machine]],'CODE mchn'!$A$4:$C$170,3,0))</f>
        <v>Teurema 3</v>
      </c>
      <c r="E185" s="105"/>
      <c r="F185" s="36"/>
      <c r="G185" s="62" t="s">
        <v>197</v>
      </c>
      <c r="H185" s="62" t="s">
        <v>459</v>
      </c>
      <c r="I185" s="62" t="s">
        <v>13</v>
      </c>
      <c r="J185" s="248" t="s">
        <v>460</v>
      </c>
      <c r="K185" s="112">
        <v>43589</v>
      </c>
      <c r="L185" s="109"/>
      <c r="M185" s="107"/>
      <c r="N185" s="108">
        <f>MONTH(Tableau13[[#This Row],[Date fin intervention]])</f>
        <v>5</v>
      </c>
      <c r="O185" s="108">
        <f>YEAR(Tableau13[[#This Row],[Date fin intervention]])</f>
        <v>2019</v>
      </c>
      <c r="P185" s="36"/>
    </row>
    <row r="186" spans="1:16">
      <c r="A186" s="110">
        <v>43591</v>
      </c>
      <c r="B186" s="111">
        <v>700</v>
      </c>
      <c r="C186" s="106" t="str">
        <f>IF(ISNA(VLOOKUP(Tableau13[[#This Row],[Code machine]],'CODE mchn'!$A$4:$C$170,2,0)),"",VLOOKUP(Tableau13[[#This Row],[Code machine]],'CODE mchn'!$A$4:$C$170,2,0))</f>
        <v>Béton</v>
      </c>
      <c r="D186" s="36" t="str">
        <f>IF(ISNA(VLOOKUP(Tableau13[[#This Row],[Code machine]],'CODE mchn'!$A$4:$C$170,3,0)),"",VLOOKUP(Tableau13[[#This Row],[Code machine]],'CODE mchn'!$A$4:$C$170,3,0))</f>
        <v>Poyatos 1</v>
      </c>
      <c r="E186" s="105"/>
      <c r="F186" s="36"/>
      <c r="G186" s="62" t="s">
        <v>128</v>
      </c>
      <c r="H186" s="62" t="s">
        <v>385</v>
      </c>
      <c r="I186" s="62" t="s">
        <v>13</v>
      </c>
      <c r="J186" s="248" t="s">
        <v>386</v>
      </c>
      <c r="K186" s="112">
        <v>43591</v>
      </c>
      <c r="L186" s="109"/>
      <c r="M186" s="107"/>
      <c r="N186" s="108">
        <f>MONTH(Tableau13[[#This Row],[Date fin intervention]])</f>
        <v>5</v>
      </c>
      <c r="O186" s="108">
        <f>YEAR(Tableau13[[#This Row],[Date fin intervention]])</f>
        <v>2019</v>
      </c>
      <c r="P186" s="36"/>
    </row>
    <row r="187" spans="1:16">
      <c r="A187" s="110">
        <v>43591</v>
      </c>
      <c r="B187" s="111">
        <v>560</v>
      </c>
      <c r="C187" s="106" t="str">
        <f>IF(ISNA(VLOOKUP(Tableau13[[#This Row],[Code machine]],'CODE mchn'!$A$4:$C$170,2,0)),"",VLOOKUP(Tableau13[[#This Row],[Code machine]],'CODE mchn'!$A$4:$C$170,2,0))</f>
        <v>Acier</v>
      </c>
      <c r="D187" s="36" t="str">
        <f>IF(ISNA(VLOOKUP(Tableau13[[#This Row],[Code machine]],'CODE mchn'!$A$4:$C$170,3,0)),"",VLOOKUP(Tableau13[[#This Row],[Code machine]],'CODE mchn'!$A$4:$C$170,3,0))</f>
        <v>Schlatter</v>
      </c>
      <c r="E187" s="105"/>
      <c r="F187" s="36"/>
      <c r="G187" s="62" t="s">
        <v>461</v>
      </c>
      <c r="H187" s="62" t="s">
        <v>462</v>
      </c>
      <c r="I187" s="62" t="s">
        <v>13</v>
      </c>
      <c r="J187" s="248" t="s">
        <v>452</v>
      </c>
      <c r="K187" s="112">
        <v>43591</v>
      </c>
      <c r="L187" s="109"/>
      <c r="M187" s="107"/>
      <c r="N187" s="108">
        <f>MONTH(Tableau13[[#This Row],[Date fin intervention]])</f>
        <v>5</v>
      </c>
      <c r="O187" s="108">
        <f>YEAR(Tableau13[[#This Row],[Date fin intervention]])</f>
        <v>2019</v>
      </c>
      <c r="P187" s="36"/>
    </row>
    <row r="188" spans="1:16">
      <c r="A188" s="110">
        <v>43591</v>
      </c>
      <c r="B188" s="111">
        <v>582</v>
      </c>
      <c r="C188" s="106" t="str">
        <f>IF(ISNA(VLOOKUP(Tableau13[[#This Row],[Code machine]],'CODE mchn'!$A$4:$C$170,2,0)),"",VLOOKUP(Tableau13[[#This Row],[Code machine]],'CODE mchn'!$A$4:$C$170,2,0))</f>
        <v>Acier</v>
      </c>
      <c r="D188" s="36" t="str">
        <f>IF(ISNA(VLOOKUP(Tableau13[[#This Row],[Code machine]],'CODE mchn'!$A$4:$C$170,3,0)),"",VLOOKUP(Tableau13[[#This Row],[Code machine]],'CODE mchn'!$A$4:$C$170,3,0))</f>
        <v>Teurema 2</v>
      </c>
      <c r="E188" s="105"/>
      <c r="F188" s="36"/>
      <c r="G188" s="62" t="s">
        <v>275</v>
      </c>
      <c r="H188" s="62" t="s">
        <v>458</v>
      </c>
      <c r="I188" s="62" t="s">
        <v>13</v>
      </c>
      <c r="J188" s="248" t="s">
        <v>56</v>
      </c>
      <c r="K188" s="112">
        <v>43591</v>
      </c>
      <c r="L188" s="109"/>
      <c r="M188" s="107"/>
      <c r="N188" s="108">
        <f>MONTH(Tableau13[[#This Row],[Date fin intervention]])</f>
        <v>5</v>
      </c>
      <c r="O188" s="108">
        <f>YEAR(Tableau13[[#This Row],[Date fin intervention]])</f>
        <v>2019</v>
      </c>
      <c r="P188" s="36"/>
    </row>
    <row r="189" spans="1:16">
      <c r="A189" s="71">
        <v>43592</v>
      </c>
      <c r="B189" s="105">
        <v>700</v>
      </c>
      <c r="C189" s="106" t="str">
        <f>IF(ISNA(VLOOKUP(Tableau13[[#This Row],[Code machine]],'CODE mchn'!$A$4:$C$170,2,0)),"",VLOOKUP(Tableau13[[#This Row],[Code machine]],'CODE mchn'!$A$4:$C$170,2,0))</f>
        <v>Béton</v>
      </c>
      <c r="D189" s="36" t="str">
        <f>IF(ISNA(VLOOKUP(Tableau13[[#This Row],[Code machine]],'CODE mchn'!$A$4:$C$170,3,0)),"",VLOOKUP(Tableau13[[#This Row],[Code machine]],'CODE mchn'!$A$4:$C$170,3,0))</f>
        <v>Poyatos 1</v>
      </c>
      <c r="E189" s="105"/>
      <c r="F189" s="36"/>
      <c r="G189" s="36" t="s">
        <v>331</v>
      </c>
      <c r="H189" s="36" t="s">
        <v>402</v>
      </c>
      <c r="I189" s="36" t="s">
        <v>13</v>
      </c>
      <c r="J189" s="106" t="s">
        <v>357</v>
      </c>
      <c r="K189" s="71">
        <v>43592</v>
      </c>
      <c r="L189" s="109"/>
      <c r="M189" s="107"/>
      <c r="N189" s="108">
        <f>MONTH(Tableau13[[#This Row],[Date fin intervention]])</f>
        <v>5</v>
      </c>
      <c r="O189" s="108">
        <f>YEAR(Tableau13[[#This Row],[Date fin intervention]])</f>
        <v>2019</v>
      </c>
      <c r="P189" s="36"/>
    </row>
    <row r="190" spans="1:16">
      <c r="A190" s="110">
        <v>43595</v>
      </c>
      <c r="B190" s="111">
        <v>700</v>
      </c>
      <c r="C190" s="106" t="str">
        <f>IF(ISNA(VLOOKUP(Tableau13[[#This Row],[Code machine]],'CODE mchn'!$A$4:$C$170,2,0)),"",VLOOKUP(Tableau13[[#This Row],[Code machine]],'CODE mchn'!$A$4:$C$170,2,0))</f>
        <v>Béton</v>
      </c>
      <c r="D190" s="36" t="str">
        <f>IF(ISNA(VLOOKUP(Tableau13[[#This Row],[Code machine]],'CODE mchn'!$A$4:$C$170,3,0)),"",VLOOKUP(Tableau13[[#This Row],[Code machine]],'CODE mchn'!$A$4:$C$170,3,0))</f>
        <v>Poyatos 1</v>
      </c>
      <c r="E190" s="105"/>
      <c r="F190" s="36"/>
      <c r="G190" s="62" t="s">
        <v>360</v>
      </c>
      <c r="H190" s="62" t="s">
        <v>387</v>
      </c>
      <c r="I190" s="62" t="s">
        <v>388</v>
      </c>
      <c r="J190" s="248" t="s">
        <v>389</v>
      </c>
      <c r="K190" s="112">
        <v>43595</v>
      </c>
      <c r="L190" s="109" t="s">
        <v>513</v>
      </c>
      <c r="M190" s="107"/>
      <c r="N190" s="108">
        <f>MONTH(Tableau13[[#This Row],[Date fin intervention]])</f>
        <v>5</v>
      </c>
      <c r="O190" s="108">
        <f>YEAR(Tableau13[[#This Row],[Date fin intervention]])</f>
        <v>2019</v>
      </c>
      <c r="P190" s="36"/>
    </row>
    <row r="191" spans="1:16">
      <c r="A191" s="110">
        <v>43595</v>
      </c>
      <c r="B191" s="111">
        <v>560</v>
      </c>
      <c r="C191" s="106" t="str">
        <f>IF(ISNA(VLOOKUP(Tableau13[[#This Row],[Code machine]],'CODE mchn'!$A$4:$C$170,2,0)),"",VLOOKUP(Tableau13[[#This Row],[Code machine]],'CODE mchn'!$A$4:$C$170,2,0))</f>
        <v>Acier</v>
      </c>
      <c r="D191" s="36" t="str">
        <f>IF(ISNA(VLOOKUP(Tableau13[[#This Row],[Code machine]],'CODE mchn'!$A$4:$C$170,3,0)),"",VLOOKUP(Tableau13[[#This Row],[Code machine]],'CODE mchn'!$A$4:$C$170,3,0))</f>
        <v>Schlatter</v>
      </c>
      <c r="E191" s="105"/>
      <c r="F191" s="36"/>
      <c r="G191" s="62" t="s">
        <v>463</v>
      </c>
      <c r="H191" s="62" t="s">
        <v>464</v>
      </c>
      <c r="I191" s="62" t="s">
        <v>13</v>
      </c>
      <c r="J191" s="248" t="s">
        <v>465</v>
      </c>
      <c r="K191" s="112">
        <v>43595</v>
      </c>
      <c r="L191" s="109"/>
      <c r="M191" s="107"/>
      <c r="N191" s="108">
        <f>MONTH(Tableau13[[#This Row],[Date fin intervention]])</f>
        <v>5</v>
      </c>
      <c r="O191" s="108">
        <f>YEAR(Tableau13[[#This Row],[Date fin intervention]])</f>
        <v>2019</v>
      </c>
      <c r="P191" s="36"/>
    </row>
    <row r="192" spans="1:16">
      <c r="A192" s="110">
        <v>43595</v>
      </c>
      <c r="B192" s="111">
        <v>560</v>
      </c>
      <c r="C192" s="106" t="str">
        <f>IF(ISNA(VLOOKUP(Tableau13[[#This Row],[Code machine]],'CODE mchn'!$A$4:$C$170,2,0)),"",VLOOKUP(Tableau13[[#This Row],[Code machine]],'CODE mchn'!$A$4:$C$170,2,0))</f>
        <v>Acier</v>
      </c>
      <c r="D192" s="36" t="str">
        <f>IF(ISNA(VLOOKUP(Tableau13[[#This Row],[Code machine]],'CODE mchn'!$A$4:$C$170,3,0)),"",VLOOKUP(Tableau13[[#This Row],[Code machine]],'CODE mchn'!$A$4:$C$170,3,0))</f>
        <v>Schlatter</v>
      </c>
      <c r="E192" s="105"/>
      <c r="F192" s="36"/>
      <c r="G192" s="62" t="s">
        <v>104</v>
      </c>
      <c r="H192" s="62" t="s">
        <v>466</v>
      </c>
      <c r="I192" s="62" t="s">
        <v>13</v>
      </c>
      <c r="J192" s="248" t="s">
        <v>467</v>
      </c>
      <c r="K192" s="112">
        <v>43595</v>
      </c>
      <c r="L192" s="109"/>
      <c r="M192" s="107"/>
      <c r="N192" s="108">
        <f>MONTH(Tableau13[[#This Row],[Date fin intervention]])</f>
        <v>5</v>
      </c>
      <c r="O192" s="108">
        <f>YEAR(Tableau13[[#This Row],[Date fin intervention]])</f>
        <v>2019</v>
      </c>
      <c r="P192" s="36"/>
    </row>
    <row r="193" spans="1:16">
      <c r="A193" s="110">
        <v>43596</v>
      </c>
      <c r="B193" s="111">
        <v>582</v>
      </c>
      <c r="C193" s="106" t="str">
        <f>IF(ISNA(VLOOKUP(Tableau13[[#This Row],[Code machine]],'CODE mchn'!$A$4:$C$170,2,0)),"",VLOOKUP(Tableau13[[#This Row],[Code machine]],'CODE mchn'!$A$4:$C$170,2,0))</f>
        <v>Acier</v>
      </c>
      <c r="D193" s="36" t="str">
        <f>IF(ISNA(VLOOKUP(Tableau13[[#This Row],[Code machine]],'CODE mchn'!$A$4:$C$170,3,0)),"",VLOOKUP(Tableau13[[#This Row],[Code machine]],'CODE mchn'!$A$4:$C$170,3,0))</f>
        <v>Teurema 2</v>
      </c>
      <c r="E193" s="105"/>
      <c r="F193" s="36"/>
      <c r="G193" s="62" t="s">
        <v>122</v>
      </c>
      <c r="H193" s="62" t="s">
        <v>468</v>
      </c>
      <c r="I193" s="62" t="s">
        <v>13</v>
      </c>
      <c r="J193" s="248" t="s">
        <v>469</v>
      </c>
      <c r="K193" s="112">
        <v>43596</v>
      </c>
      <c r="L193" s="109"/>
      <c r="M193" s="107"/>
      <c r="N193" s="108">
        <f>MONTH(Tableau13[[#This Row],[Date fin intervention]])</f>
        <v>5</v>
      </c>
      <c r="O193" s="108">
        <f>YEAR(Tableau13[[#This Row],[Date fin intervention]])</f>
        <v>2019</v>
      </c>
      <c r="P193" s="36"/>
    </row>
    <row r="194" spans="1:16" ht="28.5">
      <c r="A194" s="110">
        <v>43598</v>
      </c>
      <c r="B194" s="111">
        <v>800</v>
      </c>
      <c r="C194" s="106" t="str">
        <f>IF(ISNA(VLOOKUP(Tableau13[[#This Row],[Code machine]],'CODE mchn'!$A$4:$C$170,2,0)),"",VLOOKUP(Tableau13[[#This Row],[Code machine]],'CODE mchn'!$A$4:$C$170,2,0))</f>
        <v>Béton</v>
      </c>
      <c r="D194" s="36" t="str">
        <f>IF(ISNA(VLOOKUP(Tableau13[[#This Row],[Code machine]],'CODE mchn'!$A$4:$C$170,3,0)),"",VLOOKUP(Tableau13[[#This Row],[Code machine]],'CODE mchn'!$A$4:$C$170,3,0))</f>
        <v>Poyatos 2</v>
      </c>
      <c r="E194" s="105"/>
      <c r="F194" s="36"/>
      <c r="G194" s="62" t="s">
        <v>20</v>
      </c>
      <c r="H194" s="62" t="s">
        <v>390</v>
      </c>
      <c r="I194" s="62" t="s">
        <v>13</v>
      </c>
      <c r="J194" s="248" t="s">
        <v>391</v>
      </c>
      <c r="K194" s="112">
        <v>43598</v>
      </c>
      <c r="L194" s="109"/>
      <c r="M194" s="107"/>
      <c r="N194" s="108">
        <f>MONTH(Tableau13[[#This Row],[Date fin intervention]])</f>
        <v>5</v>
      </c>
      <c r="O194" s="108">
        <f>YEAR(Tableau13[[#This Row],[Date fin intervention]])</f>
        <v>2019</v>
      </c>
      <c r="P194" s="36"/>
    </row>
    <row r="195" spans="1:16">
      <c r="A195" s="110">
        <v>43599</v>
      </c>
      <c r="B195" s="111">
        <v>620</v>
      </c>
      <c r="C195" s="106" t="str">
        <f>IF(ISNA(VLOOKUP(Tableau13[[#This Row],[Code machine]],'CODE mchn'!$A$4:$C$170,2,0)),"",VLOOKUP(Tableau13[[#This Row],[Code machine]],'CODE mchn'!$A$4:$C$170,2,0))</f>
        <v>Acier</v>
      </c>
      <c r="D195" s="36" t="str">
        <f>IF(ISNA(VLOOKUP(Tableau13[[#This Row],[Code machine]],'CODE mchn'!$A$4:$C$170,3,0)),"",VLOOKUP(Tableau13[[#This Row],[Code machine]],'CODE mchn'!$A$4:$C$170,3,0))</f>
        <v>EVG PN 2</v>
      </c>
      <c r="E195" s="105"/>
      <c r="F195" s="36"/>
      <c r="G195" s="62" t="s">
        <v>470</v>
      </c>
      <c r="H195" s="62" t="s">
        <v>471</v>
      </c>
      <c r="I195" s="62" t="s">
        <v>13</v>
      </c>
      <c r="J195" s="248" t="s">
        <v>472</v>
      </c>
      <c r="K195" s="112">
        <v>43599</v>
      </c>
      <c r="L195" s="109"/>
      <c r="M195" s="107"/>
      <c r="N195" s="108">
        <f>MONTH(Tableau13[[#This Row],[Date fin intervention]])</f>
        <v>5</v>
      </c>
      <c r="O195" s="108">
        <f>YEAR(Tableau13[[#This Row],[Date fin intervention]])</f>
        <v>2019</v>
      </c>
      <c r="P195" s="36"/>
    </row>
    <row r="196" spans="1:16">
      <c r="A196" s="110">
        <v>43599</v>
      </c>
      <c r="B196" s="111">
        <v>571</v>
      </c>
      <c r="C196" s="106" t="str">
        <f>IF(ISNA(VLOOKUP(Tableau13[[#This Row],[Code machine]],'CODE mchn'!$A$4:$C$170,2,0)),"",VLOOKUP(Tableau13[[#This Row],[Code machine]],'CODE mchn'!$A$4:$C$170,2,0))</f>
        <v>Acier</v>
      </c>
      <c r="D196" s="36" t="str">
        <f>IF(ISNA(VLOOKUP(Tableau13[[#This Row],[Code machine]],'CODE mchn'!$A$4:$C$170,3,0)),"",VLOOKUP(Tableau13[[#This Row],[Code machine]],'CODE mchn'!$A$4:$C$170,3,0))</f>
        <v>EVG PN 1</v>
      </c>
      <c r="E196" s="105"/>
      <c r="F196" s="36"/>
      <c r="G196" s="62" t="s">
        <v>474</v>
      </c>
      <c r="H196" s="62" t="s">
        <v>475</v>
      </c>
      <c r="I196" s="62" t="s">
        <v>13</v>
      </c>
      <c r="J196" s="248" t="s">
        <v>476</v>
      </c>
      <c r="K196" s="112">
        <v>43599</v>
      </c>
      <c r="L196" s="109"/>
      <c r="M196" s="107"/>
      <c r="N196" s="108">
        <f>MONTH(Tableau13[[#This Row],[Date fin intervention]])</f>
        <v>5</v>
      </c>
      <c r="O196" s="108">
        <f>YEAR(Tableau13[[#This Row],[Date fin intervention]])</f>
        <v>2019</v>
      </c>
      <c r="P196" s="36"/>
    </row>
    <row r="197" spans="1:16">
      <c r="A197" s="110">
        <v>43600</v>
      </c>
      <c r="B197" s="111">
        <v>582</v>
      </c>
      <c r="C197" s="106" t="str">
        <f>IF(ISNA(VLOOKUP(Tableau13[[#This Row],[Code machine]],'CODE mchn'!$A$4:$C$170,2,0)),"",VLOOKUP(Tableau13[[#This Row],[Code machine]],'CODE mchn'!$A$4:$C$170,2,0))</f>
        <v>Acier</v>
      </c>
      <c r="D197" s="36" t="str">
        <f>IF(ISNA(VLOOKUP(Tableau13[[#This Row],[Code machine]],'CODE mchn'!$A$4:$C$170,3,0)),"",VLOOKUP(Tableau13[[#This Row],[Code machine]],'CODE mchn'!$A$4:$C$170,3,0))</f>
        <v>Teurema 2</v>
      </c>
      <c r="E197" s="105"/>
      <c r="F197" s="36"/>
      <c r="G197" s="62" t="s">
        <v>197</v>
      </c>
      <c r="H197" s="62" t="s">
        <v>458</v>
      </c>
      <c r="I197" s="62" t="s">
        <v>13</v>
      </c>
      <c r="J197" s="248" t="s">
        <v>473</v>
      </c>
      <c r="K197" s="112">
        <v>43600</v>
      </c>
      <c r="L197" s="109"/>
      <c r="M197" s="107"/>
      <c r="N197" s="108">
        <f>MONTH(Tableau13[[#This Row],[Date fin intervention]])</f>
        <v>5</v>
      </c>
      <c r="O197" s="108">
        <f>YEAR(Tableau13[[#This Row],[Date fin intervention]])</f>
        <v>2019</v>
      </c>
      <c r="P197" s="36"/>
    </row>
    <row r="198" spans="1:16">
      <c r="A198" s="113">
        <v>43601</v>
      </c>
      <c r="B198" s="114">
        <v>700</v>
      </c>
      <c r="C198" s="106" t="str">
        <f>IF(ISNA(VLOOKUP(Tableau13[[#This Row],[Code machine]],'CODE mchn'!$A$4:$C$170,2,0)),"",VLOOKUP(Tableau13[[#This Row],[Code machine]],'CODE mchn'!$A$4:$C$170,2,0))</f>
        <v>Béton</v>
      </c>
      <c r="D198" s="36" t="str">
        <f>IF(ISNA(VLOOKUP(Tableau13[[#This Row],[Code machine]],'CODE mchn'!$A$4:$C$170,3,0)),"",VLOOKUP(Tableau13[[#This Row],[Code machine]],'CODE mchn'!$A$4:$C$170,3,0))</f>
        <v>Poyatos 1</v>
      </c>
      <c r="E198" s="105"/>
      <c r="F198" s="36"/>
      <c r="G198" s="95" t="s">
        <v>289</v>
      </c>
      <c r="H198" s="95" t="s">
        <v>392</v>
      </c>
      <c r="I198" s="95" t="s">
        <v>13</v>
      </c>
      <c r="J198" s="100" t="s">
        <v>393</v>
      </c>
      <c r="K198" s="113">
        <v>43601</v>
      </c>
      <c r="L198" s="109"/>
      <c r="M198" s="107"/>
      <c r="N198" s="108">
        <f>MONTH(Tableau13[[#This Row],[Date fin intervention]])</f>
        <v>5</v>
      </c>
      <c r="O198" s="108">
        <f>YEAR(Tableau13[[#This Row],[Date fin intervention]])</f>
        <v>2019</v>
      </c>
      <c r="P198" s="36"/>
    </row>
    <row r="199" spans="1:16">
      <c r="A199" s="110">
        <v>43601</v>
      </c>
      <c r="B199" s="111">
        <v>560</v>
      </c>
      <c r="C199" s="106" t="str">
        <f>IF(ISNA(VLOOKUP(Tableau13[[#This Row],[Code machine]],'CODE mchn'!$A$4:$C$170,2,0)),"",VLOOKUP(Tableau13[[#This Row],[Code machine]],'CODE mchn'!$A$4:$C$170,2,0))</f>
        <v>Acier</v>
      </c>
      <c r="D199" s="36" t="str">
        <f>IF(ISNA(VLOOKUP(Tableau13[[#This Row],[Code machine]],'CODE mchn'!$A$4:$C$170,3,0)),"",VLOOKUP(Tableau13[[#This Row],[Code machine]],'CODE mchn'!$A$4:$C$170,3,0))</f>
        <v>Schlatter</v>
      </c>
      <c r="E199" s="105"/>
      <c r="F199" s="36"/>
      <c r="G199" s="62" t="s">
        <v>104</v>
      </c>
      <c r="H199" s="62" t="s">
        <v>477</v>
      </c>
      <c r="I199" s="62" t="s">
        <v>13</v>
      </c>
      <c r="J199" s="248" t="s">
        <v>452</v>
      </c>
      <c r="K199" s="112">
        <v>43601</v>
      </c>
      <c r="L199" s="109"/>
      <c r="M199" s="107"/>
      <c r="N199" s="108">
        <f>MONTH(Tableau13[[#This Row],[Date fin intervention]])</f>
        <v>5</v>
      </c>
      <c r="O199" s="108">
        <f>YEAR(Tableau13[[#This Row],[Date fin intervention]])</f>
        <v>2019</v>
      </c>
      <c r="P199" s="36"/>
    </row>
    <row r="200" spans="1:16">
      <c r="A200" s="110">
        <v>43601</v>
      </c>
      <c r="B200" s="111">
        <v>800</v>
      </c>
      <c r="C200" s="106" t="str">
        <f>IF(ISNA(VLOOKUP(Tableau13[[#This Row],[Code machine]],'CODE mchn'!$A$4:$C$170,2,0)),"",VLOOKUP(Tableau13[[#This Row],[Code machine]],'CODE mchn'!$A$4:$C$170,2,0))</f>
        <v>Béton</v>
      </c>
      <c r="D200" s="36" t="str">
        <f>IF(ISNA(VLOOKUP(Tableau13[[#This Row],[Code machine]],'CODE mchn'!$A$4:$C$170,3,0)),"",VLOOKUP(Tableau13[[#This Row],[Code machine]],'CODE mchn'!$A$4:$C$170,3,0))</f>
        <v>Poyatos 2</v>
      </c>
      <c r="E200" s="105"/>
      <c r="F200" s="36"/>
      <c r="G200" s="62" t="s">
        <v>394</v>
      </c>
      <c r="H200" s="62" t="s">
        <v>632</v>
      </c>
      <c r="I200" s="62" t="s">
        <v>13</v>
      </c>
      <c r="J200" s="248" t="s">
        <v>633</v>
      </c>
      <c r="K200" s="112">
        <v>43601</v>
      </c>
      <c r="L200" s="109"/>
      <c r="M200" s="107"/>
      <c r="N200" s="108">
        <f>MONTH(Tableau13[[#This Row],[Date fin intervention]])</f>
        <v>5</v>
      </c>
      <c r="O200" s="108">
        <f>YEAR(Tableau13[[#This Row],[Date fin intervention]])</f>
        <v>2019</v>
      </c>
      <c r="P200" s="36"/>
    </row>
    <row r="201" spans="1:16">
      <c r="A201" s="113">
        <v>43602</v>
      </c>
      <c r="B201" s="114">
        <v>800</v>
      </c>
      <c r="C201" s="106" t="str">
        <f>IF(ISNA(VLOOKUP(Tableau13[[#This Row],[Code machine]],'CODE mchn'!$A$4:$C$170,2,0)),"",VLOOKUP(Tableau13[[#This Row],[Code machine]],'CODE mchn'!$A$4:$C$170,2,0))</f>
        <v>Béton</v>
      </c>
      <c r="D201" s="36" t="str">
        <f>IF(ISNA(VLOOKUP(Tableau13[[#This Row],[Code machine]],'CODE mchn'!$A$4:$C$170,3,0)),"",VLOOKUP(Tableau13[[#This Row],[Code machine]],'CODE mchn'!$A$4:$C$170,3,0))</f>
        <v>Poyatos 2</v>
      </c>
      <c r="E201" s="105"/>
      <c r="F201" s="36"/>
      <c r="G201" s="95" t="s">
        <v>394</v>
      </c>
      <c r="H201" s="95" t="s">
        <v>395</v>
      </c>
      <c r="I201" s="95" t="s">
        <v>13</v>
      </c>
      <c r="J201" s="100" t="s">
        <v>396</v>
      </c>
      <c r="K201" s="113">
        <v>43602</v>
      </c>
      <c r="L201" s="109"/>
      <c r="M201" s="107"/>
      <c r="N201" s="108">
        <f>MONTH(Tableau13[[#This Row],[Date fin intervention]])</f>
        <v>5</v>
      </c>
      <c r="O201" s="108">
        <f>YEAR(Tableau13[[#This Row],[Date fin intervention]])</f>
        <v>2019</v>
      </c>
      <c r="P201" s="36"/>
    </row>
    <row r="202" spans="1:16">
      <c r="A202" s="113">
        <v>43602</v>
      </c>
      <c r="B202" s="114">
        <v>700</v>
      </c>
      <c r="C202" s="106" t="str">
        <f>IF(ISNA(VLOOKUP(Tableau13[[#This Row],[Code machine]],'CODE mchn'!$A$4:$C$170,2,0)),"",VLOOKUP(Tableau13[[#This Row],[Code machine]],'CODE mchn'!$A$4:$C$170,2,0))</f>
        <v>Béton</v>
      </c>
      <c r="D202" s="36" t="str">
        <f>IF(ISNA(VLOOKUP(Tableau13[[#This Row],[Code machine]],'CODE mchn'!$A$4:$C$170,3,0)),"",VLOOKUP(Tableau13[[#This Row],[Code machine]],'CODE mchn'!$A$4:$C$170,3,0))</f>
        <v>Poyatos 1</v>
      </c>
      <c r="E202" s="105"/>
      <c r="F202" s="36"/>
      <c r="G202" s="95" t="s">
        <v>397</v>
      </c>
      <c r="H202" s="95" t="s">
        <v>398</v>
      </c>
      <c r="I202" s="95" t="s">
        <v>13</v>
      </c>
      <c r="J202" s="100" t="s">
        <v>399</v>
      </c>
      <c r="K202" s="113">
        <v>43602</v>
      </c>
      <c r="L202" s="109"/>
      <c r="M202" s="107"/>
      <c r="N202" s="108">
        <f>MONTH(Tableau13[[#This Row],[Date fin intervention]])</f>
        <v>5</v>
      </c>
      <c r="O202" s="108">
        <f>YEAR(Tableau13[[#This Row],[Date fin intervention]])</f>
        <v>2019</v>
      </c>
      <c r="P202" s="36"/>
    </row>
    <row r="203" spans="1:16">
      <c r="A203" s="71">
        <v>43602</v>
      </c>
      <c r="B203" s="105">
        <v>700</v>
      </c>
      <c r="C203" s="106" t="str">
        <f>IF(ISNA(VLOOKUP(Tableau13[[#This Row],[Code machine]],'CODE mchn'!$A$4:$C$170,2,0)),"",VLOOKUP(Tableau13[[#This Row],[Code machine]],'CODE mchn'!$A$4:$C$170,2,0))</f>
        <v>Béton</v>
      </c>
      <c r="D203" s="36" t="str">
        <f>IF(ISNA(VLOOKUP(Tableau13[[#This Row],[Code machine]],'CODE mchn'!$A$4:$C$170,3,0)),"",VLOOKUP(Tableau13[[#This Row],[Code machine]],'CODE mchn'!$A$4:$C$170,3,0))</f>
        <v>Poyatos 1</v>
      </c>
      <c r="E203" s="105"/>
      <c r="F203" s="36"/>
      <c r="G203" s="36" t="s">
        <v>291</v>
      </c>
      <c r="H203" s="36" t="s">
        <v>400</v>
      </c>
      <c r="I203" s="36" t="s">
        <v>13</v>
      </c>
      <c r="J203" s="106" t="s">
        <v>401</v>
      </c>
      <c r="K203" s="71">
        <v>43602</v>
      </c>
      <c r="L203" s="109"/>
      <c r="M203" s="107"/>
      <c r="N203" s="108">
        <f>MONTH(Tableau13[[#This Row],[Date fin intervention]])</f>
        <v>5</v>
      </c>
      <c r="O203" s="108">
        <f>YEAR(Tableau13[[#This Row],[Date fin intervention]])</f>
        <v>2019</v>
      </c>
      <c r="P203" s="36"/>
    </row>
    <row r="204" spans="1:16">
      <c r="A204" s="110">
        <v>43602</v>
      </c>
      <c r="B204" s="111">
        <v>560</v>
      </c>
      <c r="C204" s="106" t="str">
        <f>IF(ISNA(VLOOKUP(Tableau13[[#This Row],[Code machine]],'CODE mchn'!$A$4:$C$170,2,0)),"",VLOOKUP(Tableau13[[#This Row],[Code machine]],'CODE mchn'!$A$4:$C$170,2,0))</f>
        <v>Acier</v>
      </c>
      <c r="D204" s="36" t="str">
        <f>IF(ISNA(VLOOKUP(Tableau13[[#This Row],[Code machine]],'CODE mchn'!$A$4:$C$170,3,0)),"",VLOOKUP(Tableau13[[#This Row],[Code machine]],'CODE mchn'!$A$4:$C$170,3,0))</f>
        <v>Schlatter</v>
      </c>
      <c r="E204" s="105"/>
      <c r="F204" s="36"/>
      <c r="G204" s="62" t="s">
        <v>104</v>
      </c>
      <c r="H204" s="62" t="s">
        <v>477</v>
      </c>
      <c r="I204" s="62" t="s">
        <v>13</v>
      </c>
      <c r="J204" s="248" t="s">
        <v>481</v>
      </c>
      <c r="K204" s="112">
        <v>43602</v>
      </c>
      <c r="L204" s="109"/>
      <c r="M204" s="107"/>
      <c r="N204" s="108">
        <f>MONTH(Tableau13[[#This Row],[Date fin intervention]])</f>
        <v>5</v>
      </c>
      <c r="O204" s="108">
        <f>YEAR(Tableau13[[#This Row],[Date fin intervention]])</f>
        <v>2019</v>
      </c>
      <c r="P204" s="36"/>
    </row>
    <row r="205" spans="1:16">
      <c r="A205" s="71">
        <v>43603</v>
      </c>
      <c r="B205" s="105">
        <v>534</v>
      </c>
      <c r="C205" s="106" t="str">
        <f>IF(ISNA(VLOOKUP(Tableau13[[#This Row],[Code machine]],'CODE mchn'!$A$4:$C$170,2,0)),"",VLOOKUP(Tableau13[[#This Row],[Code machine]],'CODE mchn'!$A$4:$C$170,2,0))</f>
        <v>Enrobage</v>
      </c>
      <c r="D205" s="36" t="str">
        <f>IF(ISNA(VLOOKUP(Tableau13[[#This Row],[Code machine]],'CODE mchn'!$A$4:$C$170,3,0)),"",VLOOKUP(Tableau13[[#This Row],[Code machine]],'CODE mchn'!$A$4:$C$170,3,0))</f>
        <v>ELKON 2</v>
      </c>
      <c r="E205" s="105"/>
      <c r="F205" s="36"/>
      <c r="G205" s="36" t="s">
        <v>378</v>
      </c>
      <c r="H205" s="36" t="s">
        <v>403</v>
      </c>
      <c r="I205" s="36" t="s">
        <v>13</v>
      </c>
      <c r="J205" s="106" t="s">
        <v>404</v>
      </c>
      <c r="K205" s="71">
        <v>43603</v>
      </c>
      <c r="L205" s="109"/>
      <c r="M205" s="107"/>
      <c r="N205" s="108">
        <f>MONTH(Tableau13[[#This Row],[Date fin intervention]])</f>
        <v>5</v>
      </c>
      <c r="O205" s="108">
        <f>YEAR(Tableau13[[#This Row],[Date fin intervention]])</f>
        <v>2019</v>
      </c>
      <c r="P205" s="36"/>
    </row>
    <row r="206" spans="1:16">
      <c r="A206" s="71">
        <v>43605</v>
      </c>
      <c r="B206" s="105">
        <v>800</v>
      </c>
      <c r="C206" s="106" t="str">
        <f>IF(ISNA(VLOOKUP(Tableau13[[#This Row],[Code machine]],'CODE mchn'!$A$4:$C$170,2,0)),"",VLOOKUP(Tableau13[[#This Row],[Code machine]],'CODE mchn'!$A$4:$C$170,2,0))</f>
        <v>Béton</v>
      </c>
      <c r="D206" s="36" t="str">
        <f>IF(ISNA(VLOOKUP(Tableau13[[#This Row],[Code machine]],'CODE mchn'!$A$4:$C$170,3,0)),"",VLOOKUP(Tableau13[[#This Row],[Code machine]],'CODE mchn'!$A$4:$C$170,3,0))</f>
        <v>Poyatos 2</v>
      </c>
      <c r="E206" s="105"/>
      <c r="F206" s="36"/>
      <c r="G206" s="36" t="s">
        <v>213</v>
      </c>
      <c r="H206" s="36" t="s">
        <v>398</v>
      </c>
      <c r="I206" s="36" t="s">
        <v>13</v>
      </c>
      <c r="J206" s="106" t="s">
        <v>399</v>
      </c>
      <c r="K206" s="71">
        <v>43605</v>
      </c>
      <c r="L206" s="109"/>
      <c r="M206" s="107"/>
      <c r="N206" s="108">
        <f>MONTH(Tableau13[[#This Row],[Date fin intervention]])</f>
        <v>5</v>
      </c>
      <c r="O206" s="108">
        <f>YEAR(Tableau13[[#This Row],[Date fin intervention]])</f>
        <v>2019</v>
      </c>
      <c r="P206" s="36"/>
    </row>
    <row r="207" spans="1:16">
      <c r="A207" s="71">
        <v>43605</v>
      </c>
      <c r="B207" s="105">
        <v>700</v>
      </c>
      <c r="C207" s="106" t="str">
        <f>IF(ISNA(VLOOKUP(Tableau13[[#This Row],[Code machine]],'CODE mchn'!$A$4:$C$170,2,0)),"",VLOOKUP(Tableau13[[#This Row],[Code machine]],'CODE mchn'!$A$4:$C$170,2,0))</f>
        <v>Béton</v>
      </c>
      <c r="D207" s="36" t="str">
        <f>IF(ISNA(VLOOKUP(Tableau13[[#This Row],[Code machine]],'CODE mchn'!$A$4:$C$170,3,0)),"",VLOOKUP(Tableau13[[#This Row],[Code machine]],'CODE mchn'!$A$4:$C$170,3,0))</f>
        <v>Poyatos 1</v>
      </c>
      <c r="E207" s="105"/>
      <c r="F207" s="36"/>
      <c r="G207" s="36" t="s">
        <v>291</v>
      </c>
      <c r="H207" s="36" t="s">
        <v>400</v>
      </c>
      <c r="I207" s="36" t="s">
        <v>13</v>
      </c>
      <c r="J207" s="106" t="s">
        <v>405</v>
      </c>
      <c r="K207" s="71">
        <v>43605</v>
      </c>
      <c r="L207" s="109"/>
      <c r="M207" s="107"/>
      <c r="N207" s="108">
        <f>MONTH(Tableau13[[#This Row],[Date fin intervention]])</f>
        <v>5</v>
      </c>
      <c r="O207" s="108">
        <f>YEAR(Tableau13[[#This Row],[Date fin intervention]])</f>
        <v>2019</v>
      </c>
      <c r="P207" s="36"/>
    </row>
    <row r="208" spans="1:16">
      <c r="A208" s="71">
        <v>43606</v>
      </c>
      <c r="B208" s="105">
        <v>800</v>
      </c>
      <c r="C208" s="106" t="str">
        <f>IF(ISNA(VLOOKUP(Tableau13[[#This Row],[Code machine]],'CODE mchn'!$A$4:$C$170,2,0)),"",VLOOKUP(Tableau13[[#This Row],[Code machine]],'CODE mchn'!$A$4:$C$170,2,0))</f>
        <v>Béton</v>
      </c>
      <c r="D208" s="36" t="str">
        <f>IF(ISNA(VLOOKUP(Tableau13[[#This Row],[Code machine]],'CODE mchn'!$A$4:$C$170,3,0)),"",VLOOKUP(Tableau13[[#This Row],[Code machine]],'CODE mchn'!$A$4:$C$170,3,0))</f>
        <v>Poyatos 2</v>
      </c>
      <c r="E208" s="105"/>
      <c r="F208" s="36"/>
      <c r="G208" s="36" t="s">
        <v>331</v>
      </c>
      <c r="H208" s="36" t="s">
        <v>406</v>
      </c>
      <c r="I208" s="36" t="s">
        <v>13</v>
      </c>
      <c r="J208" s="106" t="s">
        <v>111</v>
      </c>
      <c r="K208" s="71">
        <v>43606</v>
      </c>
      <c r="L208" s="109"/>
      <c r="M208" s="107"/>
      <c r="N208" s="108">
        <f>MONTH(Tableau13[[#This Row],[Date fin intervention]])</f>
        <v>5</v>
      </c>
      <c r="O208" s="108">
        <f>YEAR(Tableau13[[#This Row],[Date fin intervention]])</f>
        <v>2019</v>
      </c>
      <c r="P208" s="36"/>
    </row>
    <row r="209" spans="1:16">
      <c r="A209" s="71">
        <v>43606</v>
      </c>
      <c r="B209" s="105">
        <v>700</v>
      </c>
      <c r="C209" s="106" t="str">
        <f>IF(ISNA(VLOOKUP(Tableau13[[#This Row],[Code machine]],'CODE mchn'!$A$4:$C$170,2,0)),"",VLOOKUP(Tableau13[[#This Row],[Code machine]],'CODE mchn'!$A$4:$C$170,2,0))</f>
        <v>Béton</v>
      </c>
      <c r="D209" s="36" t="str">
        <f>IF(ISNA(VLOOKUP(Tableau13[[#This Row],[Code machine]],'CODE mchn'!$A$4:$C$170,3,0)),"",VLOOKUP(Tableau13[[#This Row],[Code machine]],'CODE mchn'!$A$4:$C$170,3,0))</f>
        <v>Poyatos 1</v>
      </c>
      <c r="E209" s="105"/>
      <c r="F209" s="36"/>
      <c r="G209" s="36" t="s">
        <v>128</v>
      </c>
      <c r="H209" s="36" t="s">
        <v>523</v>
      </c>
      <c r="I209" s="36" t="s">
        <v>13</v>
      </c>
      <c r="J209" s="106" t="s">
        <v>407</v>
      </c>
      <c r="K209" s="71">
        <v>43606</v>
      </c>
      <c r="L209" s="109"/>
      <c r="M209" s="107"/>
      <c r="N209" s="108">
        <f>MONTH(Tableau13[[#This Row],[Date fin intervention]])</f>
        <v>5</v>
      </c>
      <c r="O209" s="108">
        <f>YEAR(Tableau13[[#This Row],[Date fin intervention]])</f>
        <v>2019</v>
      </c>
      <c r="P209" s="36"/>
    </row>
    <row r="210" spans="1:16" ht="42.75">
      <c r="A210" s="110">
        <v>43606</v>
      </c>
      <c r="B210" s="111">
        <v>568</v>
      </c>
      <c r="C210" s="106" t="str">
        <f>IF(ISNA(VLOOKUP(Tableau13[[#This Row],[Code machine]],'CODE mchn'!$A$4:$C$170,2,0)),"",VLOOKUP(Tableau13[[#This Row],[Code machine]],'CODE mchn'!$A$4:$C$170,2,0))</f>
        <v>Ponts roulants</v>
      </c>
      <c r="D210" s="36" t="str">
        <f>IF(ISNA(VLOOKUP(Tableau13[[#This Row],[Code machine]],'CODE mchn'!$A$4:$C$170,3,0)),"",VLOOKUP(Tableau13[[#This Row],[Code machine]],'CODE mchn'!$A$4:$C$170,3,0))</f>
        <v>Pont roulant Demag 5T (milieu)</v>
      </c>
      <c r="E210" s="105"/>
      <c r="F210" s="36"/>
      <c r="G210" s="62" t="s">
        <v>35</v>
      </c>
      <c r="H210" s="62" t="s">
        <v>482</v>
      </c>
      <c r="I210" s="62" t="s">
        <v>13</v>
      </c>
      <c r="J210" s="248" t="s">
        <v>483</v>
      </c>
      <c r="K210" s="112">
        <v>43615</v>
      </c>
      <c r="L210" s="109"/>
      <c r="M210" s="107" t="s">
        <v>2259</v>
      </c>
      <c r="N210" s="108">
        <f>MONTH(Tableau13[[#This Row],[Date fin intervention]])</f>
        <v>5</v>
      </c>
      <c r="O210" s="108">
        <f>YEAR(Tableau13[[#This Row],[Date fin intervention]])</f>
        <v>2019</v>
      </c>
      <c r="P210" s="36"/>
    </row>
    <row r="211" spans="1:16">
      <c r="A211" s="71">
        <v>43607</v>
      </c>
      <c r="B211" s="105">
        <v>700</v>
      </c>
      <c r="C211" s="106" t="str">
        <f>IF(ISNA(VLOOKUP(Tableau13[[#This Row],[Code machine]],'CODE mchn'!$A$4:$C$170,2,0)),"",VLOOKUP(Tableau13[[#This Row],[Code machine]],'CODE mchn'!$A$4:$C$170,2,0))</f>
        <v>Béton</v>
      </c>
      <c r="D211" s="36" t="str">
        <f>IF(ISNA(VLOOKUP(Tableau13[[#This Row],[Code machine]],'CODE mchn'!$A$4:$C$170,3,0)),"",VLOOKUP(Tableau13[[#This Row],[Code machine]],'CODE mchn'!$A$4:$C$170,3,0))</f>
        <v>Poyatos 1</v>
      </c>
      <c r="E211" s="105"/>
      <c r="F211" s="36"/>
      <c r="G211" s="36" t="s">
        <v>291</v>
      </c>
      <c r="H211" s="36" t="s">
        <v>408</v>
      </c>
      <c r="I211" s="36" t="s">
        <v>13</v>
      </c>
      <c r="J211" s="106" t="s">
        <v>405</v>
      </c>
      <c r="K211" s="71">
        <v>43607</v>
      </c>
      <c r="L211" s="109"/>
      <c r="M211" s="107"/>
      <c r="N211" s="108">
        <f>MONTH(Tableau13[[#This Row],[Date fin intervention]])</f>
        <v>5</v>
      </c>
      <c r="O211" s="108">
        <f>YEAR(Tableau13[[#This Row],[Date fin intervention]])</f>
        <v>2019</v>
      </c>
      <c r="P211" s="36"/>
    </row>
    <row r="212" spans="1:16">
      <c r="A212" s="110">
        <v>43610</v>
      </c>
      <c r="B212" s="111">
        <v>605</v>
      </c>
      <c r="C212" s="106" t="str">
        <f>IF(ISNA(VLOOKUP(Tableau13[[#This Row],[Code machine]],'CODE mchn'!$A$4:$C$170,2,0)),"",VLOOKUP(Tableau13[[#This Row],[Code machine]],'CODE mchn'!$A$4:$C$170,2,0))</f>
        <v>Acier</v>
      </c>
      <c r="D212" s="36" t="str">
        <f>IF(ISNA(VLOOKUP(Tableau13[[#This Row],[Code machine]],'CODE mchn'!$A$4:$C$170,3,0)),"",VLOOKUP(Tableau13[[#This Row],[Code machine]],'CODE mchn'!$A$4:$C$170,3,0))</f>
        <v>Vitari 1</v>
      </c>
      <c r="E212" s="105"/>
      <c r="F212" s="36"/>
      <c r="G212" s="62" t="s">
        <v>10</v>
      </c>
      <c r="H212" s="62" t="s">
        <v>498</v>
      </c>
      <c r="I212" s="62" t="s">
        <v>13</v>
      </c>
      <c r="J212" s="248" t="s">
        <v>499</v>
      </c>
      <c r="K212" s="112">
        <v>43610</v>
      </c>
      <c r="L212" s="109"/>
      <c r="M212" s="107"/>
      <c r="N212" s="108">
        <f>MONTH(Tableau13[[#This Row],[Date fin intervention]])</f>
        <v>5</v>
      </c>
      <c r="O212" s="108">
        <f>YEAR(Tableau13[[#This Row],[Date fin intervention]])</f>
        <v>2019</v>
      </c>
      <c r="P212" s="36"/>
    </row>
    <row r="213" spans="1:16">
      <c r="A213" s="71">
        <v>43612</v>
      </c>
      <c r="B213" s="105">
        <v>800</v>
      </c>
      <c r="C213" s="106" t="str">
        <f>IF(ISNA(VLOOKUP(Tableau13[[#This Row],[Code machine]],'CODE mchn'!$A$4:$C$170,2,0)),"",VLOOKUP(Tableau13[[#This Row],[Code machine]],'CODE mchn'!$A$4:$C$170,2,0))</f>
        <v>Béton</v>
      </c>
      <c r="D213" s="36" t="str">
        <f>IF(ISNA(VLOOKUP(Tableau13[[#This Row],[Code machine]],'CODE mchn'!$A$4:$C$170,3,0)),"",VLOOKUP(Tableau13[[#This Row],[Code machine]],'CODE mchn'!$A$4:$C$170,3,0))</f>
        <v>Poyatos 2</v>
      </c>
      <c r="E213" s="105"/>
      <c r="F213" s="36"/>
      <c r="G213" s="36" t="s">
        <v>416</v>
      </c>
      <c r="H213" s="36" t="s">
        <v>417</v>
      </c>
      <c r="I213" s="36" t="s">
        <v>13</v>
      </c>
      <c r="J213" s="106" t="s">
        <v>418</v>
      </c>
      <c r="K213" s="71">
        <v>43612</v>
      </c>
      <c r="L213" s="109"/>
      <c r="M213" s="107"/>
      <c r="N213" s="108">
        <f>MONTH(Tableau13[[#This Row],[Date fin intervention]])</f>
        <v>5</v>
      </c>
      <c r="O213" s="108">
        <f>YEAR(Tableau13[[#This Row],[Date fin intervention]])</f>
        <v>2019</v>
      </c>
      <c r="P213" s="36"/>
    </row>
    <row r="214" spans="1:16">
      <c r="A214" s="71">
        <v>43612</v>
      </c>
      <c r="B214" s="105">
        <v>800</v>
      </c>
      <c r="C214" s="106" t="str">
        <f>IF(ISNA(VLOOKUP(Tableau13[[#This Row],[Code machine]],'CODE mchn'!$A$4:$C$170,2,0)),"",VLOOKUP(Tableau13[[#This Row],[Code machine]],'CODE mchn'!$A$4:$C$170,2,0))</f>
        <v>Béton</v>
      </c>
      <c r="D214" s="36" t="str">
        <f>IF(ISNA(VLOOKUP(Tableau13[[#This Row],[Code machine]],'CODE mchn'!$A$4:$C$170,3,0)),"",VLOOKUP(Tableau13[[#This Row],[Code machine]],'CODE mchn'!$A$4:$C$170,3,0))</f>
        <v>Poyatos 2</v>
      </c>
      <c r="E214" s="105"/>
      <c r="F214" s="36"/>
      <c r="G214" s="36" t="s">
        <v>118</v>
      </c>
      <c r="H214" s="36" t="s">
        <v>420</v>
      </c>
      <c r="I214" s="36" t="s">
        <v>13</v>
      </c>
      <c r="J214" s="106" t="s">
        <v>164</v>
      </c>
      <c r="K214" s="71">
        <v>43612</v>
      </c>
      <c r="L214" s="109"/>
      <c r="M214" s="107"/>
      <c r="N214" s="108">
        <f>MONTH(Tableau13[[#This Row],[Date fin intervention]])</f>
        <v>5</v>
      </c>
      <c r="O214" s="108">
        <f>YEAR(Tableau13[[#This Row],[Date fin intervention]])</f>
        <v>2019</v>
      </c>
      <c r="P214" s="36"/>
    </row>
    <row r="215" spans="1:16">
      <c r="A215" s="110">
        <v>43612</v>
      </c>
      <c r="B215" s="111">
        <v>580</v>
      </c>
      <c r="C215" s="106" t="str">
        <f>IF(ISNA(VLOOKUP(Tableau13[[#This Row],[Code machine]],'CODE mchn'!$A$4:$C$170,2,0)),"",VLOOKUP(Tableau13[[#This Row],[Code machine]],'CODE mchn'!$A$4:$C$170,2,0))</f>
        <v>Acier</v>
      </c>
      <c r="D215" s="36" t="str">
        <f>IF(ISNA(VLOOKUP(Tableau13[[#This Row],[Code machine]],'CODE mchn'!$A$4:$C$170,3,0)),"",VLOOKUP(Tableau13[[#This Row],[Code machine]],'CODE mchn'!$A$4:$C$170,3,0))</f>
        <v>Techno Impiante</v>
      </c>
      <c r="E215" s="105"/>
      <c r="F215" s="36"/>
      <c r="G215" s="62" t="s">
        <v>78</v>
      </c>
      <c r="H215" s="62" t="s">
        <v>486</v>
      </c>
      <c r="I215" s="62" t="s">
        <v>13</v>
      </c>
      <c r="J215" s="248" t="s">
        <v>487</v>
      </c>
      <c r="K215" s="112">
        <v>43612</v>
      </c>
      <c r="L215" s="109"/>
      <c r="M215" s="107"/>
      <c r="N215" s="108">
        <f>MONTH(Tableau13[[#This Row],[Date fin intervention]])</f>
        <v>5</v>
      </c>
      <c r="O215" s="108">
        <f>YEAR(Tableau13[[#This Row],[Date fin intervention]])</f>
        <v>2019</v>
      </c>
      <c r="P215" s="36"/>
    </row>
    <row r="216" spans="1:16">
      <c r="A216" s="71">
        <v>43613</v>
      </c>
      <c r="B216" s="105">
        <v>700</v>
      </c>
      <c r="C216" s="106" t="str">
        <f>IF(ISNA(VLOOKUP(Tableau13[[#This Row],[Code machine]],'CODE mchn'!$A$4:$C$170,2,0)),"",VLOOKUP(Tableau13[[#This Row],[Code machine]],'CODE mchn'!$A$4:$C$170,2,0))</f>
        <v>Béton</v>
      </c>
      <c r="D216" s="36" t="str">
        <f>IF(ISNA(VLOOKUP(Tableau13[[#This Row],[Code machine]],'CODE mchn'!$A$4:$C$170,3,0)),"",VLOOKUP(Tableau13[[#This Row],[Code machine]],'CODE mchn'!$A$4:$C$170,3,0))</f>
        <v>Poyatos 1</v>
      </c>
      <c r="E216" s="105"/>
      <c r="F216" s="36"/>
      <c r="G216" s="36" t="s">
        <v>409</v>
      </c>
      <c r="H216" s="36" t="s">
        <v>410</v>
      </c>
      <c r="I216" s="36" t="s">
        <v>13</v>
      </c>
      <c r="J216" s="106" t="s">
        <v>411</v>
      </c>
      <c r="K216" s="71">
        <v>43613</v>
      </c>
      <c r="L216" s="109" t="s">
        <v>412</v>
      </c>
      <c r="M216" s="107"/>
      <c r="N216" s="108">
        <f>MONTH(Tableau13[[#This Row],[Date fin intervention]])</f>
        <v>5</v>
      </c>
      <c r="O216" s="108">
        <f>YEAR(Tableau13[[#This Row],[Date fin intervention]])</f>
        <v>2019</v>
      </c>
      <c r="P216" s="36"/>
    </row>
    <row r="217" spans="1:16">
      <c r="A217" s="71">
        <v>43613</v>
      </c>
      <c r="B217" s="105">
        <v>800</v>
      </c>
      <c r="C217" s="106" t="str">
        <f>IF(ISNA(VLOOKUP(Tableau13[[#This Row],[Code machine]],'CODE mchn'!$A$4:$C$170,2,0)),"",VLOOKUP(Tableau13[[#This Row],[Code machine]],'CODE mchn'!$A$4:$C$170,2,0))</f>
        <v>Béton</v>
      </c>
      <c r="D217" s="36" t="str">
        <f>IF(ISNA(VLOOKUP(Tableau13[[#This Row],[Code machine]],'CODE mchn'!$A$4:$C$170,3,0)),"",VLOOKUP(Tableau13[[#This Row],[Code machine]],'CODE mchn'!$A$4:$C$170,3,0))</f>
        <v>Poyatos 2</v>
      </c>
      <c r="E217" s="105"/>
      <c r="F217" s="36"/>
      <c r="G217" s="36" t="s">
        <v>291</v>
      </c>
      <c r="H217" s="36" t="s">
        <v>403</v>
      </c>
      <c r="I217" s="36" t="s">
        <v>13</v>
      </c>
      <c r="J217" s="106" t="s">
        <v>419</v>
      </c>
      <c r="K217" s="71">
        <v>43613</v>
      </c>
      <c r="L217" s="109"/>
      <c r="M217" s="107"/>
      <c r="N217" s="108">
        <f>MONTH(Tableau13[[#This Row],[Date fin intervention]])</f>
        <v>5</v>
      </c>
      <c r="O217" s="108">
        <f>YEAR(Tableau13[[#This Row],[Date fin intervention]])</f>
        <v>2019</v>
      </c>
      <c r="P217" s="36"/>
    </row>
    <row r="218" spans="1:16">
      <c r="A218" s="110">
        <v>43613</v>
      </c>
      <c r="B218" s="111">
        <v>581</v>
      </c>
      <c r="C218" s="106" t="str">
        <f>IF(ISNA(VLOOKUP(Tableau13[[#This Row],[Code machine]],'CODE mchn'!$A$4:$C$170,2,0)),"",VLOOKUP(Tableau13[[#This Row],[Code machine]],'CODE mchn'!$A$4:$C$170,2,0))</f>
        <v>Acier</v>
      </c>
      <c r="D218" s="36" t="str">
        <f>IF(ISNA(VLOOKUP(Tableau13[[#This Row],[Code machine]],'CODE mchn'!$A$4:$C$170,3,0)),"",VLOOKUP(Tableau13[[#This Row],[Code machine]],'CODE mchn'!$A$4:$C$170,3,0))</f>
        <v>Teurema 1</v>
      </c>
      <c r="E218" s="105"/>
      <c r="F218" s="36"/>
      <c r="G218" s="62" t="s">
        <v>49</v>
      </c>
      <c r="H218" s="62" t="s">
        <v>484</v>
      </c>
      <c r="I218" s="62" t="s">
        <v>13</v>
      </c>
      <c r="J218" s="248" t="s">
        <v>485</v>
      </c>
      <c r="K218" s="112">
        <v>43613</v>
      </c>
      <c r="L218" s="109"/>
      <c r="M218" s="107"/>
      <c r="N218" s="108">
        <f>MONTH(Tableau13[[#This Row],[Date fin intervention]])</f>
        <v>5</v>
      </c>
      <c r="O218" s="108">
        <f>YEAR(Tableau13[[#This Row],[Date fin intervention]])</f>
        <v>2019</v>
      </c>
      <c r="P218" s="36"/>
    </row>
    <row r="219" spans="1:16">
      <c r="A219" s="71">
        <v>43614</v>
      </c>
      <c r="B219" s="105">
        <v>534</v>
      </c>
      <c r="C219" s="106" t="str">
        <f>IF(ISNA(VLOOKUP(Tableau13[[#This Row],[Code machine]],'CODE mchn'!$A$4:$C$170,2,0)),"",VLOOKUP(Tableau13[[#This Row],[Code machine]],'CODE mchn'!$A$4:$C$170,2,0))</f>
        <v>Enrobage</v>
      </c>
      <c r="D219" s="36" t="str">
        <f>IF(ISNA(VLOOKUP(Tableau13[[#This Row],[Code machine]],'CODE mchn'!$A$4:$C$170,3,0)),"",VLOOKUP(Tableau13[[#This Row],[Code machine]],'CODE mchn'!$A$4:$C$170,3,0))</f>
        <v>ELKON 2</v>
      </c>
      <c r="E219" s="105"/>
      <c r="F219" s="36"/>
      <c r="G219" s="36" t="s">
        <v>413</v>
      </c>
      <c r="H219" s="36" t="s">
        <v>414</v>
      </c>
      <c r="I219" s="36" t="s">
        <v>13</v>
      </c>
      <c r="J219" s="106" t="s">
        <v>415</v>
      </c>
      <c r="K219" s="71">
        <v>43614</v>
      </c>
      <c r="L219" s="109"/>
      <c r="M219" s="107"/>
      <c r="N219" s="108">
        <f>MONTH(Tableau13[[#This Row],[Date fin intervention]])</f>
        <v>5</v>
      </c>
      <c r="O219" s="108">
        <f>YEAR(Tableau13[[#This Row],[Date fin intervention]])</f>
        <v>2019</v>
      </c>
      <c r="P219" s="36"/>
    </row>
    <row r="220" spans="1:16">
      <c r="A220" s="71">
        <v>43614</v>
      </c>
      <c r="B220" s="105">
        <v>700</v>
      </c>
      <c r="C220" s="106" t="str">
        <f>IF(ISNA(VLOOKUP(Tableau13[[#This Row],[Code machine]],'CODE mchn'!$A$4:$C$170,2,0)),"",VLOOKUP(Tableau13[[#This Row],[Code machine]],'CODE mchn'!$A$4:$C$170,2,0))</f>
        <v>Béton</v>
      </c>
      <c r="D220" s="36" t="str">
        <f>IF(ISNA(VLOOKUP(Tableau13[[#This Row],[Code machine]],'CODE mchn'!$A$4:$C$170,3,0)),"",VLOOKUP(Tableau13[[#This Row],[Code machine]],'CODE mchn'!$A$4:$C$170,3,0))</f>
        <v>Poyatos 1</v>
      </c>
      <c r="E220" s="105"/>
      <c r="F220" s="36"/>
      <c r="G220" s="36" t="s">
        <v>421</v>
      </c>
      <c r="H220" s="36" t="s">
        <v>417</v>
      </c>
      <c r="I220" s="36" t="s">
        <v>13</v>
      </c>
      <c r="J220" s="106" t="s">
        <v>422</v>
      </c>
      <c r="K220" s="71">
        <v>43614</v>
      </c>
      <c r="L220" s="109"/>
      <c r="M220" s="107"/>
      <c r="N220" s="108">
        <f>MONTH(Tableau13[[#This Row],[Date fin intervention]])</f>
        <v>5</v>
      </c>
      <c r="O220" s="108">
        <f>YEAR(Tableau13[[#This Row],[Date fin intervention]])</f>
        <v>2019</v>
      </c>
      <c r="P220" s="36"/>
    </row>
    <row r="221" spans="1:16">
      <c r="A221" s="71">
        <v>43614</v>
      </c>
      <c r="B221" s="105">
        <v>700</v>
      </c>
      <c r="C221" s="106" t="str">
        <f>IF(ISNA(VLOOKUP(Tableau13[[#This Row],[Code machine]],'CODE mchn'!$A$4:$C$170,2,0)),"",VLOOKUP(Tableau13[[#This Row],[Code machine]],'CODE mchn'!$A$4:$C$170,2,0))</f>
        <v>Béton</v>
      </c>
      <c r="D221" s="36" t="str">
        <f>IF(ISNA(VLOOKUP(Tableau13[[#This Row],[Code machine]],'CODE mchn'!$A$4:$C$170,3,0)),"",VLOOKUP(Tableau13[[#This Row],[Code machine]],'CODE mchn'!$A$4:$C$170,3,0))</f>
        <v>Poyatos 1</v>
      </c>
      <c r="E221" s="105"/>
      <c r="F221" s="36"/>
      <c r="G221" s="36" t="s">
        <v>331</v>
      </c>
      <c r="H221" s="36" t="s">
        <v>423</v>
      </c>
      <c r="I221" s="36" t="s">
        <v>8</v>
      </c>
      <c r="J221" s="106" t="s">
        <v>424</v>
      </c>
      <c r="K221" s="71">
        <v>43614</v>
      </c>
      <c r="L221" s="109"/>
      <c r="M221" s="107"/>
      <c r="N221" s="108">
        <f>MONTH(Tableau13[[#This Row],[Date fin intervention]])</f>
        <v>5</v>
      </c>
      <c r="O221" s="108">
        <f>YEAR(Tableau13[[#This Row],[Date fin intervention]])</f>
        <v>2019</v>
      </c>
      <c r="P221" s="36"/>
    </row>
    <row r="222" spans="1:16">
      <c r="A222" s="71">
        <v>43614</v>
      </c>
      <c r="B222" s="105">
        <v>700</v>
      </c>
      <c r="C222" s="106" t="str">
        <f>IF(ISNA(VLOOKUP(Tableau13[[#This Row],[Code machine]],'CODE mchn'!$A$4:$C$170,2,0)),"",VLOOKUP(Tableau13[[#This Row],[Code machine]],'CODE mchn'!$A$4:$C$170,2,0))</f>
        <v>Béton</v>
      </c>
      <c r="D222" s="36" t="str">
        <f>IF(ISNA(VLOOKUP(Tableau13[[#This Row],[Code machine]],'CODE mchn'!$A$4:$C$170,3,0)),"",VLOOKUP(Tableau13[[#This Row],[Code machine]],'CODE mchn'!$A$4:$C$170,3,0))</f>
        <v>Poyatos 1</v>
      </c>
      <c r="E222" s="105"/>
      <c r="F222" s="36"/>
      <c r="G222" s="36" t="s">
        <v>185</v>
      </c>
      <c r="H222" s="36" t="s">
        <v>425</v>
      </c>
      <c r="I222" s="36" t="s">
        <v>8</v>
      </c>
      <c r="J222" s="106" t="s">
        <v>333</v>
      </c>
      <c r="K222" s="71">
        <v>43614</v>
      </c>
      <c r="L222" s="109"/>
      <c r="M222" s="107"/>
      <c r="N222" s="108">
        <f>MONTH(Tableau13[[#This Row],[Date fin intervention]])</f>
        <v>5</v>
      </c>
      <c r="O222" s="108">
        <f>YEAR(Tableau13[[#This Row],[Date fin intervention]])</f>
        <v>2019</v>
      </c>
      <c r="P222" s="36"/>
    </row>
    <row r="223" spans="1:16">
      <c r="A223" s="110">
        <v>43614</v>
      </c>
      <c r="B223" s="111">
        <v>565</v>
      </c>
      <c r="C223" s="106" t="str">
        <f>IF(ISNA(VLOOKUP(Tableau13[[#This Row],[Code machine]],'CODE mchn'!$A$4:$C$170,2,0)),"",VLOOKUP(Tableau13[[#This Row],[Code machine]],'CODE mchn'!$A$4:$C$170,2,0))</f>
        <v>Acier</v>
      </c>
      <c r="D223" s="36" t="str">
        <f>IF(ISNA(VLOOKUP(Tableau13[[#This Row],[Code machine]],'CODE mchn'!$A$4:$C$170,3,0)),"",VLOOKUP(Tableau13[[#This Row],[Code machine]],'CODE mchn'!$A$4:$C$170,3,0))</f>
        <v>EVG GE12</v>
      </c>
      <c r="E223" s="105"/>
      <c r="F223" s="36"/>
      <c r="G223" s="62" t="s">
        <v>75</v>
      </c>
      <c r="H223" s="62" t="s">
        <v>488</v>
      </c>
      <c r="I223" s="62" t="s">
        <v>13</v>
      </c>
      <c r="J223" s="248" t="s">
        <v>489</v>
      </c>
      <c r="K223" s="112">
        <v>43614</v>
      </c>
      <c r="L223" s="109"/>
      <c r="M223" s="107"/>
      <c r="N223" s="108">
        <f>MONTH(Tableau13[[#This Row],[Date fin intervention]])</f>
        <v>5</v>
      </c>
      <c r="O223" s="108">
        <f>YEAR(Tableau13[[#This Row],[Date fin intervention]])</f>
        <v>2019</v>
      </c>
      <c r="P223" s="36"/>
    </row>
    <row r="224" spans="1:16" ht="28.5">
      <c r="A224" s="110">
        <v>43614</v>
      </c>
      <c r="B224" s="111">
        <v>568</v>
      </c>
      <c r="C224" s="106" t="str">
        <f>IF(ISNA(VLOOKUP(Tableau13[[#This Row],[Code machine]],'CODE mchn'!$A$4:$C$170,2,0)),"",VLOOKUP(Tableau13[[#This Row],[Code machine]],'CODE mchn'!$A$4:$C$170,2,0))</f>
        <v>Ponts roulants</v>
      </c>
      <c r="D224" s="36" t="str">
        <f>IF(ISNA(VLOOKUP(Tableau13[[#This Row],[Code machine]],'CODE mchn'!$A$4:$C$170,3,0)),"",VLOOKUP(Tableau13[[#This Row],[Code machine]],'CODE mchn'!$A$4:$C$170,3,0))</f>
        <v>Pont roulant Demag 5T (milieu)</v>
      </c>
      <c r="E224" s="105"/>
      <c r="F224" s="36"/>
      <c r="G224" s="62" t="s">
        <v>52</v>
      </c>
      <c r="H224" s="62" t="s">
        <v>507</v>
      </c>
      <c r="I224" s="62" t="s">
        <v>13</v>
      </c>
      <c r="J224" s="248" t="s">
        <v>156</v>
      </c>
      <c r="K224" s="112">
        <v>43614</v>
      </c>
      <c r="L224" s="109"/>
      <c r="M224" s="107"/>
      <c r="N224" s="108">
        <f>MONTH(Tableau13[[#This Row],[Date fin intervention]])</f>
        <v>5</v>
      </c>
      <c r="O224" s="108">
        <f>YEAR(Tableau13[[#This Row],[Date fin intervention]])</f>
        <v>2019</v>
      </c>
      <c r="P224" s="36"/>
    </row>
    <row r="225" spans="1:16">
      <c r="A225" s="71">
        <v>43615</v>
      </c>
      <c r="B225" s="105">
        <v>800</v>
      </c>
      <c r="C225" s="106" t="str">
        <f>IF(ISNA(VLOOKUP(Tableau13[[#This Row],[Code machine]],'CODE mchn'!$A$4:$C$170,2,0)),"",VLOOKUP(Tableau13[[#This Row],[Code machine]],'CODE mchn'!$A$4:$C$170,2,0))</f>
        <v>Béton</v>
      </c>
      <c r="D225" s="36" t="str">
        <f>IF(ISNA(VLOOKUP(Tableau13[[#This Row],[Code machine]],'CODE mchn'!$A$4:$C$170,3,0)),"",VLOOKUP(Tableau13[[#This Row],[Code machine]],'CODE mchn'!$A$4:$C$170,3,0))</f>
        <v>Poyatos 2</v>
      </c>
      <c r="E225" s="105"/>
      <c r="F225" s="36"/>
      <c r="G225" s="36" t="s">
        <v>185</v>
      </c>
      <c r="H225" s="36" t="s">
        <v>425</v>
      </c>
      <c r="I225" s="36" t="s">
        <v>8</v>
      </c>
      <c r="J225" s="106" t="s">
        <v>333</v>
      </c>
      <c r="K225" s="71">
        <v>43615</v>
      </c>
      <c r="L225" s="109"/>
      <c r="M225" s="107"/>
      <c r="N225" s="108">
        <f>MONTH(Tableau13[[#This Row],[Date fin intervention]])</f>
        <v>5</v>
      </c>
      <c r="O225" s="108">
        <f>YEAR(Tableau13[[#This Row],[Date fin intervention]])</f>
        <v>2019</v>
      </c>
      <c r="P225" s="36"/>
    </row>
    <row r="226" spans="1:16">
      <c r="A226" s="71">
        <v>43615</v>
      </c>
      <c r="B226" s="105">
        <v>800</v>
      </c>
      <c r="C226" s="106" t="str">
        <f>IF(ISNA(VLOOKUP(Tableau13[[#This Row],[Code machine]],'CODE mchn'!$A$4:$C$170,2,0)),"",VLOOKUP(Tableau13[[#This Row],[Code machine]],'CODE mchn'!$A$4:$C$170,2,0))</f>
        <v>Béton</v>
      </c>
      <c r="D226" s="36" t="str">
        <f>IF(ISNA(VLOOKUP(Tableau13[[#This Row],[Code machine]],'CODE mchn'!$A$4:$C$170,3,0)),"",VLOOKUP(Tableau13[[#This Row],[Code machine]],'CODE mchn'!$A$4:$C$170,3,0))</f>
        <v>Poyatos 2</v>
      </c>
      <c r="E226" s="105"/>
      <c r="F226" s="36"/>
      <c r="G226" s="36" t="s">
        <v>394</v>
      </c>
      <c r="H226" s="36" t="s">
        <v>426</v>
      </c>
      <c r="I226" s="36" t="s">
        <v>8</v>
      </c>
      <c r="J226" s="106" t="s">
        <v>211</v>
      </c>
      <c r="K226" s="71">
        <v>43615</v>
      </c>
      <c r="L226" s="109"/>
      <c r="M226" s="107"/>
      <c r="N226" s="108">
        <f>MONTH(Tableau13[[#This Row],[Date fin intervention]])</f>
        <v>5</v>
      </c>
      <c r="O226" s="108">
        <f>YEAR(Tableau13[[#This Row],[Date fin intervention]])</f>
        <v>2019</v>
      </c>
      <c r="P226" s="36"/>
    </row>
    <row r="227" spans="1:16">
      <c r="A227" s="71">
        <v>43615</v>
      </c>
      <c r="B227" s="105">
        <v>700</v>
      </c>
      <c r="C227" s="106" t="str">
        <f>IF(ISNA(VLOOKUP(Tableau13[[#This Row],[Code machine]],'CODE mchn'!$A$4:$C$170,2,0)),"",VLOOKUP(Tableau13[[#This Row],[Code machine]],'CODE mchn'!$A$4:$C$170,2,0))</f>
        <v>Béton</v>
      </c>
      <c r="D227" s="36" t="str">
        <f>IF(ISNA(VLOOKUP(Tableau13[[#This Row],[Code machine]],'CODE mchn'!$A$4:$C$170,3,0)),"",VLOOKUP(Tableau13[[#This Row],[Code machine]],'CODE mchn'!$A$4:$C$170,3,0))</f>
        <v>Poyatos 1</v>
      </c>
      <c r="E227" s="105"/>
      <c r="F227" s="36"/>
      <c r="G227" s="36" t="s">
        <v>427</v>
      </c>
      <c r="H227" s="36" t="s">
        <v>428</v>
      </c>
      <c r="I227" s="36" t="s">
        <v>152</v>
      </c>
      <c r="J227" s="106" t="s">
        <v>429</v>
      </c>
      <c r="K227" s="71">
        <v>43615</v>
      </c>
      <c r="L227" s="109"/>
      <c r="M227" s="107"/>
      <c r="N227" s="108">
        <f>MONTH(Tableau13[[#This Row],[Date fin intervention]])</f>
        <v>5</v>
      </c>
      <c r="O227" s="108">
        <f>YEAR(Tableau13[[#This Row],[Date fin intervention]])</f>
        <v>2019</v>
      </c>
      <c r="P227" s="36"/>
    </row>
    <row r="228" spans="1:16">
      <c r="A228" s="110">
        <v>43615</v>
      </c>
      <c r="B228" s="111">
        <v>560</v>
      </c>
      <c r="C228" s="106" t="str">
        <f>IF(ISNA(VLOOKUP(Tableau13[[#This Row],[Code machine]],'CODE mchn'!$A$4:$C$170,2,0)),"",VLOOKUP(Tableau13[[#This Row],[Code machine]],'CODE mchn'!$A$4:$C$170,2,0))</f>
        <v>Acier</v>
      </c>
      <c r="D228" s="36" t="str">
        <f>IF(ISNA(VLOOKUP(Tableau13[[#This Row],[Code machine]],'CODE mchn'!$A$4:$C$170,3,0)),"",VLOOKUP(Tableau13[[#This Row],[Code machine]],'CODE mchn'!$A$4:$C$170,3,0))</f>
        <v>Schlatter</v>
      </c>
      <c r="E228" s="105"/>
      <c r="F228" s="36"/>
      <c r="G228" s="62" t="s">
        <v>104</v>
      </c>
      <c r="H228" s="62" t="s">
        <v>490</v>
      </c>
      <c r="I228" s="62" t="s">
        <v>13</v>
      </c>
      <c r="J228" s="248" t="s">
        <v>491</v>
      </c>
      <c r="K228" s="112">
        <v>43615</v>
      </c>
      <c r="L228" s="109" t="s">
        <v>492</v>
      </c>
      <c r="M228" s="107">
        <v>2</v>
      </c>
      <c r="N228" s="108">
        <f>MONTH(Tableau13[[#This Row],[Date fin intervention]])</f>
        <v>5</v>
      </c>
      <c r="O228" s="108">
        <f>YEAR(Tableau13[[#This Row],[Date fin intervention]])</f>
        <v>2019</v>
      </c>
      <c r="P228" s="36"/>
    </row>
    <row r="229" spans="1:16">
      <c r="A229" s="71">
        <v>43617</v>
      </c>
      <c r="B229" s="105">
        <v>800</v>
      </c>
      <c r="C229" s="106" t="str">
        <f>IF(ISNA(VLOOKUP(Tableau13[[#This Row],[Code machine]],'CODE mchn'!$A$4:$C$170,2,0)),"",VLOOKUP(Tableau13[[#This Row],[Code machine]],'CODE mchn'!$A$4:$C$170,2,0))</f>
        <v>Béton</v>
      </c>
      <c r="D229" s="36" t="str">
        <f>IF(ISNA(VLOOKUP(Tableau13[[#This Row],[Code machine]],'CODE mchn'!$A$4:$C$170,3,0)),"",VLOOKUP(Tableau13[[#This Row],[Code machine]],'CODE mchn'!$A$4:$C$170,3,0))</f>
        <v>Poyatos 2</v>
      </c>
      <c r="E229" s="105"/>
      <c r="F229" s="36"/>
      <c r="G229" s="36" t="s">
        <v>397</v>
      </c>
      <c r="H229" s="36" t="s">
        <v>432</v>
      </c>
      <c r="I229" s="36" t="s">
        <v>107</v>
      </c>
      <c r="J229" s="106" t="s">
        <v>433</v>
      </c>
      <c r="K229" s="71">
        <v>43617</v>
      </c>
      <c r="L229" s="109"/>
      <c r="M229" s="107"/>
      <c r="N229" s="108">
        <f>MONTH(Tableau13[[#This Row],[Date fin intervention]])</f>
        <v>6</v>
      </c>
      <c r="O229" s="108">
        <f>YEAR(Tableau13[[#This Row],[Date fin intervention]])</f>
        <v>2019</v>
      </c>
      <c r="P229" s="36"/>
    </row>
    <row r="230" spans="1:16">
      <c r="A230" s="71">
        <v>43617</v>
      </c>
      <c r="B230" s="105">
        <v>700</v>
      </c>
      <c r="C230" s="106" t="str">
        <f>IF(ISNA(VLOOKUP(Tableau13[[#This Row],[Code machine]],'CODE mchn'!$A$4:$C$170,2,0)),"",VLOOKUP(Tableau13[[#This Row],[Code machine]],'CODE mchn'!$A$4:$C$170,2,0))</f>
        <v>Béton</v>
      </c>
      <c r="D230" s="36" t="str">
        <f>IF(ISNA(VLOOKUP(Tableau13[[#This Row],[Code machine]],'CODE mchn'!$A$4:$C$170,3,0)),"",VLOOKUP(Tableau13[[#This Row],[Code machine]],'CODE mchn'!$A$4:$C$170,3,0))</f>
        <v>Poyatos 1</v>
      </c>
      <c r="E230" s="105"/>
      <c r="F230" s="36"/>
      <c r="G230" s="36" t="s">
        <v>394</v>
      </c>
      <c r="H230" s="36" t="s">
        <v>436</v>
      </c>
      <c r="I230" s="36" t="s">
        <v>8</v>
      </c>
      <c r="J230" s="106" t="s">
        <v>522</v>
      </c>
      <c r="K230" s="71">
        <v>43617</v>
      </c>
      <c r="L230" s="109"/>
      <c r="M230" s="107"/>
      <c r="N230" s="108">
        <f>MONTH(Tableau13[[#This Row],[Date fin intervention]])</f>
        <v>6</v>
      </c>
      <c r="O230" s="108">
        <f>YEAR(Tableau13[[#This Row],[Date fin intervention]])</f>
        <v>2019</v>
      </c>
      <c r="P230" s="36"/>
    </row>
    <row r="231" spans="1:16">
      <c r="A231" s="71">
        <v>43619</v>
      </c>
      <c r="B231" s="105">
        <v>800</v>
      </c>
      <c r="C231" s="106" t="str">
        <f>IF(ISNA(VLOOKUP(Tableau13[[#This Row],[Code machine]],'CODE mchn'!$A$4:$C$170,2,0)),"",VLOOKUP(Tableau13[[#This Row],[Code machine]],'CODE mchn'!$A$4:$C$170,2,0))</f>
        <v>Béton</v>
      </c>
      <c r="D231" s="36" t="str">
        <f>IF(ISNA(VLOOKUP(Tableau13[[#This Row],[Code machine]],'CODE mchn'!$A$4:$C$170,3,0)),"",VLOOKUP(Tableau13[[#This Row],[Code machine]],'CODE mchn'!$A$4:$C$170,3,0))</f>
        <v>Poyatos 2</v>
      </c>
      <c r="E231" s="105"/>
      <c r="F231" s="36"/>
      <c r="G231" s="36" t="s">
        <v>185</v>
      </c>
      <c r="H231" s="36" t="s">
        <v>430</v>
      </c>
      <c r="I231" s="36" t="s">
        <v>13</v>
      </c>
      <c r="J231" s="106" t="s">
        <v>431</v>
      </c>
      <c r="K231" s="71">
        <v>43619</v>
      </c>
      <c r="L231" s="109"/>
      <c r="M231" s="107"/>
      <c r="N231" s="108">
        <f>MONTH(Tableau13[[#This Row],[Date fin intervention]])</f>
        <v>6</v>
      </c>
      <c r="O231" s="108">
        <f>YEAR(Tableau13[[#This Row],[Date fin intervention]])</f>
        <v>2019</v>
      </c>
      <c r="P231" s="36"/>
    </row>
    <row r="232" spans="1:16">
      <c r="A232" s="71">
        <v>43619</v>
      </c>
      <c r="B232" s="105">
        <v>700</v>
      </c>
      <c r="C232" s="106" t="str">
        <f>IF(ISNA(VLOOKUP(Tableau13[[#This Row],[Code machine]],'CODE mchn'!$A$4:$C$170,2,0)),"",VLOOKUP(Tableau13[[#This Row],[Code machine]],'CODE mchn'!$A$4:$C$170,2,0))</f>
        <v>Béton</v>
      </c>
      <c r="D232" s="36" t="str">
        <f>IF(ISNA(VLOOKUP(Tableau13[[#This Row],[Code machine]],'CODE mchn'!$A$4:$C$170,3,0)),"",VLOOKUP(Tableau13[[#This Row],[Code machine]],'CODE mchn'!$A$4:$C$170,3,0))</f>
        <v>Poyatos 1</v>
      </c>
      <c r="E232" s="105"/>
      <c r="F232" s="36"/>
      <c r="G232" s="36" t="s">
        <v>46</v>
      </c>
      <c r="H232" s="36" t="s">
        <v>434</v>
      </c>
      <c r="I232" s="36" t="s">
        <v>13</v>
      </c>
      <c r="J232" s="106" t="s">
        <v>435</v>
      </c>
      <c r="K232" s="71">
        <v>43619</v>
      </c>
      <c r="L232" s="109"/>
      <c r="M232" s="107"/>
      <c r="N232" s="108">
        <f>MONTH(Tableau13[[#This Row],[Date fin intervention]])</f>
        <v>6</v>
      </c>
      <c r="O232" s="108">
        <f>YEAR(Tableau13[[#This Row],[Date fin intervention]])</f>
        <v>2019</v>
      </c>
      <c r="P232" s="36"/>
    </row>
    <row r="233" spans="1:16" ht="28.5">
      <c r="A233" s="110">
        <v>43619</v>
      </c>
      <c r="B233" s="111">
        <v>583</v>
      </c>
      <c r="C233" s="106" t="str">
        <f>IF(ISNA(VLOOKUP(Tableau13[[#This Row],[Code machine]],'CODE mchn'!$A$4:$C$170,2,0)),"",VLOOKUP(Tableau13[[#This Row],[Code machine]],'CODE mchn'!$A$4:$C$170,2,0))</f>
        <v>Ponts roulants</v>
      </c>
      <c r="D233" s="36" t="str">
        <f>IF(ISNA(VLOOKUP(Tableau13[[#This Row],[Code machine]],'CODE mchn'!$A$4:$C$170,3,0)),"",VLOOKUP(Tableau13[[#This Row],[Code machine]],'CODE mchn'!$A$4:$C$170,3,0))</f>
        <v>Pont roulant Abus 5T (teurema1)</v>
      </c>
      <c r="E233" s="105"/>
      <c r="F233" s="36"/>
      <c r="G233" s="62" t="s">
        <v>35</v>
      </c>
      <c r="H233" s="62" t="s">
        <v>493</v>
      </c>
      <c r="I233" s="62" t="s">
        <v>13</v>
      </c>
      <c r="J233" s="248" t="s">
        <v>494</v>
      </c>
      <c r="K233" s="112">
        <v>43619</v>
      </c>
      <c r="L233" s="109" t="s">
        <v>1120</v>
      </c>
      <c r="M233" s="107"/>
      <c r="N233" s="108">
        <f>MONTH(Tableau13[[#This Row],[Date fin intervention]])</f>
        <v>6</v>
      </c>
      <c r="O233" s="108">
        <f>YEAR(Tableau13[[#This Row],[Date fin intervention]])</f>
        <v>2019</v>
      </c>
      <c r="P233" s="36"/>
    </row>
    <row r="234" spans="1:16" ht="28.5">
      <c r="A234" s="71">
        <v>43620</v>
      </c>
      <c r="B234" s="105">
        <v>700</v>
      </c>
      <c r="C234" s="106" t="str">
        <f>IF(ISNA(VLOOKUP(Tableau13[[#This Row],[Code machine]],'CODE mchn'!$A$4:$C$170,2,0)),"",VLOOKUP(Tableau13[[#This Row],[Code machine]],'CODE mchn'!$A$4:$C$170,2,0))</f>
        <v>Béton</v>
      </c>
      <c r="D234" s="36" t="str">
        <f>IF(ISNA(VLOOKUP(Tableau13[[#This Row],[Code machine]],'CODE mchn'!$A$4:$C$170,3,0)),"",VLOOKUP(Tableau13[[#This Row],[Code machine]],'CODE mchn'!$A$4:$C$170,3,0))</f>
        <v>Poyatos 1</v>
      </c>
      <c r="E234" s="105"/>
      <c r="F234" s="36"/>
      <c r="G234" s="36" t="s">
        <v>319</v>
      </c>
      <c r="H234" s="36" t="s">
        <v>437</v>
      </c>
      <c r="I234" s="36" t="s">
        <v>13</v>
      </c>
      <c r="J234" s="106" t="s">
        <v>438</v>
      </c>
      <c r="K234" s="71">
        <v>43620</v>
      </c>
      <c r="L234" s="109" t="s">
        <v>946</v>
      </c>
      <c r="M234" s="107"/>
      <c r="N234" s="108">
        <f>MONTH(Tableau13[[#This Row],[Date fin intervention]])</f>
        <v>6</v>
      </c>
      <c r="O234" s="108">
        <f>YEAR(Tableau13[[#This Row],[Date fin intervention]])</f>
        <v>2019</v>
      </c>
      <c r="P234" s="36"/>
    </row>
    <row r="235" spans="1:16">
      <c r="A235" s="110">
        <v>43620</v>
      </c>
      <c r="B235" s="111">
        <v>700</v>
      </c>
      <c r="C235" s="106" t="str">
        <f>IF(ISNA(VLOOKUP(Tableau13[[#This Row],[Code machine]],'CODE mchn'!$A$4:$C$170,2,0)),"",VLOOKUP(Tableau13[[#This Row],[Code machine]],'CODE mchn'!$A$4:$C$170,2,0))</f>
        <v>Béton</v>
      </c>
      <c r="D235" s="36" t="str">
        <f>IF(ISNA(VLOOKUP(Tableau13[[#This Row],[Code machine]],'CODE mchn'!$A$4:$C$170,3,0)),"",VLOOKUP(Tableau13[[#This Row],[Code machine]],'CODE mchn'!$A$4:$C$170,3,0))</f>
        <v>Poyatos 1</v>
      </c>
      <c r="E235" s="105"/>
      <c r="F235" s="36"/>
      <c r="G235" s="62" t="s">
        <v>132</v>
      </c>
      <c r="H235" s="62" t="s">
        <v>439</v>
      </c>
      <c r="I235" s="62" t="s">
        <v>13</v>
      </c>
      <c r="J235" s="248" t="s">
        <v>440</v>
      </c>
      <c r="K235" s="112">
        <v>43620</v>
      </c>
      <c r="L235" s="109"/>
      <c r="M235" s="107"/>
      <c r="N235" s="108">
        <f>MONTH(Tableau13[[#This Row],[Date fin intervention]])</f>
        <v>6</v>
      </c>
      <c r="O235" s="108">
        <f>YEAR(Tableau13[[#This Row],[Date fin intervention]])</f>
        <v>2019</v>
      </c>
      <c r="P235" s="36"/>
    </row>
    <row r="236" spans="1:16">
      <c r="A236" s="110">
        <v>43626</v>
      </c>
      <c r="B236" s="111">
        <v>590</v>
      </c>
      <c r="C236" s="106" t="str">
        <f>IF(ISNA(VLOOKUP(Tableau13[[#This Row],[Code machine]],'CODE mchn'!$A$4:$C$170,2,0)),"",VLOOKUP(Tableau13[[#This Row],[Code machine]],'CODE mchn'!$A$4:$C$170,2,0))</f>
        <v>Acier</v>
      </c>
      <c r="D236" s="36" t="str">
        <f>IF(ISNA(VLOOKUP(Tableau13[[#This Row],[Code machine]],'CODE mchn'!$A$4:$C$170,3,0)),"",VLOOKUP(Tableau13[[#This Row],[Code machine]],'CODE mchn'!$A$4:$C$170,3,0))</f>
        <v>Teurema 3</v>
      </c>
      <c r="E236" s="105"/>
      <c r="F236" s="36"/>
      <c r="G236" s="62" t="s">
        <v>161</v>
      </c>
      <c r="H236" s="62" t="s">
        <v>507</v>
      </c>
      <c r="I236" s="62" t="s">
        <v>13</v>
      </c>
      <c r="J236" s="248" t="s">
        <v>508</v>
      </c>
      <c r="K236" s="112">
        <v>43626</v>
      </c>
      <c r="L236" s="109"/>
      <c r="M236" s="107"/>
      <c r="N236" s="108">
        <f>MONTH(Tableau13[[#This Row],[Date fin intervention]])</f>
        <v>6</v>
      </c>
      <c r="O236" s="108">
        <f>YEAR(Tableau13[[#This Row],[Date fin intervention]])</f>
        <v>2019</v>
      </c>
      <c r="P236" s="36"/>
    </row>
    <row r="237" spans="1:16">
      <c r="A237" s="110">
        <v>43627</v>
      </c>
      <c r="B237" s="111">
        <v>580</v>
      </c>
      <c r="C237" s="106" t="str">
        <f>IF(ISNA(VLOOKUP(Tableau13[[#This Row],[Code machine]],'CODE mchn'!$A$4:$C$170,2,0)),"",VLOOKUP(Tableau13[[#This Row],[Code machine]],'CODE mchn'!$A$4:$C$170,2,0))</f>
        <v>Acier</v>
      </c>
      <c r="D237" s="36" t="str">
        <f>IF(ISNA(VLOOKUP(Tableau13[[#This Row],[Code machine]],'CODE mchn'!$A$4:$C$170,3,0)),"",VLOOKUP(Tableau13[[#This Row],[Code machine]],'CODE mchn'!$A$4:$C$170,3,0))</f>
        <v>Techno Impiante</v>
      </c>
      <c r="E237" s="105"/>
      <c r="F237" s="36"/>
      <c r="G237" s="62" t="s">
        <v>495</v>
      </c>
      <c r="H237" s="62" t="s">
        <v>496</v>
      </c>
      <c r="I237" s="62" t="s">
        <v>13</v>
      </c>
      <c r="J237" s="248" t="s">
        <v>497</v>
      </c>
      <c r="K237" s="112">
        <v>43627</v>
      </c>
      <c r="L237" s="109"/>
      <c r="M237" s="107"/>
      <c r="N237" s="108">
        <f>MONTH(Tableau13[[#This Row],[Date fin intervention]])</f>
        <v>6</v>
      </c>
      <c r="O237" s="108">
        <f>YEAR(Tableau13[[#This Row],[Date fin intervention]])</f>
        <v>2019</v>
      </c>
      <c r="P237" s="36"/>
    </row>
    <row r="238" spans="1:16">
      <c r="A238" s="110">
        <v>43628</v>
      </c>
      <c r="B238" s="111">
        <v>800</v>
      </c>
      <c r="C238" s="106" t="str">
        <f>IF(ISNA(VLOOKUP(Tableau13[[#This Row],[Code machine]],'CODE mchn'!$A$4:$C$170,2,0)),"",VLOOKUP(Tableau13[[#This Row],[Code machine]],'CODE mchn'!$A$4:$C$170,2,0))</f>
        <v>Béton</v>
      </c>
      <c r="D238" s="36" t="str">
        <f>IF(ISNA(VLOOKUP(Tableau13[[#This Row],[Code machine]],'CODE mchn'!$A$4:$C$170,3,0)),"",VLOOKUP(Tableau13[[#This Row],[Code machine]],'CODE mchn'!$A$4:$C$170,3,0))</f>
        <v>Poyatos 2</v>
      </c>
      <c r="E238" s="105"/>
      <c r="F238" s="36"/>
      <c r="G238" s="62" t="s">
        <v>291</v>
      </c>
      <c r="H238" s="62" t="s">
        <v>535</v>
      </c>
      <c r="I238" s="62" t="s">
        <v>13</v>
      </c>
      <c r="J238" s="248" t="s">
        <v>536</v>
      </c>
      <c r="K238" s="112">
        <v>43628</v>
      </c>
      <c r="L238" s="109"/>
      <c r="M238" s="107"/>
      <c r="N238" s="108">
        <f>MONTH(Tableau13[[#This Row],[Date fin intervention]])</f>
        <v>6</v>
      </c>
      <c r="O238" s="108">
        <f>YEAR(Tableau13[[#This Row],[Date fin intervention]])</f>
        <v>2019</v>
      </c>
      <c r="P238" s="36"/>
    </row>
    <row r="239" spans="1:16">
      <c r="A239" s="110">
        <v>43628</v>
      </c>
      <c r="B239" s="111">
        <v>700</v>
      </c>
      <c r="C239" s="106" t="str">
        <f>IF(ISNA(VLOOKUP(Tableau13[[#This Row],[Code machine]],'CODE mchn'!$A$4:$C$170,2,0)),"",VLOOKUP(Tableau13[[#This Row],[Code machine]],'CODE mchn'!$A$4:$C$170,2,0))</f>
        <v>Béton</v>
      </c>
      <c r="D239" s="36" t="str">
        <f>IF(ISNA(VLOOKUP(Tableau13[[#This Row],[Code machine]],'CODE mchn'!$A$4:$C$170,3,0)),"",VLOOKUP(Tableau13[[#This Row],[Code machine]],'CODE mchn'!$A$4:$C$170,3,0))</f>
        <v>Poyatos 1</v>
      </c>
      <c r="E239" s="105"/>
      <c r="F239" s="36"/>
      <c r="G239" s="62" t="s">
        <v>20</v>
      </c>
      <c r="H239" s="62" t="s">
        <v>537</v>
      </c>
      <c r="I239" s="62" t="s">
        <v>107</v>
      </c>
      <c r="J239" s="248" t="s">
        <v>538</v>
      </c>
      <c r="K239" s="112">
        <v>43628</v>
      </c>
      <c r="L239" s="109"/>
      <c r="M239" s="107"/>
      <c r="N239" s="108">
        <f>MONTH(Tableau13[[#This Row],[Date fin intervention]])</f>
        <v>6</v>
      </c>
      <c r="O239" s="108">
        <f>YEAR(Tableau13[[#This Row],[Date fin intervention]])</f>
        <v>2019</v>
      </c>
      <c r="P239" s="36"/>
    </row>
    <row r="240" spans="1:16">
      <c r="A240" s="110">
        <v>43629</v>
      </c>
      <c r="B240" s="111">
        <v>590</v>
      </c>
      <c r="C240" s="106" t="str">
        <f>IF(ISNA(VLOOKUP(Tableau13[[#This Row],[Code machine]],'CODE mchn'!$A$4:$C$170,2,0)),"",VLOOKUP(Tableau13[[#This Row],[Code machine]],'CODE mchn'!$A$4:$C$170,2,0))</f>
        <v>Acier</v>
      </c>
      <c r="D240" s="36" t="str">
        <f>IF(ISNA(VLOOKUP(Tableau13[[#This Row],[Code machine]],'CODE mchn'!$A$4:$C$170,3,0)),"",VLOOKUP(Tableau13[[#This Row],[Code machine]],'CODE mchn'!$A$4:$C$170,3,0))</f>
        <v>Teurema 3</v>
      </c>
      <c r="E240" s="105"/>
      <c r="F240" s="36"/>
      <c r="G240" s="62" t="s">
        <v>99</v>
      </c>
      <c r="H240" s="62" t="s">
        <v>449</v>
      </c>
      <c r="I240" s="62" t="s">
        <v>13</v>
      </c>
      <c r="J240" s="248" t="s">
        <v>555</v>
      </c>
      <c r="K240" s="112">
        <v>43629</v>
      </c>
      <c r="L240" s="109"/>
      <c r="M240" s="107"/>
      <c r="N240" s="108">
        <f>MONTH(Tableau13[[#This Row],[Date fin intervention]])</f>
        <v>6</v>
      </c>
      <c r="O240" s="108">
        <f>YEAR(Tableau13[[#This Row],[Date fin intervention]])</f>
        <v>2019</v>
      </c>
      <c r="P240" s="36"/>
    </row>
    <row r="241" spans="1:16">
      <c r="A241" s="110">
        <v>43629</v>
      </c>
      <c r="B241" s="111">
        <v>560</v>
      </c>
      <c r="C241" s="106" t="str">
        <f>IF(ISNA(VLOOKUP(Tableau13[[#This Row],[Code machine]],'CODE mchn'!$A$4:$C$170,2,0)),"",VLOOKUP(Tableau13[[#This Row],[Code machine]],'CODE mchn'!$A$4:$C$170,2,0))</f>
        <v>Acier</v>
      </c>
      <c r="D241" s="36" t="str">
        <f>IF(ISNA(VLOOKUP(Tableau13[[#This Row],[Code machine]],'CODE mchn'!$A$4:$C$170,3,0)),"",VLOOKUP(Tableau13[[#This Row],[Code machine]],'CODE mchn'!$A$4:$C$170,3,0))</f>
        <v>Schlatter</v>
      </c>
      <c r="E241" s="105"/>
      <c r="F241" s="36"/>
      <c r="G241" s="62" t="s">
        <v>104</v>
      </c>
      <c r="H241" s="62" t="s">
        <v>500</v>
      </c>
      <c r="I241" s="62" t="s">
        <v>13</v>
      </c>
      <c r="J241" s="248" t="s">
        <v>567</v>
      </c>
      <c r="K241" s="112">
        <v>43629</v>
      </c>
      <c r="L241" s="109"/>
      <c r="M241" s="107"/>
      <c r="N241" s="108">
        <f>MONTH(Tableau13[[#This Row],[Date fin intervention]])</f>
        <v>6</v>
      </c>
      <c r="O241" s="108">
        <f>YEAR(Tableau13[[#This Row],[Date fin intervention]])</f>
        <v>2019</v>
      </c>
      <c r="P241" s="36"/>
    </row>
    <row r="242" spans="1:16">
      <c r="A242" s="110">
        <v>43629</v>
      </c>
      <c r="B242" s="111">
        <v>590</v>
      </c>
      <c r="C242" s="106" t="str">
        <f>IF(ISNA(VLOOKUP(Tableau13[[#This Row],[Code machine]],'CODE mchn'!$A$4:$C$170,2,0)),"",VLOOKUP(Tableau13[[#This Row],[Code machine]],'CODE mchn'!$A$4:$C$170,2,0))</f>
        <v>Acier</v>
      </c>
      <c r="D242" s="36" t="str">
        <f>IF(ISNA(VLOOKUP(Tableau13[[#This Row],[Code machine]],'CODE mchn'!$A$4:$C$170,3,0)),"",VLOOKUP(Tableau13[[#This Row],[Code machine]],'CODE mchn'!$A$4:$C$170,3,0))</f>
        <v>Teurema 3</v>
      </c>
      <c r="E242" s="105"/>
      <c r="F242" s="36"/>
      <c r="G242" s="62" t="s">
        <v>192</v>
      </c>
      <c r="H242" s="62" t="s">
        <v>458</v>
      </c>
      <c r="I242" s="62" t="s">
        <v>13</v>
      </c>
      <c r="J242" s="248" t="s">
        <v>473</v>
      </c>
      <c r="K242" s="112">
        <v>43629</v>
      </c>
      <c r="L242" s="109"/>
      <c r="M242" s="107"/>
      <c r="N242" s="108">
        <f>MONTH(Tableau13[[#This Row],[Date fin intervention]])</f>
        <v>6</v>
      </c>
      <c r="O242" s="108">
        <f>YEAR(Tableau13[[#This Row],[Date fin intervention]])</f>
        <v>2019</v>
      </c>
      <c r="P242" s="36"/>
    </row>
    <row r="243" spans="1:16" ht="42.75">
      <c r="A243" s="110">
        <v>43629</v>
      </c>
      <c r="B243" s="111">
        <v>581</v>
      </c>
      <c r="C243" s="106" t="str">
        <f>IF(ISNA(VLOOKUP(Tableau13[[#This Row],[Code machine]],'CODE mchn'!$A$4:$C$170,2,0)),"",VLOOKUP(Tableau13[[#This Row],[Code machine]],'CODE mchn'!$A$4:$C$170,2,0))</f>
        <v>Acier</v>
      </c>
      <c r="D243" s="36" t="str">
        <f>IF(ISNA(VLOOKUP(Tableau13[[#This Row],[Code machine]],'CODE mchn'!$A$4:$C$170,3,0)),"",VLOOKUP(Tableau13[[#This Row],[Code machine]],'CODE mchn'!$A$4:$C$170,3,0))</f>
        <v>Teurema 1</v>
      </c>
      <c r="E243" s="105"/>
      <c r="F243" s="36"/>
      <c r="G243" s="62" t="s">
        <v>70</v>
      </c>
      <c r="H243" s="62" t="s">
        <v>501</v>
      </c>
      <c r="I243" s="62" t="s">
        <v>13</v>
      </c>
      <c r="J243" s="248" t="s">
        <v>502</v>
      </c>
      <c r="K243" s="112">
        <v>43871</v>
      </c>
      <c r="L243" s="109" t="s">
        <v>1121</v>
      </c>
      <c r="M243" s="107" t="s">
        <v>2259</v>
      </c>
      <c r="N243" s="108">
        <f>MONTH(Tableau13[[#This Row],[Date fin intervention]])</f>
        <v>2</v>
      </c>
      <c r="O243" s="108">
        <f>YEAR(Tableau13[[#This Row],[Date fin intervention]])</f>
        <v>2020</v>
      </c>
      <c r="P243" s="36"/>
    </row>
    <row r="244" spans="1:16">
      <c r="A244" s="110">
        <v>43629</v>
      </c>
      <c r="B244" s="111">
        <v>565</v>
      </c>
      <c r="C244" s="106" t="str">
        <f>IF(ISNA(VLOOKUP(Tableau13[[#This Row],[Code machine]],'CODE mchn'!$A$4:$C$170,2,0)),"",VLOOKUP(Tableau13[[#This Row],[Code machine]],'CODE mchn'!$A$4:$C$170,2,0))</f>
        <v>Acier</v>
      </c>
      <c r="D244" s="36" t="str">
        <f>IF(ISNA(VLOOKUP(Tableau13[[#This Row],[Code machine]],'CODE mchn'!$A$4:$C$170,3,0)),"",VLOOKUP(Tableau13[[#This Row],[Code machine]],'CODE mchn'!$A$4:$C$170,3,0))</f>
        <v>EVG GE12</v>
      </c>
      <c r="E244" s="105"/>
      <c r="F244" s="36"/>
      <c r="G244" s="62" t="s">
        <v>104</v>
      </c>
      <c r="H244" s="62" t="s">
        <v>509</v>
      </c>
      <c r="I244" s="62" t="s">
        <v>13</v>
      </c>
      <c r="J244" s="248" t="s">
        <v>510</v>
      </c>
      <c r="K244" s="112">
        <v>43629</v>
      </c>
      <c r="L244" s="109" t="s">
        <v>511</v>
      </c>
      <c r="M244" s="107"/>
      <c r="N244" s="108">
        <f>MONTH(Tableau13[[#This Row],[Date fin intervention]])</f>
        <v>6</v>
      </c>
      <c r="O244" s="108">
        <f>YEAR(Tableau13[[#This Row],[Date fin intervention]])</f>
        <v>2019</v>
      </c>
      <c r="P244" s="36"/>
    </row>
    <row r="245" spans="1:16">
      <c r="A245" s="110">
        <v>43630</v>
      </c>
      <c r="B245" s="111">
        <v>590</v>
      </c>
      <c r="C245" s="106" t="str">
        <f>IF(ISNA(VLOOKUP(Tableau13[[#This Row],[Code machine]],'CODE mchn'!$A$4:$C$170,2,0)),"",VLOOKUP(Tableau13[[#This Row],[Code machine]],'CODE mchn'!$A$4:$C$170,2,0))</f>
        <v>Acier</v>
      </c>
      <c r="D245" s="36" t="str">
        <f>IF(ISNA(VLOOKUP(Tableau13[[#This Row],[Code machine]],'CODE mchn'!$A$4:$C$170,3,0)),"",VLOOKUP(Tableau13[[#This Row],[Code machine]],'CODE mchn'!$A$4:$C$170,3,0))</f>
        <v>Teurema 3</v>
      </c>
      <c r="E245" s="105"/>
      <c r="F245" s="36"/>
      <c r="G245" s="62" t="s">
        <v>192</v>
      </c>
      <c r="H245" s="62" t="s">
        <v>459</v>
      </c>
      <c r="I245" s="62" t="s">
        <v>13</v>
      </c>
      <c r="J245" s="248" t="s">
        <v>460</v>
      </c>
      <c r="K245" s="112">
        <v>43630</v>
      </c>
      <c r="L245" s="109"/>
      <c r="M245" s="107"/>
      <c r="N245" s="108">
        <f>MONTH(Tableau13[[#This Row],[Date fin intervention]])</f>
        <v>6</v>
      </c>
      <c r="O245" s="108">
        <f>YEAR(Tableau13[[#This Row],[Date fin intervention]])</f>
        <v>2019</v>
      </c>
      <c r="P245" s="36"/>
    </row>
    <row r="246" spans="1:16" ht="42.75">
      <c r="A246" s="110">
        <v>43630</v>
      </c>
      <c r="B246" s="111">
        <v>604</v>
      </c>
      <c r="C246" s="106" t="str">
        <f>IF(ISNA(VLOOKUP(Tableau13[[#This Row],[Code machine]],'CODE mchn'!$A$4:$C$170,2,0)),"",VLOOKUP(Tableau13[[#This Row],[Code machine]],'CODE mchn'!$A$4:$C$170,2,0))</f>
        <v>Acier</v>
      </c>
      <c r="D246" s="36" t="str">
        <f>IF(ISNA(VLOOKUP(Tableau13[[#This Row],[Code machine]],'CODE mchn'!$A$4:$C$170,3,0)),"",VLOOKUP(Tableau13[[#This Row],[Code machine]],'CODE mchn'!$A$4:$C$170,3,0))</f>
        <v>TI</v>
      </c>
      <c r="E246" s="105"/>
      <c r="F246" s="36"/>
      <c r="G246" s="62" t="s">
        <v>503</v>
      </c>
      <c r="H246" s="62" t="s">
        <v>504</v>
      </c>
      <c r="I246" s="62" t="s">
        <v>13</v>
      </c>
      <c r="J246" s="248" t="s">
        <v>505</v>
      </c>
      <c r="K246" s="112">
        <v>43643</v>
      </c>
      <c r="L246" s="109" t="s">
        <v>506</v>
      </c>
      <c r="M246" s="107" t="s">
        <v>2259</v>
      </c>
      <c r="N246" s="108">
        <f>MONTH(Tableau13[[#This Row],[Date fin intervention]])</f>
        <v>6</v>
      </c>
      <c r="O246" s="108">
        <f>YEAR(Tableau13[[#This Row],[Date fin intervention]])</f>
        <v>2019</v>
      </c>
      <c r="P246" s="36"/>
    </row>
    <row r="247" spans="1:16" ht="28.5">
      <c r="A247" s="110">
        <v>43630</v>
      </c>
      <c r="B247" s="111">
        <v>800</v>
      </c>
      <c r="C247" s="106" t="str">
        <f>IF(ISNA(VLOOKUP(Tableau13[[#This Row],[Code machine]],'CODE mchn'!$A$4:$C$170,2,0)),"",VLOOKUP(Tableau13[[#This Row],[Code machine]],'CODE mchn'!$A$4:$C$170,2,0))</f>
        <v>Béton</v>
      </c>
      <c r="D247" s="36" t="str">
        <f>IF(ISNA(VLOOKUP(Tableau13[[#This Row],[Code machine]],'CODE mchn'!$A$4:$C$170,3,0)),"",VLOOKUP(Tableau13[[#This Row],[Code machine]],'CODE mchn'!$A$4:$C$170,3,0))</f>
        <v>Poyatos 2</v>
      </c>
      <c r="E247" s="105"/>
      <c r="F247" s="36"/>
      <c r="G247" s="62" t="s">
        <v>331</v>
      </c>
      <c r="H247" s="62" t="s">
        <v>539</v>
      </c>
      <c r="I247" s="62" t="s">
        <v>107</v>
      </c>
      <c r="J247" s="248" t="s">
        <v>540</v>
      </c>
      <c r="K247" s="112">
        <v>43630</v>
      </c>
      <c r="L247" s="109" t="s">
        <v>541</v>
      </c>
      <c r="M247" s="107"/>
      <c r="N247" s="108">
        <f>MONTH(Tableau13[[#This Row],[Date fin intervention]])</f>
        <v>6</v>
      </c>
      <c r="O247" s="108">
        <f>YEAR(Tableau13[[#This Row],[Date fin intervention]])</f>
        <v>2019</v>
      </c>
      <c r="P247" s="36"/>
    </row>
    <row r="248" spans="1:16">
      <c r="A248" s="110">
        <v>43631</v>
      </c>
      <c r="B248" s="111">
        <v>800</v>
      </c>
      <c r="C248" s="106" t="str">
        <f>IF(ISNA(VLOOKUP(Tableau13[[#This Row],[Code machine]],'CODE mchn'!$A$4:$C$170,2,0)),"",VLOOKUP(Tableau13[[#This Row],[Code machine]],'CODE mchn'!$A$4:$C$170,2,0))</f>
        <v>Béton</v>
      </c>
      <c r="D248" s="36" t="str">
        <f>IF(ISNA(VLOOKUP(Tableau13[[#This Row],[Code machine]],'CODE mchn'!$A$4:$C$170,3,0)),"",VLOOKUP(Tableau13[[#This Row],[Code machine]],'CODE mchn'!$A$4:$C$170,3,0))</f>
        <v>Poyatos 2</v>
      </c>
      <c r="E248" s="105"/>
      <c r="F248" s="36"/>
      <c r="G248" s="62" t="s">
        <v>46</v>
      </c>
      <c r="H248" s="62" t="s">
        <v>544</v>
      </c>
      <c r="I248" s="62" t="s">
        <v>107</v>
      </c>
      <c r="J248" s="248" t="s">
        <v>545</v>
      </c>
      <c r="K248" s="112">
        <v>43631</v>
      </c>
      <c r="L248" s="109"/>
      <c r="M248" s="107"/>
      <c r="N248" s="108">
        <f>MONTH(Tableau13[[#This Row],[Date fin intervention]])</f>
        <v>6</v>
      </c>
      <c r="O248" s="108">
        <f>YEAR(Tableau13[[#This Row],[Date fin intervention]])</f>
        <v>2019</v>
      </c>
      <c r="P248" s="36"/>
    </row>
    <row r="249" spans="1:16">
      <c r="A249" s="110">
        <v>43632</v>
      </c>
      <c r="B249" s="111">
        <v>560</v>
      </c>
      <c r="C249" s="106" t="str">
        <f>IF(ISNA(VLOOKUP(Tableau13[[#This Row],[Code machine]],'CODE mchn'!$A$4:$C$170,2,0)),"",VLOOKUP(Tableau13[[#This Row],[Code machine]],'CODE mchn'!$A$4:$C$170,2,0))</f>
        <v>Acier</v>
      </c>
      <c r="D249" s="36" t="str">
        <f>IF(ISNA(VLOOKUP(Tableau13[[#This Row],[Code machine]],'CODE mchn'!$A$4:$C$170,3,0)),"",VLOOKUP(Tableau13[[#This Row],[Code machine]],'CODE mchn'!$A$4:$C$170,3,0))</f>
        <v>Schlatter</v>
      </c>
      <c r="E249" s="105"/>
      <c r="F249" s="36"/>
      <c r="G249" s="62" t="s">
        <v>560</v>
      </c>
      <c r="H249" s="62" t="s">
        <v>561</v>
      </c>
      <c r="I249" s="62" t="s">
        <v>13</v>
      </c>
      <c r="J249" s="248" t="s">
        <v>562</v>
      </c>
      <c r="K249" s="112">
        <v>43632</v>
      </c>
      <c r="L249" s="109"/>
      <c r="M249" s="107"/>
      <c r="N249" s="108">
        <f>MONTH(Tableau13[[#This Row],[Date fin intervention]])</f>
        <v>6</v>
      </c>
      <c r="O249" s="108">
        <f>YEAR(Tableau13[[#This Row],[Date fin intervention]])</f>
        <v>2019</v>
      </c>
      <c r="P249" s="36"/>
    </row>
    <row r="250" spans="1:16">
      <c r="A250" s="110">
        <v>43633</v>
      </c>
      <c r="B250" s="111">
        <v>560</v>
      </c>
      <c r="C250" s="106" t="str">
        <f>IF(ISNA(VLOOKUP(Tableau13[[#This Row],[Code machine]],'CODE mchn'!$A$4:$C$170,2,0)),"",VLOOKUP(Tableau13[[#This Row],[Code machine]],'CODE mchn'!$A$4:$C$170,2,0))</f>
        <v>Acier</v>
      </c>
      <c r="D250" s="36" t="str">
        <f>IF(ISNA(VLOOKUP(Tableau13[[#This Row],[Code machine]],'CODE mchn'!$A$4:$C$170,3,0)),"",VLOOKUP(Tableau13[[#This Row],[Code machine]],'CODE mchn'!$A$4:$C$170,3,0))</f>
        <v>Schlatter</v>
      </c>
      <c r="E250" s="105"/>
      <c r="F250" s="36"/>
      <c r="G250" s="62" t="s">
        <v>104</v>
      </c>
      <c r="H250" s="62" t="s">
        <v>517</v>
      </c>
      <c r="I250" s="62" t="s">
        <v>13</v>
      </c>
      <c r="J250" s="248" t="s">
        <v>518</v>
      </c>
      <c r="K250" s="112">
        <v>43633</v>
      </c>
      <c r="L250" s="109"/>
      <c r="M250" s="107"/>
      <c r="N250" s="108">
        <f>MONTH(Tableau13[[#This Row],[Date fin intervention]])</f>
        <v>6</v>
      </c>
      <c r="O250" s="108">
        <f>YEAR(Tableau13[[#This Row],[Date fin intervention]])</f>
        <v>2019</v>
      </c>
      <c r="P250" s="36"/>
    </row>
    <row r="251" spans="1:16" ht="42.75">
      <c r="A251" s="110">
        <v>43633</v>
      </c>
      <c r="B251" s="111">
        <v>610</v>
      </c>
      <c r="C251" s="106" t="str">
        <f>IF(ISNA(VLOOKUP(Tableau13[[#This Row],[Code machine]],'CODE mchn'!$A$4:$C$170,2,0)),"",VLOOKUP(Tableau13[[#This Row],[Code machine]],'CODE mchn'!$A$4:$C$170,2,0))</f>
        <v>Acier</v>
      </c>
      <c r="D251" s="36" t="str">
        <f>IF(ISNA(VLOOKUP(Tableau13[[#This Row],[Code machine]],'CODE mchn'!$A$4:$C$170,3,0)),"",VLOOKUP(Tableau13[[#This Row],[Code machine]],'CODE mchn'!$A$4:$C$170,3,0))</f>
        <v>MEP91</v>
      </c>
      <c r="E251" s="105"/>
      <c r="F251" s="36"/>
      <c r="G251" s="62" t="s">
        <v>519</v>
      </c>
      <c r="H251" s="62" t="s">
        <v>520</v>
      </c>
      <c r="I251" s="62" t="s">
        <v>13</v>
      </c>
      <c r="J251" s="248" t="s">
        <v>521</v>
      </c>
      <c r="K251" s="112">
        <v>43635</v>
      </c>
      <c r="L251" s="109"/>
      <c r="M251" s="107" t="s">
        <v>2259</v>
      </c>
      <c r="N251" s="108">
        <f>MONTH(Tableau13[[#This Row],[Date fin intervention]])</f>
        <v>6</v>
      </c>
      <c r="O251" s="108">
        <f>YEAR(Tableau13[[#This Row],[Date fin intervention]])</f>
        <v>2019</v>
      </c>
      <c r="P251" s="36"/>
    </row>
    <row r="252" spans="1:16">
      <c r="A252" s="110">
        <v>43633</v>
      </c>
      <c r="B252" s="111">
        <v>700</v>
      </c>
      <c r="C252" s="106" t="str">
        <f>IF(ISNA(VLOOKUP(Tableau13[[#This Row],[Code machine]],'CODE mchn'!$A$4:$C$170,2,0)),"",VLOOKUP(Tableau13[[#This Row],[Code machine]],'CODE mchn'!$A$4:$C$170,2,0))</f>
        <v>Béton</v>
      </c>
      <c r="D252" s="36" t="str">
        <f>IF(ISNA(VLOOKUP(Tableau13[[#This Row],[Code machine]],'CODE mchn'!$A$4:$C$170,3,0)),"",VLOOKUP(Tableau13[[#This Row],[Code machine]],'CODE mchn'!$A$4:$C$170,3,0))</f>
        <v>Poyatos 1</v>
      </c>
      <c r="E252" s="105"/>
      <c r="F252" s="36"/>
      <c r="G252" s="62" t="s">
        <v>128</v>
      </c>
      <c r="H252" s="62" t="s">
        <v>524</v>
      </c>
      <c r="I252" s="62" t="s">
        <v>13</v>
      </c>
      <c r="J252" s="248" t="s">
        <v>525</v>
      </c>
      <c r="K252" s="112">
        <v>43633</v>
      </c>
      <c r="L252" s="109"/>
      <c r="M252" s="107"/>
      <c r="N252" s="108">
        <f>MONTH(Tableau13[[#This Row],[Date fin intervention]])</f>
        <v>6</v>
      </c>
      <c r="O252" s="108">
        <f>YEAR(Tableau13[[#This Row],[Date fin intervention]])</f>
        <v>2019</v>
      </c>
      <c r="P252" s="36"/>
    </row>
    <row r="253" spans="1:16">
      <c r="A253" s="110">
        <v>43633</v>
      </c>
      <c r="B253" s="111">
        <v>800</v>
      </c>
      <c r="C253" s="106" t="str">
        <f>IF(ISNA(VLOOKUP(Tableau13[[#This Row],[Code machine]],'CODE mchn'!$A$4:$C$170,2,0)),"",VLOOKUP(Tableau13[[#This Row],[Code machine]],'CODE mchn'!$A$4:$C$170,2,0))</f>
        <v>Béton</v>
      </c>
      <c r="D253" s="36" t="str">
        <f>IF(ISNA(VLOOKUP(Tableau13[[#This Row],[Code machine]],'CODE mchn'!$A$4:$C$170,3,0)),"",VLOOKUP(Tableau13[[#This Row],[Code machine]],'CODE mchn'!$A$4:$C$170,3,0))</f>
        <v>Poyatos 2</v>
      </c>
      <c r="E253" s="105"/>
      <c r="F253" s="36"/>
      <c r="G253" s="62" t="s">
        <v>118</v>
      </c>
      <c r="H253" s="62" t="s">
        <v>526</v>
      </c>
      <c r="I253" s="62" t="s">
        <v>13</v>
      </c>
      <c r="J253" s="248" t="s">
        <v>527</v>
      </c>
      <c r="K253" s="112">
        <v>43633</v>
      </c>
      <c r="L253" s="109"/>
      <c r="M253" s="107"/>
      <c r="N253" s="108">
        <f>MONTH(Tableau13[[#This Row],[Date fin intervention]])</f>
        <v>6</v>
      </c>
      <c r="O253" s="108">
        <f>YEAR(Tableau13[[#This Row],[Date fin intervention]])</f>
        <v>2019</v>
      </c>
      <c r="P253" s="36"/>
    </row>
    <row r="254" spans="1:16">
      <c r="A254" s="110">
        <v>43633</v>
      </c>
      <c r="B254" s="111">
        <v>700</v>
      </c>
      <c r="C254" s="106" t="str">
        <f>IF(ISNA(VLOOKUP(Tableau13[[#This Row],[Code machine]],'CODE mchn'!$A$4:$C$170,2,0)),"",VLOOKUP(Tableau13[[#This Row],[Code machine]],'CODE mchn'!$A$4:$C$170,2,0))</f>
        <v>Béton</v>
      </c>
      <c r="D254" s="36" t="str">
        <f>IF(ISNA(VLOOKUP(Tableau13[[#This Row],[Code machine]],'CODE mchn'!$A$4:$C$170,3,0)),"",VLOOKUP(Tableau13[[#This Row],[Code machine]],'CODE mchn'!$A$4:$C$170,3,0))</f>
        <v>Poyatos 1</v>
      </c>
      <c r="E254" s="105"/>
      <c r="F254" s="36"/>
      <c r="G254" s="62" t="s">
        <v>528</v>
      </c>
      <c r="H254" s="62" t="s">
        <v>529</v>
      </c>
      <c r="I254" s="62" t="s">
        <v>13</v>
      </c>
      <c r="J254" s="248" t="s">
        <v>530</v>
      </c>
      <c r="K254" s="112">
        <v>43633</v>
      </c>
      <c r="L254" s="109"/>
      <c r="M254" s="107"/>
      <c r="N254" s="108">
        <f>MONTH(Tableau13[[#This Row],[Date fin intervention]])</f>
        <v>6</v>
      </c>
      <c r="O254" s="108">
        <f>YEAR(Tableau13[[#This Row],[Date fin intervention]])</f>
        <v>2019</v>
      </c>
      <c r="P254" s="36"/>
    </row>
    <row r="255" spans="1:16">
      <c r="A255" s="110">
        <v>43633</v>
      </c>
      <c r="B255" s="111">
        <v>582</v>
      </c>
      <c r="C255" s="106" t="str">
        <f>IF(ISNA(VLOOKUP(Tableau13[[#This Row],[Code machine]],'CODE mchn'!$A$4:$C$170,2,0)),"",VLOOKUP(Tableau13[[#This Row],[Code machine]],'CODE mchn'!$A$4:$C$170,2,0))</f>
        <v>Acier</v>
      </c>
      <c r="D255" s="36" t="str">
        <f>IF(ISNA(VLOOKUP(Tableau13[[#This Row],[Code machine]],'CODE mchn'!$A$4:$C$170,3,0)),"",VLOOKUP(Tableau13[[#This Row],[Code machine]],'CODE mchn'!$A$4:$C$170,3,0))</f>
        <v>Teurema 2</v>
      </c>
      <c r="E255" s="105"/>
      <c r="F255" s="36"/>
      <c r="G255" s="62" t="s">
        <v>531</v>
      </c>
      <c r="H255" s="62" t="s">
        <v>533</v>
      </c>
      <c r="I255" s="62" t="s">
        <v>196</v>
      </c>
      <c r="J255" s="248" t="s">
        <v>534</v>
      </c>
      <c r="K255" s="112">
        <v>43633</v>
      </c>
      <c r="L255" s="109"/>
      <c r="M255" s="107"/>
      <c r="N255" s="108">
        <f>MONTH(Tableau13[[#This Row],[Date fin intervention]])</f>
        <v>6</v>
      </c>
      <c r="O255" s="108">
        <f>YEAR(Tableau13[[#This Row],[Date fin intervention]])</f>
        <v>2019</v>
      </c>
      <c r="P255" s="36"/>
    </row>
    <row r="256" spans="1:16">
      <c r="A256" s="110">
        <v>43634</v>
      </c>
      <c r="B256" s="111">
        <v>800</v>
      </c>
      <c r="C256" s="106" t="str">
        <f>IF(ISNA(VLOOKUP(Tableau13[[#This Row],[Code machine]],'CODE mchn'!$A$4:$C$170,2,0)),"",VLOOKUP(Tableau13[[#This Row],[Code machine]],'CODE mchn'!$A$4:$C$170,2,0))</f>
        <v>Béton</v>
      </c>
      <c r="D256" s="36" t="str">
        <f>IF(ISNA(VLOOKUP(Tableau13[[#This Row],[Code machine]],'CODE mchn'!$A$4:$C$170,3,0)),"",VLOOKUP(Tableau13[[#This Row],[Code machine]],'CODE mchn'!$A$4:$C$170,3,0))</f>
        <v>Poyatos 2</v>
      </c>
      <c r="E256" s="105"/>
      <c r="F256" s="36"/>
      <c r="G256" s="62" t="s">
        <v>397</v>
      </c>
      <c r="H256" s="62" t="s">
        <v>542</v>
      </c>
      <c r="I256" s="62" t="s">
        <v>13</v>
      </c>
      <c r="J256" s="248" t="s">
        <v>543</v>
      </c>
      <c r="K256" s="112">
        <v>43634</v>
      </c>
      <c r="L256" s="109"/>
      <c r="M256" s="107"/>
      <c r="N256" s="108">
        <f>MONTH(Tableau13[[#This Row],[Date fin intervention]])</f>
        <v>6</v>
      </c>
      <c r="O256" s="108">
        <f>YEAR(Tableau13[[#This Row],[Date fin intervention]])</f>
        <v>2019</v>
      </c>
      <c r="P256" s="36"/>
    </row>
    <row r="257" spans="1:16">
      <c r="A257" s="110">
        <v>43634</v>
      </c>
      <c r="B257" s="111">
        <v>800</v>
      </c>
      <c r="C257" s="106" t="str">
        <f>IF(ISNA(VLOOKUP(Tableau13[[#This Row],[Code machine]],'CODE mchn'!$A$4:$C$170,2,0)),"",VLOOKUP(Tableau13[[#This Row],[Code machine]],'CODE mchn'!$A$4:$C$170,2,0))</f>
        <v>Béton</v>
      </c>
      <c r="D257" s="36" t="str">
        <f>IF(ISNA(VLOOKUP(Tableau13[[#This Row],[Code machine]],'CODE mchn'!$A$4:$C$170,3,0)),"",VLOOKUP(Tableau13[[#This Row],[Code machine]],'CODE mchn'!$A$4:$C$170,3,0))</f>
        <v>Poyatos 2</v>
      </c>
      <c r="E257" s="105"/>
      <c r="F257" s="36"/>
      <c r="G257" s="62" t="s">
        <v>60</v>
      </c>
      <c r="H257" s="62" t="s">
        <v>546</v>
      </c>
      <c r="I257" s="62" t="s">
        <v>13</v>
      </c>
      <c r="J257" s="248" t="s">
        <v>547</v>
      </c>
      <c r="K257" s="112">
        <v>43634</v>
      </c>
      <c r="L257" s="109"/>
      <c r="M257" s="107"/>
      <c r="N257" s="108">
        <f>MONTH(Tableau13[[#This Row],[Date fin intervention]])</f>
        <v>6</v>
      </c>
      <c r="O257" s="108">
        <f>YEAR(Tableau13[[#This Row],[Date fin intervention]])</f>
        <v>2019</v>
      </c>
      <c r="P257" s="36"/>
    </row>
    <row r="258" spans="1:16">
      <c r="A258" s="110">
        <v>43635</v>
      </c>
      <c r="B258" s="111">
        <v>700</v>
      </c>
      <c r="C258" s="106" t="str">
        <f>IF(ISNA(VLOOKUP(Tableau13[[#This Row],[Code machine]],'CODE mchn'!$A$4:$C$170,2,0)),"",VLOOKUP(Tableau13[[#This Row],[Code machine]],'CODE mchn'!$A$4:$C$170,2,0))</f>
        <v>Béton</v>
      </c>
      <c r="D258" s="36" t="str">
        <f>IF(ISNA(VLOOKUP(Tableau13[[#This Row],[Code machine]],'CODE mchn'!$A$4:$C$170,3,0)),"",VLOOKUP(Tableau13[[#This Row],[Code machine]],'CODE mchn'!$A$4:$C$170,3,0))</f>
        <v>Poyatos 1</v>
      </c>
      <c r="E258" s="105"/>
      <c r="F258" s="36"/>
      <c r="G258" s="62" t="s">
        <v>289</v>
      </c>
      <c r="H258" s="62" t="s">
        <v>550</v>
      </c>
      <c r="I258" s="62" t="s">
        <v>13</v>
      </c>
      <c r="J258" s="248" t="s">
        <v>50</v>
      </c>
      <c r="K258" s="112">
        <v>43635</v>
      </c>
      <c r="L258" s="109"/>
      <c r="M258" s="107"/>
      <c r="N258" s="108">
        <f>MONTH(Tableau13[[#This Row],[Date fin intervention]])</f>
        <v>6</v>
      </c>
      <c r="O258" s="108">
        <f>YEAR(Tableau13[[#This Row],[Date fin intervention]])</f>
        <v>2019</v>
      </c>
      <c r="P258" s="36"/>
    </row>
    <row r="259" spans="1:16">
      <c r="A259" s="110">
        <v>43635</v>
      </c>
      <c r="B259" s="111">
        <v>560</v>
      </c>
      <c r="C259" s="106" t="str">
        <f>IF(ISNA(VLOOKUP(Tableau13[[#This Row],[Code machine]],'CODE mchn'!$A$4:$C$170,2,0)),"",VLOOKUP(Tableau13[[#This Row],[Code machine]],'CODE mchn'!$A$4:$C$170,2,0))</f>
        <v>Acier</v>
      </c>
      <c r="D259" s="36" t="str">
        <f>IF(ISNA(VLOOKUP(Tableau13[[#This Row],[Code machine]],'CODE mchn'!$A$4:$C$170,3,0)),"",VLOOKUP(Tableau13[[#This Row],[Code machine]],'CODE mchn'!$A$4:$C$170,3,0))</f>
        <v>Schlatter</v>
      </c>
      <c r="E259" s="105"/>
      <c r="F259" s="36"/>
      <c r="G259" s="62" t="s">
        <v>104</v>
      </c>
      <c r="H259" s="62" t="s">
        <v>556</v>
      </c>
      <c r="I259" s="62" t="s">
        <v>13</v>
      </c>
      <c r="J259" s="248" t="s">
        <v>568</v>
      </c>
      <c r="K259" s="112">
        <v>43635</v>
      </c>
      <c r="L259" s="109"/>
      <c r="M259" s="107"/>
      <c r="N259" s="108">
        <f>MONTH(Tableau13[[#This Row],[Date fin intervention]])</f>
        <v>6</v>
      </c>
      <c r="O259" s="108">
        <f>YEAR(Tableau13[[#This Row],[Date fin intervention]])</f>
        <v>2019</v>
      </c>
      <c r="P259" s="36"/>
    </row>
    <row r="260" spans="1:16">
      <c r="A260" s="110">
        <v>43636</v>
      </c>
      <c r="B260" s="111">
        <v>800</v>
      </c>
      <c r="C260" s="106" t="str">
        <f>IF(ISNA(VLOOKUP(Tableau13[[#This Row],[Code machine]],'CODE mchn'!$A$4:$C$170,2,0)),"",VLOOKUP(Tableau13[[#This Row],[Code machine]],'CODE mchn'!$A$4:$C$170,2,0))</f>
        <v>Béton</v>
      </c>
      <c r="D260" s="36" t="str">
        <f>IF(ISNA(VLOOKUP(Tableau13[[#This Row],[Code machine]],'CODE mchn'!$A$4:$C$170,3,0)),"",VLOOKUP(Tableau13[[#This Row],[Code machine]],'CODE mchn'!$A$4:$C$170,3,0))</f>
        <v>Poyatos 2</v>
      </c>
      <c r="E260" s="105"/>
      <c r="F260" s="36"/>
      <c r="G260" s="62" t="s">
        <v>118</v>
      </c>
      <c r="H260" s="62" t="s">
        <v>553</v>
      </c>
      <c r="I260" s="62" t="s">
        <v>13</v>
      </c>
      <c r="J260" s="248" t="s">
        <v>554</v>
      </c>
      <c r="K260" s="112">
        <v>43636</v>
      </c>
      <c r="L260" s="109"/>
      <c r="M260" s="107"/>
      <c r="N260" s="108">
        <f>MONTH(Tableau13[[#This Row],[Date fin intervention]])</f>
        <v>6</v>
      </c>
      <c r="O260" s="108">
        <f>YEAR(Tableau13[[#This Row],[Date fin intervention]])</f>
        <v>2019</v>
      </c>
      <c r="P260" s="36"/>
    </row>
    <row r="261" spans="1:16">
      <c r="A261" s="110">
        <v>43636</v>
      </c>
      <c r="B261" s="111">
        <v>560</v>
      </c>
      <c r="C261" s="106" t="str">
        <f>IF(ISNA(VLOOKUP(Tableau13[[#This Row],[Code machine]],'CODE mchn'!$A$4:$C$170,2,0)),"",VLOOKUP(Tableau13[[#This Row],[Code machine]],'CODE mchn'!$A$4:$C$170,2,0))</f>
        <v>Acier</v>
      </c>
      <c r="D261" s="36" t="str">
        <f>IF(ISNA(VLOOKUP(Tableau13[[#This Row],[Code machine]],'CODE mchn'!$A$4:$C$170,3,0)),"",VLOOKUP(Tableau13[[#This Row],[Code machine]],'CODE mchn'!$A$4:$C$170,3,0))</f>
        <v>Schlatter</v>
      </c>
      <c r="E261" s="105"/>
      <c r="F261" s="36"/>
      <c r="G261" s="62" t="s">
        <v>104</v>
      </c>
      <c r="H261" s="62" t="s">
        <v>517</v>
      </c>
      <c r="I261" s="62" t="s">
        <v>13</v>
      </c>
      <c r="J261" s="248" t="s">
        <v>518</v>
      </c>
      <c r="K261" s="112">
        <v>43636</v>
      </c>
      <c r="L261" s="109"/>
      <c r="M261" s="107"/>
      <c r="N261" s="108">
        <f>MONTH(Tableau13[[#This Row],[Date fin intervention]])</f>
        <v>6</v>
      </c>
      <c r="O261" s="108">
        <f>YEAR(Tableau13[[#This Row],[Date fin intervention]])</f>
        <v>2019</v>
      </c>
      <c r="P261" s="36"/>
    </row>
    <row r="262" spans="1:16">
      <c r="A262" s="110">
        <v>43637</v>
      </c>
      <c r="B262" s="111">
        <v>590</v>
      </c>
      <c r="C262" s="106" t="str">
        <f>IF(ISNA(VLOOKUP(Tableau13[[#This Row],[Code machine]],'CODE mchn'!$A$4:$C$170,2,0)),"",VLOOKUP(Tableau13[[#This Row],[Code machine]],'CODE mchn'!$A$4:$C$170,2,0))</f>
        <v>Acier</v>
      </c>
      <c r="D262" s="36" t="str">
        <f>IF(ISNA(VLOOKUP(Tableau13[[#This Row],[Code machine]],'CODE mchn'!$A$4:$C$170,3,0)),"",VLOOKUP(Tableau13[[#This Row],[Code machine]],'CODE mchn'!$A$4:$C$170,3,0))</f>
        <v>Teurema 3</v>
      </c>
      <c r="E262" s="105"/>
      <c r="F262" s="36"/>
      <c r="G262" s="62" t="s">
        <v>49</v>
      </c>
      <c r="H262" s="62" t="s">
        <v>484</v>
      </c>
      <c r="I262" s="62" t="s">
        <v>13</v>
      </c>
      <c r="J262" s="248" t="s">
        <v>557</v>
      </c>
      <c r="K262" s="112">
        <v>43637</v>
      </c>
      <c r="L262" s="109"/>
      <c r="M262" s="107"/>
      <c r="N262" s="108">
        <f>MONTH(Tableau13[[#This Row],[Date fin intervention]])</f>
        <v>6</v>
      </c>
      <c r="O262" s="108">
        <f>YEAR(Tableau13[[#This Row],[Date fin intervention]])</f>
        <v>2019</v>
      </c>
      <c r="P262" s="36"/>
    </row>
    <row r="263" spans="1:16">
      <c r="A263" s="110">
        <v>43637</v>
      </c>
      <c r="B263" s="111">
        <v>582</v>
      </c>
      <c r="C263" s="106" t="str">
        <f>IF(ISNA(VLOOKUP(Tableau13[[#This Row],[Code machine]],'CODE mchn'!$A$4:$C$170,2,0)),"",VLOOKUP(Tableau13[[#This Row],[Code machine]],'CODE mchn'!$A$4:$C$170,2,0))</f>
        <v>Acier</v>
      </c>
      <c r="D263" s="36" t="str">
        <f>IF(ISNA(VLOOKUP(Tableau13[[#This Row],[Code machine]],'CODE mchn'!$A$4:$C$170,3,0)),"",VLOOKUP(Tableau13[[#This Row],[Code machine]],'CODE mchn'!$A$4:$C$170,3,0))</f>
        <v>Teurema 2</v>
      </c>
      <c r="E263" s="105"/>
      <c r="F263" s="36"/>
      <c r="G263" s="62" t="s">
        <v>171</v>
      </c>
      <c r="H263" s="62" t="s">
        <v>558</v>
      </c>
      <c r="I263" s="62" t="s">
        <v>13</v>
      </c>
      <c r="J263" s="248" t="s">
        <v>559</v>
      </c>
      <c r="K263" s="112">
        <v>43637</v>
      </c>
      <c r="L263" s="109"/>
      <c r="M263" s="107"/>
      <c r="N263" s="108">
        <f>MONTH(Tableau13[[#This Row],[Date fin intervention]])</f>
        <v>6</v>
      </c>
      <c r="O263" s="108">
        <f>YEAR(Tableau13[[#This Row],[Date fin intervention]])</f>
        <v>2019</v>
      </c>
      <c r="P263" s="36"/>
    </row>
    <row r="264" spans="1:16">
      <c r="A264" s="110">
        <v>43637</v>
      </c>
      <c r="B264" s="111">
        <v>560</v>
      </c>
      <c r="C264" s="106" t="str">
        <f>IF(ISNA(VLOOKUP(Tableau13[[#This Row],[Code machine]],'CODE mchn'!$A$4:$C$170,2,0)),"",VLOOKUP(Tableau13[[#This Row],[Code machine]],'CODE mchn'!$A$4:$C$170,2,0))</f>
        <v>Acier</v>
      </c>
      <c r="D264" s="36" t="str">
        <f>IF(ISNA(VLOOKUP(Tableau13[[#This Row],[Code machine]],'CODE mchn'!$A$4:$C$170,3,0)),"",VLOOKUP(Tableau13[[#This Row],[Code machine]],'CODE mchn'!$A$4:$C$170,3,0))</f>
        <v>Schlatter</v>
      </c>
      <c r="E264" s="105"/>
      <c r="F264" s="36"/>
      <c r="G264" s="62" t="s">
        <v>145</v>
      </c>
      <c r="H264" s="62" t="s">
        <v>592</v>
      </c>
      <c r="I264" s="62" t="s">
        <v>13</v>
      </c>
      <c r="J264" s="248" t="s">
        <v>593</v>
      </c>
      <c r="K264" s="112">
        <v>43637</v>
      </c>
      <c r="L264" s="109"/>
      <c r="M264" s="107"/>
      <c r="N264" s="108">
        <f>MONTH(Tableau13[[#This Row],[Date fin intervention]])</f>
        <v>6</v>
      </c>
      <c r="O264" s="108">
        <f>YEAR(Tableau13[[#This Row],[Date fin intervention]])</f>
        <v>2019</v>
      </c>
      <c r="P264" s="36"/>
    </row>
    <row r="265" spans="1:16">
      <c r="A265" s="110">
        <v>43638</v>
      </c>
      <c r="B265" s="111">
        <v>700</v>
      </c>
      <c r="C265" s="106" t="str">
        <f>IF(ISNA(VLOOKUP(Tableau13[[#This Row],[Code machine]],'CODE mchn'!$A$4:$C$170,2,0)),"",VLOOKUP(Tableau13[[#This Row],[Code machine]],'CODE mchn'!$A$4:$C$170,2,0))</f>
        <v>Béton</v>
      </c>
      <c r="D265" s="36" t="str">
        <f>IF(ISNA(VLOOKUP(Tableau13[[#This Row],[Code machine]],'CODE mchn'!$A$4:$C$170,3,0)),"",VLOOKUP(Tableau13[[#This Row],[Code machine]],'CODE mchn'!$A$4:$C$170,3,0))</f>
        <v>Poyatos 1</v>
      </c>
      <c r="E265" s="105"/>
      <c r="F265" s="36"/>
      <c r="G265" s="62" t="s">
        <v>291</v>
      </c>
      <c r="H265" s="62" t="s">
        <v>548</v>
      </c>
      <c r="I265" s="62" t="s">
        <v>13</v>
      </c>
      <c r="J265" s="248" t="s">
        <v>549</v>
      </c>
      <c r="K265" s="112">
        <v>43638</v>
      </c>
      <c r="L265" s="109"/>
      <c r="M265" s="107"/>
      <c r="N265" s="108">
        <f>MONTH(Tableau13[[#This Row],[Date fin intervention]])</f>
        <v>6</v>
      </c>
      <c r="O265" s="108">
        <f>YEAR(Tableau13[[#This Row],[Date fin intervention]])</f>
        <v>2019</v>
      </c>
      <c r="P265" s="36"/>
    </row>
    <row r="266" spans="1:16">
      <c r="A266" s="110">
        <v>43638</v>
      </c>
      <c r="B266" s="111">
        <v>800</v>
      </c>
      <c r="C266" s="106" t="str">
        <f>IF(ISNA(VLOOKUP(Tableau13[[#This Row],[Code machine]],'CODE mchn'!$A$4:$C$170,2,0)),"",VLOOKUP(Tableau13[[#This Row],[Code machine]],'CODE mchn'!$A$4:$C$170,2,0))</f>
        <v>Béton</v>
      </c>
      <c r="D266" s="36" t="str">
        <f>IF(ISNA(VLOOKUP(Tableau13[[#This Row],[Code machine]],'CODE mchn'!$A$4:$C$170,3,0)),"",VLOOKUP(Tableau13[[#This Row],[Code machine]],'CODE mchn'!$A$4:$C$170,3,0))</f>
        <v>Poyatos 2</v>
      </c>
      <c r="E266" s="105"/>
      <c r="F266" s="36"/>
      <c r="G266" s="62" t="s">
        <v>397</v>
      </c>
      <c r="H266" s="62" t="s">
        <v>507</v>
      </c>
      <c r="I266" s="62" t="s">
        <v>13</v>
      </c>
      <c r="J266" s="248" t="s">
        <v>551</v>
      </c>
      <c r="K266" s="112">
        <v>43638</v>
      </c>
      <c r="L266" s="109"/>
      <c r="M266" s="107"/>
      <c r="N266" s="108">
        <f>MONTH(Tableau13[[#This Row],[Date fin intervention]])</f>
        <v>6</v>
      </c>
      <c r="O266" s="108">
        <f>YEAR(Tableau13[[#This Row],[Date fin intervention]])</f>
        <v>2019</v>
      </c>
      <c r="P266" s="36"/>
    </row>
    <row r="267" spans="1:16">
      <c r="A267" s="110">
        <v>43641</v>
      </c>
      <c r="B267" s="111">
        <v>590</v>
      </c>
      <c r="C267" s="106" t="str">
        <f>IF(ISNA(VLOOKUP(Tableau13[[#This Row],[Code machine]],'CODE mchn'!$A$4:$C$170,2,0)),"",VLOOKUP(Tableau13[[#This Row],[Code machine]],'CODE mchn'!$A$4:$C$170,2,0))</f>
        <v>Acier</v>
      </c>
      <c r="D267" s="36" t="str">
        <f>IF(ISNA(VLOOKUP(Tableau13[[#This Row],[Code machine]],'CODE mchn'!$A$4:$C$170,3,0)),"",VLOOKUP(Tableau13[[#This Row],[Code machine]],'CODE mchn'!$A$4:$C$170,3,0))</f>
        <v>Teurema 3</v>
      </c>
      <c r="E267" s="105"/>
      <c r="F267" s="36"/>
      <c r="G267" s="62" t="s">
        <v>99</v>
      </c>
      <c r="H267" s="62" t="s">
        <v>458</v>
      </c>
      <c r="I267" s="62" t="s">
        <v>13</v>
      </c>
      <c r="J267" s="248" t="s">
        <v>473</v>
      </c>
      <c r="K267" s="112">
        <v>43641</v>
      </c>
      <c r="L267" s="109"/>
      <c r="M267" s="107"/>
      <c r="N267" s="108">
        <f>MONTH(Tableau13[[#This Row],[Date fin intervention]])</f>
        <v>6</v>
      </c>
      <c r="O267" s="108">
        <f>YEAR(Tableau13[[#This Row],[Date fin intervention]])</f>
        <v>2019</v>
      </c>
      <c r="P267" s="36"/>
    </row>
    <row r="268" spans="1:16" ht="42.75">
      <c r="A268" s="110">
        <v>43641</v>
      </c>
      <c r="B268" s="111">
        <v>607</v>
      </c>
      <c r="C268" s="106" t="str">
        <f>IF(ISNA(VLOOKUP(Tableau13[[#This Row],[Code machine]],'CODE mchn'!$A$4:$C$170,2,0)),"",VLOOKUP(Tableau13[[#This Row],[Code machine]],'CODE mchn'!$A$4:$C$170,2,0))</f>
        <v>Acier</v>
      </c>
      <c r="D268" s="36" t="str">
        <f>IF(ISNA(VLOOKUP(Tableau13[[#This Row],[Code machine]],'CODE mchn'!$A$4:$C$170,3,0)),"",VLOOKUP(Tableau13[[#This Row],[Code machine]],'CODE mchn'!$A$4:$C$170,3,0))</f>
        <v>Vitari 3</v>
      </c>
      <c r="E268" s="105"/>
      <c r="F268" s="36"/>
      <c r="G268" s="62" t="s">
        <v>503</v>
      </c>
      <c r="H268" s="62" t="s">
        <v>563</v>
      </c>
      <c r="I268" s="62" t="s">
        <v>13</v>
      </c>
      <c r="J268" s="248" t="s">
        <v>545</v>
      </c>
      <c r="K268" s="112">
        <v>43642</v>
      </c>
      <c r="L268" s="109"/>
      <c r="M268" s="107" t="s">
        <v>2259</v>
      </c>
      <c r="N268" s="108">
        <f>MONTH(Tableau13[[#This Row],[Date fin intervention]])</f>
        <v>6</v>
      </c>
      <c r="O268" s="108">
        <f>YEAR(Tableau13[[#This Row],[Date fin intervention]])</f>
        <v>2019</v>
      </c>
      <c r="P268" s="36"/>
    </row>
    <row r="269" spans="1:16">
      <c r="A269" s="110">
        <v>43642</v>
      </c>
      <c r="B269" s="111">
        <v>570</v>
      </c>
      <c r="C269" s="106" t="str">
        <f>IF(ISNA(VLOOKUP(Tableau13[[#This Row],[Code machine]],'CODE mchn'!$A$4:$C$170,2,0)),"",VLOOKUP(Tableau13[[#This Row],[Code machine]],'CODE mchn'!$A$4:$C$170,2,0))</f>
        <v>Acier</v>
      </c>
      <c r="D269" s="36" t="str">
        <f>IF(ISNA(VLOOKUP(Tableau13[[#This Row],[Code machine]],'CODE mchn'!$A$4:$C$170,3,0)),"",VLOOKUP(Tableau13[[#This Row],[Code machine]],'CODE mchn'!$A$4:$C$170,3,0))</f>
        <v>Sigmatic</v>
      </c>
      <c r="E269" s="105"/>
      <c r="F269" s="36"/>
      <c r="G269" s="62" t="s">
        <v>594</v>
      </c>
      <c r="H269" s="62" t="s">
        <v>595</v>
      </c>
      <c r="I269" s="62" t="s">
        <v>13</v>
      </c>
      <c r="J269" s="248" t="s">
        <v>596</v>
      </c>
      <c r="K269" s="112">
        <v>43642</v>
      </c>
      <c r="L269" s="109"/>
      <c r="M269" s="107"/>
      <c r="N269" s="108">
        <f>MONTH(Tableau13[[#This Row],[Date fin intervention]])</f>
        <v>6</v>
      </c>
      <c r="O269" s="108">
        <f>YEAR(Tableau13[[#This Row],[Date fin intervention]])</f>
        <v>2019</v>
      </c>
      <c r="P269" s="36"/>
    </row>
    <row r="270" spans="1:16">
      <c r="A270" s="110">
        <v>43643</v>
      </c>
      <c r="B270" s="111">
        <v>700</v>
      </c>
      <c r="C270" s="106" t="str">
        <f>IF(ISNA(VLOOKUP(Tableau13[[#This Row],[Code machine]],'CODE mchn'!$A$4:$C$170,2,0)),"",VLOOKUP(Tableau13[[#This Row],[Code machine]],'CODE mchn'!$A$4:$C$170,2,0))</f>
        <v>Béton</v>
      </c>
      <c r="D270" s="36" t="str">
        <f>IF(ISNA(VLOOKUP(Tableau13[[#This Row],[Code machine]],'CODE mchn'!$A$4:$C$170,3,0)),"",VLOOKUP(Tableau13[[#This Row],[Code machine]],'CODE mchn'!$A$4:$C$170,3,0))</f>
        <v>Poyatos 1</v>
      </c>
      <c r="E270" s="105"/>
      <c r="F270" s="36"/>
      <c r="G270" s="62" t="s">
        <v>394</v>
      </c>
      <c r="H270" s="62" t="s">
        <v>550</v>
      </c>
      <c r="I270" s="62" t="s">
        <v>13</v>
      </c>
      <c r="J270" s="248" t="s">
        <v>552</v>
      </c>
      <c r="K270" s="112">
        <v>43643</v>
      </c>
      <c r="L270" s="109"/>
      <c r="M270" s="107"/>
      <c r="N270" s="108">
        <f>MONTH(Tableau13[[#This Row],[Date fin intervention]])</f>
        <v>6</v>
      </c>
      <c r="O270" s="108">
        <f>YEAR(Tableau13[[#This Row],[Date fin intervention]])</f>
        <v>2019</v>
      </c>
      <c r="P270" s="36"/>
    </row>
    <row r="271" spans="1:16">
      <c r="A271" s="110">
        <v>43643</v>
      </c>
      <c r="B271" s="111">
        <v>582</v>
      </c>
      <c r="C271" s="106" t="str">
        <f>IF(ISNA(VLOOKUP(Tableau13[[#This Row],[Code machine]],'CODE mchn'!$A$4:$C$170,2,0)),"",VLOOKUP(Tableau13[[#This Row],[Code machine]],'CODE mchn'!$A$4:$C$170,2,0))</f>
        <v>Acier</v>
      </c>
      <c r="D271" s="36" t="str">
        <f>IF(ISNA(VLOOKUP(Tableau13[[#This Row],[Code machine]],'CODE mchn'!$A$4:$C$170,3,0)),"",VLOOKUP(Tableau13[[#This Row],[Code machine]],'CODE mchn'!$A$4:$C$170,3,0))</f>
        <v>Teurema 2</v>
      </c>
      <c r="E271" s="105"/>
      <c r="F271" s="36"/>
      <c r="G271" s="62" t="s">
        <v>564</v>
      </c>
      <c r="H271" s="62" t="s">
        <v>565</v>
      </c>
      <c r="I271" s="62" t="s">
        <v>8</v>
      </c>
      <c r="J271" s="248" t="s">
        <v>566</v>
      </c>
      <c r="K271" s="112">
        <v>43643</v>
      </c>
      <c r="L271" s="109"/>
      <c r="M271" s="107"/>
      <c r="N271" s="108">
        <f>MONTH(Tableau13[[#This Row],[Date fin intervention]])</f>
        <v>6</v>
      </c>
      <c r="O271" s="108">
        <f>YEAR(Tableau13[[#This Row],[Date fin intervention]])</f>
        <v>2019</v>
      </c>
      <c r="P271" s="36"/>
    </row>
    <row r="272" spans="1:16">
      <c r="A272" s="110">
        <v>43643</v>
      </c>
      <c r="B272" s="111">
        <v>800</v>
      </c>
      <c r="C272" s="106" t="str">
        <f>IF(ISNA(VLOOKUP(Tableau13[[#This Row],[Code machine]],'CODE mchn'!$A$4:$C$170,2,0)),"",VLOOKUP(Tableau13[[#This Row],[Code machine]],'CODE mchn'!$A$4:$C$170,2,0))</f>
        <v>Béton</v>
      </c>
      <c r="D272" s="36" t="str">
        <f>IF(ISNA(VLOOKUP(Tableau13[[#This Row],[Code machine]],'CODE mchn'!$A$4:$C$170,3,0)),"",VLOOKUP(Tableau13[[#This Row],[Code machine]],'CODE mchn'!$A$4:$C$170,3,0))</f>
        <v>Poyatos 2</v>
      </c>
      <c r="E272" s="105"/>
      <c r="F272" s="36"/>
      <c r="G272" s="62" t="s">
        <v>421</v>
      </c>
      <c r="H272" s="62" t="s">
        <v>402</v>
      </c>
      <c r="I272" s="62" t="s">
        <v>107</v>
      </c>
      <c r="J272" s="248" t="s">
        <v>569</v>
      </c>
      <c r="K272" s="112">
        <v>43643</v>
      </c>
      <c r="L272" s="109"/>
      <c r="M272" s="107"/>
      <c r="N272" s="108">
        <f>MONTH(Tableau13[[#This Row],[Date fin intervention]])</f>
        <v>6</v>
      </c>
      <c r="O272" s="108">
        <f>YEAR(Tableau13[[#This Row],[Date fin intervention]])</f>
        <v>2019</v>
      </c>
      <c r="P272" s="36"/>
    </row>
    <row r="273" spans="1:16">
      <c r="A273" s="110">
        <v>43644</v>
      </c>
      <c r="B273" s="111">
        <v>560</v>
      </c>
      <c r="C273" s="106" t="str">
        <f>IF(ISNA(VLOOKUP(Tableau13[[#This Row],[Code machine]],'CODE mchn'!$A$4:$C$170,2,0)),"",VLOOKUP(Tableau13[[#This Row],[Code machine]],'CODE mchn'!$A$4:$C$170,2,0))</f>
        <v>Acier</v>
      </c>
      <c r="D273" s="36" t="str">
        <f>IF(ISNA(VLOOKUP(Tableau13[[#This Row],[Code machine]],'CODE mchn'!$A$4:$C$170,3,0)),"",VLOOKUP(Tableau13[[#This Row],[Code machine]],'CODE mchn'!$A$4:$C$170,3,0))</f>
        <v>Schlatter</v>
      </c>
      <c r="E273" s="105"/>
      <c r="F273" s="36"/>
      <c r="G273" s="62" t="s">
        <v>104</v>
      </c>
      <c r="H273" s="62" t="s">
        <v>517</v>
      </c>
      <c r="I273" s="62" t="s">
        <v>13</v>
      </c>
      <c r="J273" s="248" t="s">
        <v>518</v>
      </c>
      <c r="K273" s="112">
        <v>43644</v>
      </c>
      <c r="L273" s="109"/>
      <c r="M273" s="107"/>
      <c r="N273" s="108">
        <f>MONTH(Tableau13[[#This Row],[Date fin intervention]])</f>
        <v>6</v>
      </c>
      <c r="O273" s="108">
        <f>YEAR(Tableau13[[#This Row],[Date fin intervention]])</f>
        <v>2019</v>
      </c>
      <c r="P273" s="36"/>
    </row>
    <row r="274" spans="1:16">
      <c r="A274" s="110">
        <v>43647</v>
      </c>
      <c r="B274" s="111">
        <v>700</v>
      </c>
      <c r="C274" s="106" t="str">
        <f>IF(ISNA(VLOOKUP(Tableau13[[#This Row],[Code machine]],'CODE mchn'!$A$4:$C$170,2,0)),"",VLOOKUP(Tableau13[[#This Row],[Code machine]],'CODE mchn'!$A$4:$C$170,2,0))</f>
        <v>Béton</v>
      </c>
      <c r="D274" s="36" t="str">
        <f>IF(ISNA(VLOOKUP(Tableau13[[#This Row],[Code machine]],'CODE mchn'!$A$4:$C$170,3,0)),"",VLOOKUP(Tableau13[[#This Row],[Code machine]],'CODE mchn'!$A$4:$C$170,3,0))</f>
        <v>Poyatos 1</v>
      </c>
      <c r="E274" s="105"/>
      <c r="F274" s="36"/>
      <c r="G274" s="62" t="s">
        <v>394</v>
      </c>
      <c r="H274" s="62" t="s">
        <v>570</v>
      </c>
      <c r="I274" s="62" t="s">
        <v>13</v>
      </c>
      <c r="J274" s="248" t="s">
        <v>571</v>
      </c>
      <c r="K274" s="112">
        <v>43647</v>
      </c>
      <c r="L274" s="109"/>
      <c r="M274" s="107"/>
      <c r="N274" s="108">
        <f>MONTH(Tableau13[[#This Row],[Date fin intervention]])</f>
        <v>7</v>
      </c>
      <c r="O274" s="108">
        <f>YEAR(Tableau13[[#This Row],[Date fin intervention]])</f>
        <v>2019</v>
      </c>
      <c r="P274" s="36"/>
    </row>
    <row r="275" spans="1:16">
      <c r="A275" s="110">
        <v>43647</v>
      </c>
      <c r="B275" s="111">
        <v>800</v>
      </c>
      <c r="C275" s="106" t="str">
        <f>IF(ISNA(VLOOKUP(Tableau13[[#This Row],[Code machine]],'CODE mchn'!$A$4:$C$170,2,0)),"",VLOOKUP(Tableau13[[#This Row],[Code machine]],'CODE mchn'!$A$4:$C$170,2,0))</f>
        <v>Béton</v>
      </c>
      <c r="D275" s="36" t="str">
        <f>IF(ISNA(VLOOKUP(Tableau13[[#This Row],[Code machine]],'CODE mchn'!$A$4:$C$170,3,0)),"",VLOOKUP(Tableau13[[#This Row],[Code machine]],'CODE mchn'!$A$4:$C$170,3,0))</f>
        <v>Poyatos 2</v>
      </c>
      <c r="E275" s="105"/>
      <c r="F275" s="36"/>
      <c r="G275" s="62" t="s">
        <v>331</v>
      </c>
      <c r="H275" s="62" t="s">
        <v>572</v>
      </c>
      <c r="I275" s="62" t="s">
        <v>13</v>
      </c>
      <c r="J275" s="248" t="s">
        <v>573</v>
      </c>
      <c r="K275" s="112">
        <v>43647</v>
      </c>
      <c r="L275" s="109"/>
      <c r="M275" s="107"/>
      <c r="N275" s="108">
        <f>MONTH(Tableau13[[#This Row],[Date fin intervention]])</f>
        <v>7</v>
      </c>
      <c r="O275" s="108">
        <f>YEAR(Tableau13[[#This Row],[Date fin intervention]])</f>
        <v>2019</v>
      </c>
      <c r="P275" s="36"/>
    </row>
    <row r="276" spans="1:16">
      <c r="A276" s="110">
        <v>43647</v>
      </c>
      <c r="B276" s="111">
        <v>565</v>
      </c>
      <c r="C276" s="106" t="str">
        <f>IF(ISNA(VLOOKUP(Tableau13[[#This Row],[Code machine]],'CODE mchn'!$A$4:$C$170,2,0)),"",VLOOKUP(Tableau13[[#This Row],[Code machine]],'CODE mchn'!$A$4:$C$170,2,0))</f>
        <v>Acier</v>
      </c>
      <c r="D276" s="36" t="str">
        <f>IF(ISNA(VLOOKUP(Tableau13[[#This Row],[Code machine]],'CODE mchn'!$A$4:$C$170,3,0)),"",VLOOKUP(Tableau13[[#This Row],[Code machine]],'CODE mchn'!$A$4:$C$170,3,0))</f>
        <v>EVG GE12</v>
      </c>
      <c r="E276" s="105"/>
      <c r="F276" s="36"/>
      <c r="G276" s="62" t="s">
        <v>97</v>
      </c>
      <c r="H276" s="62" t="s">
        <v>574</v>
      </c>
      <c r="I276" s="62" t="s">
        <v>13</v>
      </c>
      <c r="J276" s="248" t="s">
        <v>575</v>
      </c>
      <c r="K276" s="112">
        <v>43647</v>
      </c>
      <c r="L276" s="109"/>
      <c r="M276" s="107"/>
      <c r="N276" s="108">
        <f>MONTH(Tableau13[[#This Row],[Date fin intervention]])</f>
        <v>7</v>
      </c>
      <c r="O276" s="108">
        <f>YEAR(Tableau13[[#This Row],[Date fin intervention]])</f>
        <v>2019</v>
      </c>
      <c r="P276" s="36"/>
    </row>
    <row r="277" spans="1:16" ht="28.5">
      <c r="A277" s="110">
        <v>43647</v>
      </c>
      <c r="B277" s="111">
        <v>574</v>
      </c>
      <c r="C277" s="106" t="str">
        <f>IF(ISNA(VLOOKUP(Tableau13[[#This Row],[Code machine]],'CODE mchn'!$A$4:$C$170,2,0)),"",VLOOKUP(Tableau13[[#This Row],[Code machine]],'CODE mchn'!$A$4:$C$170,2,0))</f>
        <v>Ponts roulants</v>
      </c>
      <c r="D277" s="36" t="str">
        <f>IF(ISNA(VLOOKUP(Tableau13[[#This Row],[Code machine]],'CODE mchn'!$A$4:$C$170,3,0)),"",VLOOKUP(Tableau13[[#This Row],[Code machine]],'CODE mchn'!$A$4:$C$170,3,0))</f>
        <v>Pont roulant Demag 2 3,2T (Charge)</v>
      </c>
      <c r="E277" s="105"/>
      <c r="F277" s="36"/>
      <c r="G277" s="62" t="s">
        <v>52</v>
      </c>
      <c r="H277" s="62" t="s">
        <v>616</v>
      </c>
      <c r="I277" s="62" t="s">
        <v>13</v>
      </c>
      <c r="J277" s="248" t="s">
        <v>617</v>
      </c>
      <c r="K277" s="112">
        <v>43647</v>
      </c>
      <c r="L277" s="109"/>
      <c r="M277" s="107"/>
      <c r="N277" s="108">
        <f>MONTH(Tableau13[[#This Row],[Date fin intervention]])</f>
        <v>7</v>
      </c>
      <c r="O277" s="108">
        <f>YEAR(Tableau13[[#This Row],[Date fin intervention]])</f>
        <v>2019</v>
      </c>
      <c r="P277" s="36"/>
    </row>
    <row r="278" spans="1:16">
      <c r="A278" s="110">
        <v>43649</v>
      </c>
      <c r="B278" s="111">
        <v>700</v>
      </c>
      <c r="C278" s="106" t="str">
        <f>IF(ISNA(VLOOKUP(Tableau13[[#This Row],[Code machine]],'CODE mchn'!$A$4:$C$170,2,0)),"",VLOOKUP(Tableau13[[#This Row],[Code machine]],'CODE mchn'!$A$4:$C$170,2,0))</f>
        <v>Béton</v>
      </c>
      <c r="D278" s="36" t="str">
        <f>IF(ISNA(VLOOKUP(Tableau13[[#This Row],[Code machine]],'CODE mchn'!$A$4:$C$170,3,0)),"",VLOOKUP(Tableau13[[#This Row],[Code machine]],'CODE mchn'!$A$4:$C$170,3,0))</f>
        <v>Poyatos 1</v>
      </c>
      <c r="E278" s="105"/>
      <c r="F278" s="36"/>
      <c r="G278" s="62" t="s">
        <v>397</v>
      </c>
      <c r="H278" s="62" t="s">
        <v>576</v>
      </c>
      <c r="I278" s="62" t="s">
        <v>13</v>
      </c>
      <c r="J278" s="248" t="s">
        <v>577</v>
      </c>
      <c r="K278" s="112">
        <v>43649</v>
      </c>
      <c r="L278" s="109"/>
      <c r="M278" s="107"/>
      <c r="N278" s="108">
        <f>MONTH(Tableau13[[#This Row],[Date fin intervention]])</f>
        <v>7</v>
      </c>
      <c r="O278" s="108">
        <f>YEAR(Tableau13[[#This Row],[Date fin intervention]])</f>
        <v>2019</v>
      </c>
      <c r="P278" s="36"/>
    </row>
    <row r="279" spans="1:16">
      <c r="A279" s="110">
        <v>43649</v>
      </c>
      <c r="B279" s="111">
        <v>700</v>
      </c>
      <c r="C279" s="106" t="str">
        <f>IF(ISNA(VLOOKUP(Tableau13[[#This Row],[Code machine]],'CODE mchn'!$A$4:$C$170,2,0)),"",VLOOKUP(Tableau13[[#This Row],[Code machine]],'CODE mchn'!$A$4:$C$170,2,0))</f>
        <v>Béton</v>
      </c>
      <c r="D279" s="36" t="str">
        <f>IF(ISNA(VLOOKUP(Tableau13[[#This Row],[Code machine]],'CODE mchn'!$A$4:$C$170,3,0)),"",VLOOKUP(Tableau13[[#This Row],[Code machine]],'CODE mchn'!$A$4:$C$170,3,0))</f>
        <v>Poyatos 1</v>
      </c>
      <c r="E279" s="105"/>
      <c r="F279" s="36"/>
      <c r="G279" s="62" t="s">
        <v>306</v>
      </c>
      <c r="H279" s="62" t="s">
        <v>578</v>
      </c>
      <c r="I279" s="62" t="s">
        <v>13</v>
      </c>
      <c r="J279" s="248" t="s">
        <v>579</v>
      </c>
      <c r="K279" s="112">
        <v>43649</v>
      </c>
      <c r="L279" s="109"/>
      <c r="M279" s="107"/>
      <c r="N279" s="108">
        <f>MONTH(Tableau13[[#This Row],[Date fin intervention]])</f>
        <v>7</v>
      </c>
      <c r="O279" s="108">
        <f>YEAR(Tableau13[[#This Row],[Date fin intervention]])</f>
        <v>2019</v>
      </c>
      <c r="P279" s="36"/>
    </row>
    <row r="280" spans="1:16" ht="42.75">
      <c r="A280" s="110">
        <v>43650</v>
      </c>
      <c r="B280" s="111">
        <v>570</v>
      </c>
      <c r="C280" s="106" t="str">
        <f>IF(ISNA(VLOOKUP(Tableau13[[#This Row],[Code machine]],'CODE mchn'!$A$4:$C$170,2,0)),"",VLOOKUP(Tableau13[[#This Row],[Code machine]],'CODE mchn'!$A$4:$C$170,2,0))</f>
        <v>Acier</v>
      </c>
      <c r="D280" s="36" t="str">
        <f>IF(ISNA(VLOOKUP(Tableau13[[#This Row],[Code machine]],'CODE mchn'!$A$4:$C$170,3,0)),"",VLOOKUP(Tableau13[[#This Row],[Code machine]],'CODE mchn'!$A$4:$C$170,3,0))</f>
        <v>Sigmatic</v>
      </c>
      <c r="E280" s="105"/>
      <c r="F280" s="36"/>
      <c r="G280" s="62" t="s">
        <v>10</v>
      </c>
      <c r="H280" s="62" t="s">
        <v>610</v>
      </c>
      <c r="I280" s="62" t="s">
        <v>13</v>
      </c>
      <c r="J280" s="248" t="s">
        <v>611</v>
      </c>
      <c r="K280" s="112">
        <v>43661</v>
      </c>
      <c r="L280" s="109"/>
      <c r="M280" s="107" t="s">
        <v>2259</v>
      </c>
      <c r="N280" s="108">
        <f>MONTH(Tableau13[[#This Row],[Date fin intervention]])</f>
        <v>7</v>
      </c>
      <c r="O280" s="108">
        <f>YEAR(Tableau13[[#This Row],[Date fin intervention]])</f>
        <v>2019</v>
      </c>
      <c r="P280" s="36"/>
    </row>
    <row r="281" spans="1:16">
      <c r="A281" s="115">
        <v>43650</v>
      </c>
      <c r="B281" s="116">
        <v>560</v>
      </c>
      <c r="C281" s="117" t="str">
        <f>IF(ISNA(VLOOKUP(Tableau13[[#This Row],[Code machine]],'CODE mchn'!$A$4:$C$170,2,0)),"",VLOOKUP(Tableau13[[#This Row],[Code machine]],'CODE mchn'!$A$4:$C$170,2,0))</f>
        <v>Acier</v>
      </c>
      <c r="D281" s="36" t="str">
        <f>IF(ISNA(VLOOKUP(Tableau13[[#This Row],[Code machine]],'CODE mchn'!$A$4:$C$170,3,0)),"",VLOOKUP(Tableau13[[#This Row],[Code machine]],'CODE mchn'!$A$4:$C$170,3,0))</f>
        <v>Schlatter</v>
      </c>
      <c r="E281" s="105"/>
      <c r="F281" s="63"/>
      <c r="G281" s="36" t="s">
        <v>104</v>
      </c>
      <c r="H281" s="36" t="s">
        <v>920</v>
      </c>
      <c r="I281" s="36" t="s">
        <v>13</v>
      </c>
      <c r="J281" s="106" t="s">
        <v>950</v>
      </c>
      <c r="K281" s="71">
        <v>43650</v>
      </c>
      <c r="L281" s="118"/>
      <c r="M281" s="119"/>
      <c r="N281" s="120">
        <f>MONTH(Tableau13[[#This Row],[Date fin intervention]])</f>
        <v>7</v>
      </c>
      <c r="O281" s="120">
        <f>YEAR(Tableau13[[#This Row],[Date fin intervention]])</f>
        <v>2019</v>
      </c>
      <c r="P281" s="36"/>
    </row>
    <row r="282" spans="1:16">
      <c r="A282" s="115">
        <v>43651</v>
      </c>
      <c r="B282" s="116">
        <v>560</v>
      </c>
      <c r="C282" s="117" t="str">
        <f>IF(ISNA(VLOOKUP(Tableau13[[#This Row],[Code machine]],'CODE mchn'!$A$4:$C$170,2,0)),"",VLOOKUP(Tableau13[[#This Row],[Code machine]],'CODE mchn'!$A$4:$C$170,2,0))</f>
        <v>Acier</v>
      </c>
      <c r="D282" s="36" t="str">
        <f>IF(ISNA(VLOOKUP(Tableau13[[#This Row],[Code machine]],'CODE mchn'!$A$4:$C$170,3,0)),"",VLOOKUP(Tableau13[[#This Row],[Code machine]],'CODE mchn'!$A$4:$C$170,3,0))</f>
        <v>Schlatter</v>
      </c>
      <c r="E282" s="105"/>
      <c r="F282" s="63"/>
      <c r="G282" s="62" t="s">
        <v>104</v>
      </c>
      <c r="H282" s="62" t="s">
        <v>500</v>
      </c>
      <c r="I282" s="62" t="s">
        <v>13</v>
      </c>
      <c r="J282" s="248" t="s">
        <v>567</v>
      </c>
      <c r="K282" s="71">
        <v>43651</v>
      </c>
      <c r="L282" s="118"/>
      <c r="M282" s="119"/>
      <c r="N282" s="120">
        <f>MONTH(Tableau13[[#This Row],[Date fin intervention]])</f>
        <v>7</v>
      </c>
      <c r="O282" s="120">
        <f>YEAR(Tableau13[[#This Row],[Date fin intervention]])</f>
        <v>2019</v>
      </c>
      <c r="P282" s="36"/>
    </row>
    <row r="283" spans="1:16">
      <c r="A283" s="110">
        <v>43652</v>
      </c>
      <c r="B283" s="111">
        <v>700</v>
      </c>
      <c r="C283" s="106" t="str">
        <f>IF(ISNA(VLOOKUP(Tableau13[[#This Row],[Code machine]],'CODE mchn'!$A$4:$C$170,2,0)),"",VLOOKUP(Tableau13[[#This Row],[Code machine]],'CODE mchn'!$A$4:$C$170,2,0))</f>
        <v>Béton</v>
      </c>
      <c r="D283" s="36" t="str">
        <f>IF(ISNA(VLOOKUP(Tableau13[[#This Row],[Code machine]],'CODE mchn'!$A$4:$C$170,3,0)),"",VLOOKUP(Tableau13[[#This Row],[Code machine]],'CODE mchn'!$A$4:$C$170,3,0))</f>
        <v>Poyatos 1</v>
      </c>
      <c r="E283" s="105"/>
      <c r="F283" s="36"/>
      <c r="G283" s="62" t="s">
        <v>291</v>
      </c>
      <c r="H283" s="62" t="s">
        <v>586</v>
      </c>
      <c r="I283" s="62" t="s">
        <v>13</v>
      </c>
      <c r="J283" s="248" t="s">
        <v>164</v>
      </c>
      <c r="K283" s="112">
        <v>43652</v>
      </c>
      <c r="L283" s="109"/>
      <c r="M283" s="107"/>
      <c r="N283" s="108">
        <f>MONTH(Tableau13[[#This Row],[Date fin intervention]])</f>
        <v>7</v>
      </c>
      <c r="O283" s="108">
        <f>YEAR(Tableau13[[#This Row],[Date fin intervention]])</f>
        <v>2019</v>
      </c>
      <c r="P283" s="36"/>
    </row>
    <row r="284" spans="1:16">
      <c r="A284" s="110">
        <v>43652</v>
      </c>
      <c r="B284" s="111">
        <v>590</v>
      </c>
      <c r="C284" s="106" t="str">
        <f>IF(ISNA(VLOOKUP(Tableau13[[#This Row],[Code machine]],'CODE mchn'!$A$4:$C$170,2,0)),"",VLOOKUP(Tableau13[[#This Row],[Code machine]],'CODE mchn'!$A$4:$C$170,2,0))</f>
        <v>Acier</v>
      </c>
      <c r="D284" s="36" t="str">
        <f>IF(ISNA(VLOOKUP(Tableau13[[#This Row],[Code machine]],'CODE mchn'!$A$4:$C$170,3,0)),"",VLOOKUP(Tableau13[[#This Row],[Code machine]],'CODE mchn'!$A$4:$C$170,3,0))</f>
        <v>Teurema 3</v>
      </c>
      <c r="E284" s="105"/>
      <c r="F284" s="36"/>
      <c r="G284" s="62" t="s">
        <v>597</v>
      </c>
      <c r="H284" s="62" t="s">
        <v>598</v>
      </c>
      <c r="I284" s="62" t="s">
        <v>107</v>
      </c>
      <c r="J284" s="248" t="s">
        <v>599</v>
      </c>
      <c r="K284" s="112">
        <v>43652</v>
      </c>
      <c r="L284" s="109"/>
      <c r="M284" s="107"/>
      <c r="N284" s="108">
        <f>MONTH(Tableau13[[#This Row],[Date fin intervention]])</f>
        <v>7</v>
      </c>
      <c r="O284" s="108">
        <f>YEAR(Tableau13[[#This Row],[Date fin intervention]])</f>
        <v>2019</v>
      </c>
      <c r="P284" s="36"/>
    </row>
    <row r="285" spans="1:16">
      <c r="A285" s="110">
        <v>43652</v>
      </c>
      <c r="B285" s="111">
        <v>590</v>
      </c>
      <c r="C285" s="106" t="str">
        <f>IF(ISNA(VLOOKUP(Tableau13[[#This Row],[Code machine]],'CODE mchn'!$A$4:$C$170,2,0)),"",VLOOKUP(Tableau13[[#This Row],[Code machine]],'CODE mchn'!$A$4:$C$170,2,0))</f>
        <v>Acier</v>
      </c>
      <c r="D285" s="36" t="str">
        <f>IF(ISNA(VLOOKUP(Tableau13[[#This Row],[Code machine]],'CODE mchn'!$A$4:$C$170,3,0)),"",VLOOKUP(Tableau13[[#This Row],[Code machine]],'CODE mchn'!$A$4:$C$170,3,0))</f>
        <v>Teurema 3</v>
      </c>
      <c r="E285" s="105"/>
      <c r="F285" s="36"/>
      <c r="G285" s="62" t="s">
        <v>600</v>
      </c>
      <c r="H285" s="62" t="s">
        <v>458</v>
      </c>
      <c r="I285" s="62" t="s">
        <v>13</v>
      </c>
      <c r="J285" s="248" t="s">
        <v>601</v>
      </c>
      <c r="K285" s="112">
        <v>43652</v>
      </c>
      <c r="L285" s="109"/>
      <c r="M285" s="107"/>
      <c r="N285" s="108">
        <f>MONTH(Tableau13[[#This Row],[Date fin intervention]])</f>
        <v>7</v>
      </c>
      <c r="O285" s="108">
        <f>YEAR(Tableau13[[#This Row],[Date fin intervention]])</f>
        <v>2019</v>
      </c>
      <c r="P285" s="36"/>
    </row>
    <row r="286" spans="1:16">
      <c r="A286" s="110">
        <v>43652</v>
      </c>
      <c r="B286" s="111">
        <v>582</v>
      </c>
      <c r="C286" s="106" t="str">
        <f>IF(ISNA(VLOOKUP(Tableau13[[#This Row],[Code machine]],'CODE mchn'!$A$4:$C$170,2,0)),"",VLOOKUP(Tableau13[[#This Row],[Code machine]],'CODE mchn'!$A$4:$C$170,2,0))</f>
        <v>Acier</v>
      </c>
      <c r="D286" s="36" t="str">
        <f>IF(ISNA(VLOOKUP(Tableau13[[#This Row],[Code machine]],'CODE mchn'!$A$4:$C$170,3,0)),"",VLOOKUP(Tableau13[[#This Row],[Code machine]],'CODE mchn'!$A$4:$C$170,3,0))</f>
        <v>Teurema 2</v>
      </c>
      <c r="E286" s="105"/>
      <c r="F286" s="36"/>
      <c r="G286" s="62" t="s">
        <v>602</v>
      </c>
      <c r="H286" s="62" t="s">
        <v>603</v>
      </c>
      <c r="I286" s="62" t="s">
        <v>13</v>
      </c>
      <c r="J286" s="248" t="s">
        <v>604</v>
      </c>
      <c r="K286" s="112">
        <v>43652</v>
      </c>
      <c r="L286" s="109"/>
      <c r="M286" s="107"/>
      <c r="N286" s="108">
        <f>MONTH(Tableau13[[#This Row],[Date fin intervention]])</f>
        <v>7</v>
      </c>
      <c r="O286" s="108">
        <f>YEAR(Tableau13[[#This Row],[Date fin intervention]])</f>
        <v>2019</v>
      </c>
      <c r="P286" s="36"/>
    </row>
    <row r="287" spans="1:16">
      <c r="A287" s="110">
        <v>43652</v>
      </c>
      <c r="B287" s="111">
        <v>590</v>
      </c>
      <c r="C287" s="106" t="str">
        <f>IF(ISNA(VLOOKUP(Tableau13[[#This Row],[Code machine]],'CODE mchn'!$A$4:$C$170,2,0)),"",VLOOKUP(Tableau13[[#This Row],[Code machine]],'CODE mchn'!$A$4:$C$170,2,0))</f>
        <v>Acier</v>
      </c>
      <c r="D287" s="36" t="str">
        <f>IF(ISNA(VLOOKUP(Tableau13[[#This Row],[Code machine]],'CODE mchn'!$A$4:$C$170,3,0)),"",VLOOKUP(Tableau13[[#This Row],[Code machine]],'CODE mchn'!$A$4:$C$170,3,0))</f>
        <v>Teurema 3</v>
      </c>
      <c r="E287" s="105"/>
      <c r="F287" s="36"/>
      <c r="G287" s="62" t="s">
        <v>605</v>
      </c>
      <c r="H287" s="62" t="s">
        <v>350</v>
      </c>
      <c r="I287" s="62" t="s">
        <v>13</v>
      </c>
      <c r="J287" s="248" t="s">
        <v>606</v>
      </c>
      <c r="K287" s="112">
        <v>43652</v>
      </c>
      <c r="L287" s="109"/>
      <c r="M287" s="107"/>
      <c r="N287" s="108">
        <f>MONTH(Tableau13[[#This Row],[Date fin intervention]])</f>
        <v>7</v>
      </c>
      <c r="O287" s="108">
        <f>YEAR(Tableau13[[#This Row],[Date fin intervention]])</f>
        <v>2019</v>
      </c>
      <c r="P287" s="36"/>
    </row>
    <row r="288" spans="1:16">
      <c r="A288" s="110">
        <v>43652</v>
      </c>
      <c r="B288" s="111">
        <v>580</v>
      </c>
      <c r="C288" s="106" t="str">
        <f>IF(ISNA(VLOOKUP(Tableau13[[#This Row],[Code machine]],'CODE mchn'!$A$4:$C$170,2,0)),"",VLOOKUP(Tableau13[[#This Row],[Code machine]],'CODE mchn'!$A$4:$C$170,2,0))</f>
        <v>Acier</v>
      </c>
      <c r="D288" s="36" t="str">
        <f>IF(ISNA(VLOOKUP(Tableau13[[#This Row],[Code machine]],'CODE mchn'!$A$4:$C$170,3,0)),"",VLOOKUP(Tableau13[[#This Row],[Code machine]],'CODE mchn'!$A$4:$C$170,3,0))</f>
        <v>Techno Impiante</v>
      </c>
      <c r="E288" s="105"/>
      <c r="F288" s="36"/>
      <c r="G288" s="62" t="s">
        <v>612</v>
      </c>
      <c r="H288" s="62" t="s">
        <v>613</v>
      </c>
      <c r="I288" s="62" t="s">
        <v>19</v>
      </c>
      <c r="J288" s="248" t="s">
        <v>614</v>
      </c>
      <c r="K288" s="112">
        <v>43652</v>
      </c>
      <c r="L288" s="109"/>
      <c r="M288" s="107"/>
      <c r="N288" s="108">
        <f>MONTH(Tableau13[[#This Row],[Date fin intervention]])</f>
        <v>7</v>
      </c>
      <c r="O288" s="108">
        <f>YEAR(Tableau13[[#This Row],[Date fin intervention]])</f>
        <v>2019</v>
      </c>
      <c r="P288" s="36"/>
    </row>
    <row r="289" spans="1:16">
      <c r="A289" s="110">
        <v>43654</v>
      </c>
      <c r="B289" s="111">
        <v>700</v>
      </c>
      <c r="C289" s="106" t="str">
        <f>IF(ISNA(VLOOKUP(Tableau13[[#This Row],[Code machine]],'CODE mchn'!$A$4:$C$170,2,0)),"",VLOOKUP(Tableau13[[#This Row],[Code machine]],'CODE mchn'!$A$4:$C$170,2,0))</f>
        <v>Béton</v>
      </c>
      <c r="D289" s="36" t="str">
        <f>IF(ISNA(VLOOKUP(Tableau13[[#This Row],[Code machine]],'CODE mchn'!$A$4:$C$170,3,0)),"",VLOOKUP(Tableau13[[#This Row],[Code machine]],'CODE mchn'!$A$4:$C$170,3,0))</f>
        <v>Poyatos 1</v>
      </c>
      <c r="E289" s="105"/>
      <c r="F289" s="36"/>
      <c r="G289" s="62" t="s">
        <v>397</v>
      </c>
      <c r="H289" s="62" t="s">
        <v>587</v>
      </c>
      <c r="I289" s="62" t="s">
        <v>107</v>
      </c>
      <c r="J289" s="248" t="s">
        <v>588</v>
      </c>
      <c r="K289" s="112">
        <v>43654</v>
      </c>
      <c r="L289" s="109"/>
      <c r="M289" s="107"/>
      <c r="N289" s="108">
        <f>MONTH(Tableau13[[#This Row],[Date fin intervention]])</f>
        <v>7</v>
      </c>
      <c r="O289" s="108">
        <f>YEAR(Tableau13[[#This Row],[Date fin intervention]])</f>
        <v>2019</v>
      </c>
      <c r="P289" s="36"/>
    </row>
    <row r="290" spans="1:16">
      <c r="A290" s="110">
        <v>43654</v>
      </c>
      <c r="B290" s="111">
        <v>590</v>
      </c>
      <c r="C290" s="106" t="str">
        <f>IF(ISNA(VLOOKUP(Tableau13[[#This Row],[Code machine]],'CODE mchn'!$A$4:$C$170,2,0)),"",VLOOKUP(Tableau13[[#This Row],[Code machine]],'CODE mchn'!$A$4:$C$170,2,0))</f>
        <v>Acier</v>
      </c>
      <c r="D290" s="36" t="str">
        <f>IF(ISNA(VLOOKUP(Tableau13[[#This Row],[Code machine]],'CODE mchn'!$A$4:$C$170,3,0)),"",VLOOKUP(Tableau13[[#This Row],[Code machine]],'CODE mchn'!$A$4:$C$170,3,0))</f>
        <v>Teurema 3</v>
      </c>
      <c r="E290" s="105"/>
      <c r="F290" s="36"/>
      <c r="G290" s="62" t="s">
        <v>607</v>
      </c>
      <c r="H290" s="62" t="s">
        <v>608</v>
      </c>
      <c r="I290" s="62" t="s">
        <v>13</v>
      </c>
      <c r="J290" s="248" t="s">
        <v>609</v>
      </c>
      <c r="K290" s="112">
        <v>43654</v>
      </c>
      <c r="L290" s="109"/>
      <c r="M290" s="107"/>
      <c r="N290" s="108">
        <f>MONTH(Tableau13[[#This Row],[Date fin intervention]])</f>
        <v>7</v>
      </c>
      <c r="O290" s="108">
        <f>YEAR(Tableau13[[#This Row],[Date fin intervention]])</f>
        <v>2019</v>
      </c>
      <c r="P290" s="36"/>
    </row>
    <row r="291" spans="1:16">
      <c r="A291" s="110">
        <v>43655</v>
      </c>
      <c r="B291" s="111">
        <v>590</v>
      </c>
      <c r="C291" s="106" t="str">
        <f>IF(ISNA(VLOOKUP(Tableau13[[#This Row],[Code machine]],'CODE mchn'!$A$4:$C$170,2,0)),"",VLOOKUP(Tableau13[[#This Row],[Code machine]],'CODE mchn'!$A$4:$C$170,2,0))</f>
        <v>Acier</v>
      </c>
      <c r="D291" s="36" t="str">
        <f>IF(ISNA(VLOOKUP(Tableau13[[#This Row],[Code machine]],'CODE mchn'!$A$4:$C$170,3,0)),"",VLOOKUP(Tableau13[[#This Row],[Code machine]],'CODE mchn'!$A$4:$C$170,3,0))</f>
        <v>Teurema 3</v>
      </c>
      <c r="E291" s="105"/>
      <c r="F291" s="36"/>
      <c r="G291" s="62" t="s">
        <v>615</v>
      </c>
      <c r="H291" s="62" t="s">
        <v>458</v>
      </c>
      <c r="I291" s="62" t="s">
        <v>13</v>
      </c>
      <c r="J291" s="248" t="s">
        <v>473</v>
      </c>
      <c r="K291" s="112">
        <v>43655</v>
      </c>
      <c r="L291" s="109"/>
      <c r="M291" s="107"/>
      <c r="N291" s="108">
        <f>MONTH(Tableau13[[#This Row],[Date fin intervention]])</f>
        <v>7</v>
      </c>
      <c r="O291" s="108">
        <f>YEAR(Tableau13[[#This Row],[Date fin intervention]])</f>
        <v>2019</v>
      </c>
      <c r="P291" s="36"/>
    </row>
    <row r="292" spans="1:16">
      <c r="A292" s="110">
        <v>43656</v>
      </c>
      <c r="B292" s="111">
        <v>800</v>
      </c>
      <c r="C292" s="106" t="str">
        <f>IF(ISNA(VLOOKUP(Tableau13[[#This Row],[Code machine]],'CODE mchn'!$A$4:$C$170,2,0)),"",VLOOKUP(Tableau13[[#This Row],[Code machine]],'CODE mchn'!$A$4:$C$170,2,0))</f>
        <v>Béton</v>
      </c>
      <c r="D292" s="36" t="str">
        <f>IF(ISNA(VLOOKUP(Tableau13[[#This Row],[Code machine]],'CODE mchn'!$A$4:$C$170,3,0)),"",VLOOKUP(Tableau13[[#This Row],[Code machine]],'CODE mchn'!$A$4:$C$170,3,0))</f>
        <v>Poyatos 2</v>
      </c>
      <c r="E292" s="105"/>
      <c r="F292" s="36"/>
      <c r="G292" s="62" t="s">
        <v>128</v>
      </c>
      <c r="H292" s="62" t="s">
        <v>580</v>
      </c>
      <c r="I292" s="62" t="s">
        <v>13</v>
      </c>
      <c r="J292" s="248" t="s">
        <v>581</v>
      </c>
      <c r="K292" s="112">
        <v>43656</v>
      </c>
      <c r="L292" s="109"/>
      <c r="M292" s="107"/>
      <c r="N292" s="108">
        <f>MONTH(Tableau13[[#This Row],[Date fin intervention]])</f>
        <v>7</v>
      </c>
      <c r="O292" s="108">
        <f>YEAR(Tableau13[[#This Row],[Date fin intervention]])</f>
        <v>2019</v>
      </c>
      <c r="P292" s="36"/>
    </row>
    <row r="293" spans="1:16">
      <c r="A293" s="110">
        <v>43656</v>
      </c>
      <c r="B293" s="111">
        <v>590</v>
      </c>
      <c r="C293" s="106" t="str">
        <f>IF(ISNA(VLOOKUP(Tableau13[[#This Row],[Code machine]],'CODE mchn'!$A$4:$C$170,2,0)),"",VLOOKUP(Tableau13[[#This Row],[Code machine]],'CODE mchn'!$A$4:$C$170,2,0))</f>
        <v>Acier</v>
      </c>
      <c r="D293" s="36" t="str">
        <f>IF(ISNA(VLOOKUP(Tableau13[[#This Row],[Code machine]],'CODE mchn'!$A$4:$C$170,3,0)),"",VLOOKUP(Tableau13[[#This Row],[Code machine]],'CODE mchn'!$A$4:$C$170,3,0))</f>
        <v>Teurema 3</v>
      </c>
      <c r="E293" s="105"/>
      <c r="F293" s="36"/>
      <c r="G293" s="62" t="s">
        <v>49</v>
      </c>
      <c r="H293" s="62" t="s">
        <v>623</v>
      </c>
      <c r="I293" s="62" t="s">
        <v>13</v>
      </c>
      <c r="J293" s="248" t="s">
        <v>624</v>
      </c>
      <c r="K293" s="112">
        <v>43656</v>
      </c>
      <c r="L293" s="109"/>
      <c r="M293" s="107"/>
      <c r="N293" s="108">
        <f>MONTH(Tableau13[[#This Row],[Date fin intervention]])</f>
        <v>7</v>
      </c>
      <c r="O293" s="108">
        <f>YEAR(Tableau13[[#This Row],[Date fin intervention]])</f>
        <v>2019</v>
      </c>
      <c r="P293" s="36"/>
    </row>
    <row r="294" spans="1:16">
      <c r="A294" s="115">
        <v>43656</v>
      </c>
      <c r="B294" s="116">
        <v>560</v>
      </c>
      <c r="C294" s="117" t="str">
        <f>IF(ISNA(VLOOKUP(Tableau13[[#This Row],[Code machine]],'CODE mchn'!$A$4:$C$170,2,0)),"",VLOOKUP(Tableau13[[#This Row],[Code machine]],'CODE mchn'!$A$4:$C$170,2,0))</f>
        <v>Acier</v>
      </c>
      <c r="D294" s="36" t="str">
        <f>IF(ISNA(VLOOKUP(Tableau13[[#This Row],[Code machine]],'CODE mchn'!$A$4:$C$170,3,0)),"",VLOOKUP(Tableau13[[#This Row],[Code machine]],'CODE mchn'!$A$4:$C$170,3,0))</f>
        <v>Schlatter</v>
      </c>
      <c r="E294" s="105"/>
      <c r="F294" s="63"/>
      <c r="G294" s="62" t="s">
        <v>104</v>
      </c>
      <c r="H294" s="62" t="s">
        <v>517</v>
      </c>
      <c r="I294" s="62" t="s">
        <v>13</v>
      </c>
      <c r="J294" s="248" t="s">
        <v>518</v>
      </c>
      <c r="K294" s="71">
        <v>43656</v>
      </c>
      <c r="L294" s="118"/>
      <c r="M294" s="119"/>
      <c r="N294" s="120">
        <f>MONTH(Tableau13[[#This Row],[Date fin intervention]])</f>
        <v>7</v>
      </c>
      <c r="O294" s="120">
        <f>YEAR(Tableau13[[#This Row],[Date fin intervention]])</f>
        <v>2019</v>
      </c>
      <c r="P294" s="36"/>
    </row>
    <row r="295" spans="1:16">
      <c r="A295" s="110">
        <v>43657</v>
      </c>
      <c r="B295" s="111">
        <v>700</v>
      </c>
      <c r="C295" s="106" t="str">
        <f>IF(ISNA(VLOOKUP(Tableau13[[#This Row],[Code machine]],'CODE mchn'!$A$4:$C$170,2,0)),"",VLOOKUP(Tableau13[[#This Row],[Code machine]],'CODE mchn'!$A$4:$C$170,2,0))</f>
        <v>Béton</v>
      </c>
      <c r="D295" s="36" t="str">
        <f>IF(ISNA(VLOOKUP(Tableau13[[#This Row],[Code machine]],'CODE mchn'!$A$4:$C$170,3,0)),"",VLOOKUP(Tableau13[[#This Row],[Code machine]],'CODE mchn'!$A$4:$C$170,3,0))</f>
        <v>Poyatos 1</v>
      </c>
      <c r="E295" s="105"/>
      <c r="F295" s="36"/>
      <c r="G295" s="62" t="s">
        <v>291</v>
      </c>
      <c r="H295" s="62" t="s">
        <v>584</v>
      </c>
      <c r="I295" s="62" t="s">
        <v>13</v>
      </c>
      <c r="J295" s="248" t="s">
        <v>585</v>
      </c>
      <c r="K295" s="112">
        <v>43657</v>
      </c>
      <c r="L295" s="109"/>
      <c r="M295" s="107"/>
      <c r="N295" s="108">
        <f>MONTH(Tableau13[[#This Row],[Date fin intervention]])</f>
        <v>7</v>
      </c>
      <c r="O295" s="108">
        <f>YEAR(Tableau13[[#This Row],[Date fin intervention]])</f>
        <v>2019</v>
      </c>
      <c r="P295" s="36"/>
    </row>
    <row r="296" spans="1:16">
      <c r="A296" s="110">
        <v>43657</v>
      </c>
      <c r="B296" s="111">
        <v>700</v>
      </c>
      <c r="C296" s="106" t="str">
        <f>IF(ISNA(VLOOKUP(Tableau13[[#This Row],[Code machine]],'CODE mchn'!$A$4:$C$170,2,0)),"",VLOOKUP(Tableau13[[#This Row],[Code machine]],'CODE mchn'!$A$4:$C$170,2,0))</f>
        <v>Béton</v>
      </c>
      <c r="D296" s="36" t="str">
        <f>IF(ISNA(VLOOKUP(Tableau13[[#This Row],[Code machine]],'CODE mchn'!$A$4:$C$170,3,0)),"",VLOOKUP(Tableau13[[#This Row],[Code machine]],'CODE mchn'!$A$4:$C$170,3,0))</f>
        <v>Poyatos 1</v>
      </c>
      <c r="E296" s="105"/>
      <c r="F296" s="36"/>
      <c r="G296" s="62" t="s">
        <v>331</v>
      </c>
      <c r="H296" s="62" t="s">
        <v>368</v>
      </c>
      <c r="I296" s="62" t="s">
        <v>8</v>
      </c>
      <c r="J296" s="248" t="s">
        <v>589</v>
      </c>
      <c r="K296" s="112">
        <v>43657</v>
      </c>
      <c r="L296" s="109"/>
      <c r="M296" s="107"/>
      <c r="N296" s="108">
        <f>MONTH(Tableau13[[#This Row],[Date fin intervention]])</f>
        <v>7</v>
      </c>
      <c r="O296" s="108">
        <f>YEAR(Tableau13[[#This Row],[Date fin intervention]])</f>
        <v>2019</v>
      </c>
      <c r="P296" s="36"/>
    </row>
    <row r="297" spans="1:16">
      <c r="A297" s="115">
        <v>43657</v>
      </c>
      <c r="B297" s="116">
        <v>590</v>
      </c>
      <c r="C297" s="117" t="str">
        <f>IF(ISNA(VLOOKUP(Tableau13[[#This Row],[Code machine]],'CODE mchn'!$A$4:$C$170,2,0)),"",VLOOKUP(Tableau13[[#This Row],[Code machine]],'CODE mchn'!$A$4:$C$170,2,0))</f>
        <v>Acier</v>
      </c>
      <c r="D297" s="36" t="str">
        <f>IF(ISNA(VLOOKUP(Tableau13[[#This Row],[Code machine]],'CODE mchn'!$A$4:$C$170,3,0)),"",VLOOKUP(Tableau13[[#This Row],[Code machine]],'CODE mchn'!$A$4:$C$170,3,0))</f>
        <v>Teurema 3</v>
      </c>
      <c r="E297" s="105"/>
      <c r="F297" s="63"/>
      <c r="G297" s="63" t="s">
        <v>643</v>
      </c>
      <c r="H297" s="63" t="s">
        <v>449</v>
      </c>
      <c r="I297" s="63" t="s">
        <v>13</v>
      </c>
      <c r="J297" s="117" t="s">
        <v>644</v>
      </c>
      <c r="K297" s="112">
        <v>43657</v>
      </c>
      <c r="L297" s="109"/>
      <c r="M297" s="119"/>
      <c r="N297" s="120">
        <f>MONTH(Tableau13[[#This Row],[Date fin intervention]])</f>
        <v>7</v>
      </c>
      <c r="O297" s="120">
        <f>YEAR(Tableau13[[#This Row],[Date fin intervention]])</f>
        <v>2019</v>
      </c>
      <c r="P297" s="36"/>
    </row>
    <row r="298" spans="1:16" ht="42.75">
      <c r="A298" s="110">
        <v>43658</v>
      </c>
      <c r="B298" s="111">
        <v>607</v>
      </c>
      <c r="C298" s="106" t="str">
        <f>IF(ISNA(VLOOKUP(Tableau13[[#This Row],[Code machine]],'CODE mchn'!$A$4:$C$170,2,0)),"",VLOOKUP(Tableau13[[#This Row],[Code machine]],'CODE mchn'!$A$4:$C$170,2,0))</f>
        <v>Acier</v>
      </c>
      <c r="D298" s="36" t="str">
        <f>IF(ISNA(VLOOKUP(Tableau13[[#This Row],[Code machine]],'CODE mchn'!$A$4:$C$170,3,0)),"",VLOOKUP(Tableau13[[#This Row],[Code machine]],'CODE mchn'!$A$4:$C$170,3,0))</f>
        <v>Vitari 3</v>
      </c>
      <c r="E298" s="105"/>
      <c r="F298" s="36"/>
      <c r="G298" s="62" t="s">
        <v>620</v>
      </c>
      <c r="H298" s="62" t="s">
        <v>621</v>
      </c>
      <c r="I298" s="62" t="s">
        <v>13</v>
      </c>
      <c r="J298" s="248"/>
      <c r="K298" s="112">
        <v>43673</v>
      </c>
      <c r="L298" s="109" t="s">
        <v>622</v>
      </c>
      <c r="M298" s="107" t="s">
        <v>2259</v>
      </c>
      <c r="N298" s="108">
        <f>MONTH(Tableau13[[#This Row],[Date fin intervention]])</f>
        <v>7</v>
      </c>
      <c r="O298" s="108">
        <f>YEAR(Tableau13[[#This Row],[Date fin intervention]])</f>
        <v>2019</v>
      </c>
      <c r="P298" s="36"/>
    </row>
    <row r="299" spans="1:16">
      <c r="A299" s="110">
        <v>43659</v>
      </c>
      <c r="B299" s="111">
        <v>800</v>
      </c>
      <c r="C299" s="106" t="str">
        <f>IF(ISNA(VLOOKUP(Tableau13[[#This Row],[Code machine]],'CODE mchn'!$A$4:$C$170,2,0)),"",VLOOKUP(Tableau13[[#This Row],[Code machine]],'CODE mchn'!$A$4:$C$170,2,0))</f>
        <v>Béton</v>
      </c>
      <c r="D299" s="36" t="str">
        <f>IF(ISNA(VLOOKUP(Tableau13[[#This Row],[Code machine]],'CODE mchn'!$A$4:$C$170,3,0)),"",VLOOKUP(Tableau13[[#This Row],[Code machine]],'CODE mchn'!$A$4:$C$170,3,0))</f>
        <v>Poyatos 2</v>
      </c>
      <c r="E299" s="105"/>
      <c r="F299" s="36"/>
      <c r="G299" s="62" t="s">
        <v>394</v>
      </c>
      <c r="H299" s="62" t="s">
        <v>582</v>
      </c>
      <c r="I299" s="62" t="s">
        <v>13</v>
      </c>
      <c r="J299" s="248" t="s">
        <v>583</v>
      </c>
      <c r="K299" s="112">
        <v>43659</v>
      </c>
      <c r="L299" s="109"/>
      <c r="M299" s="107"/>
      <c r="N299" s="108">
        <f>MONTH(Tableau13[[#This Row],[Date fin intervention]])</f>
        <v>7</v>
      </c>
      <c r="O299" s="108">
        <f>YEAR(Tableau13[[#This Row],[Date fin intervention]])</f>
        <v>2019</v>
      </c>
      <c r="P299" s="36"/>
    </row>
    <row r="300" spans="1:16">
      <c r="A300" s="110">
        <v>43659</v>
      </c>
      <c r="B300" s="111">
        <v>605</v>
      </c>
      <c r="C300" s="106" t="str">
        <f>IF(ISNA(VLOOKUP(Tableau13[[#This Row],[Code machine]],'CODE mchn'!$A$4:$C$170,2,0)),"",VLOOKUP(Tableau13[[#This Row],[Code machine]],'CODE mchn'!$A$4:$C$170,2,0))</f>
        <v>Acier</v>
      </c>
      <c r="D300" s="36" t="str">
        <f>IF(ISNA(VLOOKUP(Tableau13[[#This Row],[Code machine]],'CODE mchn'!$A$4:$C$170,3,0)),"",VLOOKUP(Tableau13[[#This Row],[Code machine]],'CODE mchn'!$A$4:$C$170,3,0))</f>
        <v>Vitari 1</v>
      </c>
      <c r="E300" s="105"/>
      <c r="F300" s="36"/>
      <c r="G300" s="62" t="s">
        <v>78</v>
      </c>
      <c r="H300" s="62" t="s">
        <v>618</v>
      </c>
      <c r="I300" s="62" t="s">
        <v>8</v>
      </c>
      <c r="J300" s="248" t="s">
        <v>619</v>
      </c>
      <c r="K300" s="112">
        <v>43659</v>
      </c>
      <c r="L300" s="109"/>
      <c r="M300" s="107"/>
      <c r="N300" s="108">
        <f>MONTH(Tableau13[[#This Row],[Date fin intervention]])</f>
        <v>7</v>
      </c>
      <c r="O300" s="108">
        <f>YEAR(Tableau13[[#This Row],[Date fin intervention]])</f>
        <v>2019</v>
      </c>
      <c r="P300" s="36"/>
    </row>
    <row r="301" spans="1:16" ht="57">
      <c r="A301" s="110">
        <v>43660</v>
      </c>
      <c r="B301" s="111">
        <v>700</v>
      </c>
      <c r="C301" s="106" t="str">
        <f>IF(ISNA(VLOOKUP(Tableau13[[#This Row],[Code machine]],'CODE mchn'!$A$4:$C$170,2,0)),"",VLOOKUP(Tableau13[[#This Row],[Code machine]],'CODE mchn'!$A$4:$C$170,2,0))</f>
        <v>Béton</v>
      </c>
      <c r="D301" s="36" t="str">
        <f>IF(ISNA(VLOOKUP(Tableau13[[#This Row],[Code machine]],'CODE mchn'!$A$4:$C$170,3,0)),"",VLOOKUP(Tableau13[[#This Row],[Code machine]],'CODE mchn'!$A$4:$C$170,3,0))</f>
        <v>Poyatos 1</v>
      </c>
      <c r="E301" s="105"/>
      <c r="F301" s="36"/>
      <c r="G301" s="62" t="s">
        <v>331</v>
      </c>
      <c r="H301" s="62" t="s">
        <v>590</v>
      </c>
      <c r="I301" s="62" t="s">
        <v>13</v>
      </c>
      <c r="J301" s="248" t="s">
        <v>332</v>
      </c>
      <c r="K301" s="112">
        <v>43661</v>
      </c>
      <c r="L301" s="109" t="s">
        <v>625</v>
      </c>
      <c r="M301" s="107" t="s">
        <v>2259</v>
      </c>
      <c r="N301" s="108">
        <f>MONTH(Tableau13[[#This Row],[Date fin intervention]])</f>
        <v>7</v>
      </c>
      <c r="O301" s="108">
        <f>YEAR(Tableau13[[#This Row],[Date fin intervention]])</f>
        <v>2019</v>
      </c>
      <c r="P301" s="36"/>
    </row>
    <row r="302" spans="1:16">
      <c r="A302" s="110">
        <v>43660</v>
      </c>
      <c r="B302" s="111">
        <v>800</v>
      </c>
      <c r="C302" s="106" t="str">
        <f>IF(ISNA(VLOOKUP(Tableau13[[#This Row],[Code machine]],'CODE mchn'!$A$4:$C$170,2,0)),"",VLOOKUP(Tableau13[[#This Row],[Code machine]],'CODE mchn'!$A$4:$C$170,2,0))</f>
        <v>Béton</v>
      </c>
      <c r="D302" s="36" t="str">
        <f>IF(ISNA(VLOOKUP(Tableau13[[#This Row],[Code machine]],'CODE mchn'!$A$4:$C$170,3,0)),"",VLOOKUP(Tableau13[[#This Row],[Code machine]],'CODE mchn'!$A$4:$C$170,3,0))</f>
        <v>Poyatos 2</v>
      </c>
      <c r="E302" s="105"/>
      <c r="F302" s="36"/>
      <c r="G302" s="62" t="s">
        <v>421</v>
      </c>
      <c r="H302" s="62" t="s">
        <v>626</v>
      </c>
      <c r="I302" s="62" t="s">
        <v>13</v>
      </c>
      <c r="J302" s="248" t="s">
        <v>627</v>
      </c>
      <c r="K302" s="112">
        <v>43660</v>
      </c>
      <c r="L302" s="109"/>
      <c r="M302" s="107"/>
      <c r="N302" s="108">
        <f>MONTH(Tableau13[[#This Row],[Date fin intervention]])</f>
        <v>7</v>
      </c>
      <c r="O302" s="108">
        <f>YEAR(Tableau13[[#This Row],[Date fin intervention]])</f>
        <v>2019</v>
      </c>
      <c r="P302" s="36"/>
    </row>
    <row r="303" spans="1:16">
      <c r="A303" s="110">
        <v>43661</v>
      </c>
      <c r="B303" s="111">
        <v>700</v>
      </c>
      <c r="C303" s="106" t="str">
        <f>IF(ISNA(VLOOKUP(Tableau13[[#This Row],[Code machine]],'CODE mchn'!$A$4:$C$170,2,0)),"",VLOOKUP(Tableau13[[#This Row],[Code machine]],'CODE mchn'!$A$4:$C$170,2,0))</f>
        <v>Béton</v>
      </c>
      <c r="D303" s="36" t="str">
        <f>IF(ISNA(VLOOKUP(Tableau13[[#This Row],[Code machine]],'CODE mchn'!$A$4:$C$170,3,0)),"",VLOOKUP(Tableau13[[#This Row],[Code machine]],'CODE mchn'!$A$4:$C$170,3,0))</f>
        <v>Poyatos 1</v>
      </c>
      <c r="E303" s="105"/>
      <c r="F303" s="36"/>
      <c r="G303" s="62" t="s">
        <v>3</v>
      </c>
      <c r="H303" s="62" t="s">
        <v>591</v>
      </c>
      <c r="I303" s="36" t="s">
        <v>13</v>
      </c>
      <c r="J303" s="106" t="s">
        <v>653</v>
      </c>
      <c r="K303" s="112">
        <v>43661</v>
      </c>
      <c r="L303" s="109"/>
      <c r="M303" s="107"/>
      <c r="N303" s="108">
        <f>MONTH(Tableau13[[#This Row],[Date fin intervention]])</f>
        <v>7</v>
      </c>
      <c r="O303" s="108">
        <f>YEAR(Tableau13[[#This Row],[Date fin intervention]])</f>
        <v>2019</v>
      </c>
      <c r="P303" s="36"/>
    </row>
    <row r="304" spans="1:16">
      <c r="A304" s="110">
        <v>43661</v>
      </c>
      <c r="B304" s="111">
        <v>700</v>
      </c>
      <c r="C304" s="106" t="str">
        <f>IF(ISNA(VLOOKUP(Tableau13[[#This Row],[Code machine]],'CODE mchn'!$A$4:$C$170,2,0)),"",VLOOKUP(Tableau13[[#This Row],[Code machine]],'CODE mchn'!$A$4:$C$170,2,0))</f>
        <v>Béton</v>
      </c>
      <c r="D304" s="36" t="str">
        <f>IF(ISNA(VLOOKUP(Tableau13[[#This Row],[Code machine]],'CODE mchn'!$A$4:$C$170,3,0)),"",VLOOKUP(Tableau13[[#This Row],[Code machine]],'CODE mchn'!$A$4:$C$170,3,0))</f>
        <v>Poyatos 1</v>
      </c>
      <c r="E304" s="105"/>
      <c r="F304" s="36"/>
      <c r="G304" s="62" t="s">
        <v>421</v>
      </c>
      <c r="H304" s="62" t="s">
        <v>631</v>
      </c>
      <c r="I304" s="62" t="s">
        <v>13</v>
      </c>
      <c r="J304" s="248" t="s">
        <v>628</v>
      </c>
      <c r="K304" s="112">
        <v>43661</v>
      </c>
      <c r="L304" s="109"/>
      <c r="M304" s="107"/>
      <c r="N304" s="108">
        <f>MONTH(Tableau13[[#This Row],[Date fin intervention]])</f>
        <v>7</v>
      </c>
      <c r="O304" s="108">
        <f>YEAR(Tableau13[[#This Row],[Date fin intervention]])</f>
        <v>2019</v>
      </c>
      <c r="P304" s="36"/>
    </row>
    <row r="305" spans="1:16" ht="42.75">
      <c r="A305" s="110">
        <v>43661</v>
      </c>
      <c r="B305" s="111">
        <v>920</v>
      </c>
      <c r="C305" s="106" t="str">
        <f>IF(ISNA(VLOOKUP(Tableau13[[#This Row],[Code machine]],'CODE mchn'!$A$4:$C$170,2,0)),"",VLOOKUP(Tableau13[[#This Row],[Code machine]],'CODE mchn'!$A$4:$C$170,2,0))</f>
        <v>Gestion de stock</v>
      </c>
      <c r="D305" s="36" t="str">
        <f>IF(ISNA(VLOOKUP(Tableau13[[#This Row],[Code machine]],'CODE mchn'!$A$4:$C$170,3,0)),"",VLOOKUP(Tableau13[[#This Row],[Code machine]],'CODE mchn'!$A$4:$C$170,3,0))</f>
        <v>Pont bascule</v>
      </c>
      <c r="E305" s="105"/>
      <c r="F305" s="36"/>
      <c r="G305" s="62"/>
      <c r="H305" s="62"/>
      <c r="I305" s="62" t="s">
        <v>342</v>
      </c>
      <c r="J305" s="248" t="s">
        <v>630</v>
      </c>
      <c r="K305" s="112">
        <v>43726</v>
      </c>
      <c r="L305" s="109" t="s">
        <v>1122</v>
      </c>
      <c r="M305" s="107" t="s">
        <v>2259</v>
      </c>
      <c r="N305" s="108">
        <f>MONTH(Tableau13[[#This Row],[Date fin intervention]])</f>
        <v>9</v>
      </c>
      <c r="O305" s="108">
        <f>YEAR(Tableau13[[#This Row],[Date fin intervention]])</f>
        <v>2019</v>
      </c>
      <c r="P305" s="36"/>
    </row>
    <row r="306" spans="1:16">
      <c r="A306" s="115">
        <v>43661</v>
      </c>
      <c r="B306" s="116">
        <v>560</v>
      </c>
      <c r="C306" s="117" t="str">
        <f>IF(ISNA(VLOOKUP(Tableau13[[#This Row],[Code machine]],'CODE mchn'!$A$4:$C$170,2,0)),"",VLOOKUP(Tableau13[[#This Row],[Code machine]],'CODE mchn'!$A$4:$C$170,2,0))</f>
        <v>Acier</v>
      </c>
      <c r="D306" s="36" t="str">
        <f>IF(ISNA(VLOOKUP(Tableau13[[#This Row],[Code machine]],'CODE mchn'!$A$4:$C$170,3,0)),"",VLOOKUP(Tableau13[[#This Row],[Code machine]],'CODE mchn'!$A$4:$C$170,3,0))</f>
        <v>Schlatter</v>
      </c>
      <c r="E306" s="105"/>
      <c r="F306" s="63"/>
      <c r="G306" s="63" t="s">
        <v>104</v>
      </c>
      <c r="H306" s="63" t="s">
        <v>754</v>
      </c>
      <c r="I306" s="63" t="s">
        <v>13</v>
      </c>
      <c r="J306" s="117" t="s">
        <v>755</v>
      </c>
      <c r="K306" s="71">
        <v>43661</v>
      </c>
      <c r="L306" s="118"/>
      <c r="M306" s="119"/>
      <c r="N306" s="120">
        <f>MONTH(Tableau13[[#This Row],[Date fin intervention]])</f>
        <v>7</v>
      </c>
      <c r="O306" s="120">
        <f>YEAR(Tableau13[[#This Row],[Date fin intervention]])</f>
        <v>2019</v>
      </c>
      <c r="P306" s="36"/>
    </row>
    <row r="307" spans="1:16">
      <c r="A307" s="110">
        <v>43662</v>
      </c>
      <c r="B307" s="111">
        <v>800</v>
      </c>
      <c r="C307" s="106" t="str">
        <f>IF(ISNA(VLOOKUP(Tableau13[[#This Row],[Code machine]],'CODE mchn'!$A$4:$C$170,2,0)),"",VLOOKUP(Tableau13[[#This Row],[Code machine]],'CODE mchn'!$A$4:$C$170,2,0))</f>
        <v>Béton</v>
      </c>
      <c r="D307" s="36" t="str">
        <f>IF(ISNA(VLOOKUP(Tableau13[[#This Row],[Code machine]],'CODE mchn'!$A$4:$C$170,3,0)),"",VLOOKUP(Tableau13[[#This Row],[Code machine]],'CODE mchn'!$A$4:$C$170,3,0))</f>
        <v>Poyatos 2</v>
      </c>
      <c r="E307" s="105"/>
      <c r="F307" s="36"/>
      <c r="G307" s="62" t="s">
        <v>394</v>
      </c>
      <c r="H307" s="62" t="s">
        <v>632</v>
      </c>
      <c r="I307" s="62" t="s">
        <v>13</v>
      </c>
      <c r="J307" s="248" t="s">
        <v>634</v>
      </c>
      <c r="K307" s="112">
        <v>43662</v>
      </c>
      <c r="L307" s="109"/>
      <c r="M307" s="107"/>
      <c r="N307" s="108">
        <f>MONTH(Tableau13[[#This Row],[Date fin intervention]])</f>
        <v>7</v>
      </c>
      <c r="O307" s="108">
        <f>YEAR(Tableau13[[#This Row],[Date fin intervention]])</f>
        <v>2019</v>
      </c>
      <c r="P307" s="36"/>
    </row>
    <row r="308" spans="1:16">
      <c r="A308" s="115">
        <v>43663</v>
      </c>
      <c r="B308" s="116">
        <v>590</v>
      </c>
      <c r="C308" s="117" t="str">
        <f>IF(ISNA(VLOOKUP(Tableau13[[#This Row],[Code machine]],'CODE mchn'!$A$4:$C$170,2,0)),"",VLOOKUP(Tableau13[[#This Row],[Code machine]],'CODE mchn'!$A$4:$C$170,2,0))</f>
        <v>Acier</v>
      </c>
      <c r="D308" s="36" t="str">
        <f>IF(ISNA(VLOOKUP(Tableau13[[#This Row],[Code machine]],'CODE mchn'!$A$4:$C$170,3,0)),"",VLOOKUP(Tableau13[[#This Row],[Code machine]],'CODE mchn'!$A$4:$C$170,3,0))</f>
        <v>Teurema 3</v>
      </c>
      <c r="E308" s="105"/>
      <c r="F308" s="63"/>
      <c r="G308" s="63" t="s">
        <v>645</v>
      </c>
      <c r="H308" s="63" t="s">
        <v>449</v>
      </c>
      <c r="I308" s="63" t="s">
        <v>13</v>
      </c>
      <c r="J308" s="117" t="s">
        <v>646</v>
      </c>
      <c r="K308" s="112">
        <v>43663</v>
      </c>
      <c r="L308" s="109"/>
      <c r="M308" s="119">
        <v>40</v>
      </c>
      <c r="N308" s="120">
        <f>MONTH(Tableau13[[#This Row],[Date fin intervention]])</f>
        <v>7</v>
      </c>
      <c r="O308" s="120">
        <f>YEAR(Tableau13[[#This Row],[Date fin intervention]])</f>
        <v>2019</v>
      </c>
      <c r="P308" s="36"/>
    </row>
    <row r="309" spans="1:16">
      <c r="A309" s="115">
        <v>43663</v>
      </c>
      <c r="B309" s="116">
        <v>590</v>
      </c>
      <c r="C309" s="117" t="str">
        <f>IF(ISNA(VLOOKUP(Tableau13[[#This Row],[Code machine]],'CODE mchn'!$A$4:$C$170,2,0)),"",VLOOKUP(Tableau13[[#This Row],[Code machine]],'CODE mchn'!$A$4:$C$170,2,0))</f>
        <v>Acier</v>
      </c>
      <c r="D309" s="36" t="str">
        <f>IF(ISNA(VLOOKUP(Tableau13[[#This Row],[Code machine]],'CODE mchn'!$A$4:$C$170,3,0)),"",VLOOKUP(Tableau13[[#This Row],[Code machine]],'CODE mchn'!$A$4:$C$170,3,0))</f>
        <v>Teurema 3</v>
      </c>
      <c r="E309" s="105"/>
      <c r="F309" s="63"/>
      <c r="G309" s="63" t="s">
        <v>647</v>
      </c>
      <c r="H309" s="63" t="s">
        <v>648</v>
      </c>
      <c r="I309" s="63" t="s">
        <v>13</v>
      </c>
      <c r="J309" s="117" t="s">
        <v>649</v>
      </c>
      <c r="K309" s="112">
        <v>43663</v>
      </c>
      <c r="L309" s="109"/>
      <c r="M309" s="121"/>
      <c r="N309" s="120">
        <f>MONTH(Tableau13[[#This Row],[Date fin intervention]])</f>
        <v>7</v>
      </c>
      <c r="O309" s="120">
        <f>YEAR(Tableau13[[#This Row],[Date fin intervention]])</f>
        <v>2019</v>
      </c>
      <c r="P309" s="36"/>
    </row>
    <row r="310" spans="1:16" ht="28.5">
      <c r="A310" s="115">
        <v>43664</v>
      </c>
      <c r="B310" s="116">
        <v>583</v>
      </c>
      <c r="C310" s="117" t="str">
        <f>IF(ISNA(VLOOKUP(Tableau13[[#This Row],[Code machine]],'CODE mchn'!$A$4:$C$170,2,0)),"",VLOOKUP(Tableau13[[#This Row],[Code machine]],'CODE mchn'!$A$4:$C$170,2,0))</f>
        <v>Ponts roulants</v>
      </c>
      <c r="D310" s="36" t="str">
        <f>IF(ISNA(VLOOKUP(Tableau13[[#This Row],[Code machine]],'CODE mchn'!$A$4:$C$170,3,0)),"",VLOOKUP(Tableau13[[#This Row],[Code machine]],'CODE mchn'!$A$4:$C$170,3,0))</f>
        <v>Pont roulant Abus 5T (teurema1)</v>
      </c>
      <c r="E310" s="105"/>
      <c r="F310" s="63"/>
      <c r="G310" s="63" t="s">
        <v>667</v>
      </c>
      <c r="H310" s="63" t="s">
        <v>482</v>
      </c>
      <c r="I310" s="63" t="s">
        <v>13</v>
      </c>
      <c r="J310" s="117" t="s">
        <v>668</v>
      </c>
      <c r="K310" s="112">
        <v>43664</v>
      </c>
      <c r="L310" s="109"/>
      <c r="M310" s="119">
        <v>2</v>
      </c>
      <c r="N310" s="120">
        <f>MONTH(Tableau13[[#This Row],[Date fin intervention]])</f>
        <v>7</v>
      </c>
      <c r="O310" s="120">
        <f>YEAR(Tableau13[[#This Row],[Date fin intervention]])</f>
        <v>2019</v>
      </c>
      <c r="P310" s="36"/>
    </row>
    <row r="311" spans="1:16">
      <c r="A311" s="115">
        <v>43664</v>
      </c>
      <c r="B311" s="116">
        <v>590</v>
      </c>
      <c r="C311" s="117" t="str">
        <f>IF(ISNA(VLOOKUP(Tableau13[[#This Row],[Code machine]],'CODE mchn'!$A$4:$C$170,2,0)),"",VLOOKUP(Tableau13[[#This Row],[Code machine]],'CODE mchn'!$A$4:$C$170,2,0))</f>
        <v>Acier</v>
      </c>
      <c r="D311" s="36" t="str">
        <f>IF(ISNA(VLOOKUP(Tableau13[[#This Row],[Code machine]],'CODE mchn'!$A$4:$C$170,3,0)),"",VLOOKUP(Tableau13[[#This Row],[Code machine]],'CODE mchn'!$A$4:$C$170,3,0))</f>
        <v>Teurema 3</v>
      </c>
      <c r="E311" s="105"/>
      <c r="F311" s="63"/>
      <c r="G311" s="63" t="s">
        <v>49</v>
      </c>
      <c r="H311" s="63" t="s">
        <v>650</v>
      </c>
      <c r="I311" s="63" t="s">
        <v>13</v>
      </c>
      <c r="J311" s="117" t="s">
        <v>651</v>
      </c>
      <c r="K311" s="112">
        <v>43664</v>
      </c>
      <c r="L311" s="109"/>
      <c r="M311" s="121"/>
      <c r="N311" s="120">
        <f>MONTH(Tableau13[[#This Row],[Date fin intervention]])</f>
        <v>7</v>
      </c>
      <c r="O311" s="120">
        <f>YEAR(Tableau13[[#This Row],[Date fin intervention]])</f>
        <v>2019</v>
      </c>
      <c r="P311" s="36"/>
    </row>
    <row r="312" spans="1:16">
      <c r="A312" s="115">
        <v>43665</v>
      </c>
      <c r="B312" s="116">
        <v>800</v>
      </c>
      <c r="C312" s="117" t="str">
        <f>IF(ISNA(VLOOKUP(Tableau13[[#This Row],[Code machine]],'CODE mchn'!$A$4:$C$170,2,0)),"",VLOOKUP(Tableau13[[#This Row],[Code machine]],'CODE mchn'!$A$4:$C$170,2,0))</f>
        <v>Béton</v>
      </c>
      <c r="D312" s="36" t="str">
        <f>IF(ISNA(VLOOKUP(Tableau13[[#This Row],[Code machine]],'CODE mchn'!$A$4:$C$170,3,0)),"",VLOOKUP(Tableau13[[#This Row],[Code machine]],'CODE mchn'!$A$4:$C$170,3,0))</f>
        <v>Poyatos 2</v>
      </c>
      <c r="E312" s="105"/>
      <c r="F312" s="63"/>
      <c r="G312" s="63" t="s">
        <v>185</v>
      </c>
      <c r="H312" s="36" t="s">
        <v>1799</v>
      </c>
      <c r="I312" s="63" t="s">
        <v>13</v>
      </c>
      <c r="J312" s="117" t="s">
        <v>655</v>
      </c>
      <c r="K312" s="112">
        <v>43665</v>
      </c>
      <c r="L312" s="109"/>
      <c r="M312" s="119">
        <v>1</v>
      </c>
      <c r="N312" s="120">
        <f>MONTH(Tableau13[[#This Row],[Date fin intervention]])</f>
        <v>7</v>
      </c>
      <c r="O312" s="120">
        <f>YEAR(Tableau13[[#This Row],[Date fin intervention]])</f>
        <v>2019</v>
      </c>
      <c r="P312" s="36"/>
    </row>
    <row r="313" spans="1:16">
      <c r="A313" s="115">
        <v>43665</v>
      </c>
      <c r="B313" s="116">
        <v>800</v>
      </c>
      <c r="C313" s="117" t="str">
        <f>IF(ISNA(VLOOKUP(Tableau13[[#This Row],[Code machine]],'CODE mchn'!$A$4:$C$170,2,0)),"",VLOOKUP(Tableau13[[#This Row],[Code machine]],'CODE mchn'!$A$4:$C$170,2,0))</f>
        <v>Béton</v>
      </c>
      <c r="D313" s="36" t="str">
        <f>IF(ISNA(VLOOKUP(Tableau13[[#This Row],[Code machine]],'CODE mchn'!$A$4:$C$170,3,0)),"",VLOOKUP(Tableau13[[#This Row],[Code machine]],'CODE mchn'!$A$4:$C$170,3,0))</f>
        <v>Poyatos 2</v>
      </c>
      <c r="E313" s="105"/>
      <c r="F313" s="63"/>
      <c r="G313" s="63" t="s">
        <v>118</v>
      </c>
      <c r="H313" s="63" t="s">
        <v>658</v>
      </c>
      <c r="I313" s="63" t="s">
        <v>13</v>
      </c>
      <c r="J313" s="117" t="s">
        <v>659</v>
      </c>
      <c r="K313" s="112">
        <v>43665</v>
      </c>
      <c r="L313" s="109"/>
      <c r="M313" s="119">
        <v>30</v>
      </c>
      <c r="N313" s="120">
        <f>MONTH(Tableau13[[#This Row],[Date fin intervention]])</f>
        <v>7</v>
      </c>
      <c r="O313" s="120">
        <f>YEAR(Tableau13[[#This Row],[Date fin intervention]])</f>
        <v>2019</v>
      </c>
      <c r="P313" s="36"/>
    </row>
    <row r="314" spans="1:16">
      <c r="A314" s="115">
        <v>43665</v>
      </c>
      <c r="B314" s="116">
        <v>700</v>
      </c>
      <c r="C314" s="117" t="str">
        <f>IF(ISNA(VLOOKUP(Tableau13[[#This Row],[Code machine]],'CODE mchn'!$A$4:$C$170,2,0)),"",VLOOKUP(Tableau13[[#This Row],[Code machine]],'CODE mchn'!$A$4:$C$170,2,0))</f>
        <v>Béton</v>
      </c>
      <c r="D314" s="36" t="str">
        <f>IF(ISNA(VLOOKUP(Tableau13[[#This Row],[Code machine]],'CODE mchn'!$A$4:$C$170,3,0)),"",VLOOKUP(Tableau13[[#This Row],[Code machine]],'CODE mchn'!$A$4:$C$170,3,0))</f>
        <v>Poyatos 1</v>
      </c>
      <c r="E314" s="105"/>
      <c r="F314" s="63"/>
      <c r="G314" s="63" t="s">
        <v>360</v>
      </c>
      <c r="H314" s="63" t="s">
        <v>520</v>
      </c>
      <c r="I314" s="63" t="s">
        <v>13</v>
      </c>
      <c r="J314" s="117" t="s">
        <v>660</v>
      </c>
      <c r="K314" s="112">
        <v>43665</v>
      </c>
      <c r="L314" s="109" t="s">
        <v>661</v>
      </c>
      <c r="M314" s="121"/>
      <c r="N314" s="120">
        <f>MONTH(Tableau13[[#This Row],[Date fin intervention]])</f>
        <v>7</v>
      </c>
      <c r="O314" s="120">
        <f>YEAR(Tableau13[[#This Row],[Date fin intervention]])</f>
        <v>2019</v>
      </c>
      <c r="P314" s="36"/>
    </row>
    <row r="315" spans="1:16">
      <c r="A315" s="115">
        <v>43666</v>
      </c>
      <c r="B315" s="116">
        <v>800</v>
      </c>
      <c r="C315" s="117" t="str">
        <f>IF(ISNA(VLOOKUP(Tableau13[[#This Row],[Code machine]],'CODE mchn'!$A$4:$C$170,2,0)),"",VLOOKUP(Tableau13[[#This Row],[Code machine]],'CODE mchn'!$A$4:$C$170,2,0))</f>
        <v>Béton</v>
      </c>
      <c r="D315" s="36" t="str">
        <f>IF(ISNA(VLOOKUP(Tableau13[[#This Row],[Code machine]],'CODE mchn'!$A$4:$C$170,3,0)),"",VLOOKUP(Tableau13[[#This Row],[Code machine]],'CODE mchn'!$A$4:$C$170,3,0))</f>
        <v>Poyatos 2</v>
      </c>
      <c r="E315" s="105"/>
      <c r="F315" s="63"/>
      <c r="G315" s="63" t="s">
        <v>394</v>
      </c>
      <c r="H315" s="63" t="s">
        <v>656</v>
      </c>
      <c r="I315" s="63" t="s">
        <v>13</v>
      </c>
      <c r="J315" s="117" t="s">
        <v>657</v>
      </c>
      <c r="K315" s="112">
        <v>43666</v>
      </c>
      <c r="L315" s="109"/>
      <c r="M315" s="119">
        <v>1</v>
      </c>
      <c r="N315" s="120">
        <f>MONTH(Tableau13[[#This Row],[Date fin intervention]])</f>
        <v>7</v>
      </c>
      <c r="O315" s="120">
        <f>YEAR(Tableau13[[#This Row],[Date fin intervention]])</f>
        <v>2019</v>
      </c>
      <c r="P315" s="36"/>
    </row>
    <row r="316" spans="1:16">
      <c r="A316" s="115">
        <v>43668</v>
      </c>
      <c r="B316" s="116">
        <v>700</v>
      </c>
      <c r="C316" s="117" t="str">
        <f>IF(ISNA(VLOOKUP(Tableau13[[#This Row],[Code machine]],'CODE mchn'!$A$4:$C$170,2,0)),"",VLOOKUP(Tableau13[[#This Row],[Code machine]],'CODE mchn'!$A$4:$C$170,2,0))</f>
        <v>Béton</v>
      </c>
      <c r="D316" s="36" t="str">
        <f>IF(ISNA(VLOOKUP(Tableau13[[#This Row],[Code machine]],'CODE mchn'!$A$4:$C$170,3,0)),"",VLOOKUP(Tableau13[[#This Row],[Code machine]],'CODE mchn'!$A$4:$C$170,3,0))</f>
        <v>Poyatos 1</v>
      </c>
      <c r="E316" s="105"/>
      <c r="F316" s="63"/>
      <c r="G316" s="63" t="s">
        <v>213</v>
      </c>
      <c r="H316" s="63" t="s">
        <v>662</v>
      </c>
      <c r="I316" s="63" t="s">
        <v>13</v>
      </c>
      <c r="J316" s="117" t="s">
        <v>663</v>
      </c>
      <c r="K316" s="112">
        <v>43668</v>
      </c>
      <c r="L316" s="109"/>
      <c r="M316" s="121"/>
      <c r="N316" s="120">
        <f>MONTH(Tableau13[[#This Row],[Date fin intervention]])</f>
        <v>7</v>
      </c>
      <c r="O316" s="120">
        <f>YEAR(Tableau13[[#This Row],[Date fin intervention]])</f>
        <v>2019</v>
      </c>
      <c r="P316" s="36"/>
    </row>
    <row r="317" spans="1:16">
      <c r="A317" s="115">
        <v>43668</v>
      </c>
      <c r="B317" s="116">
        <v>590</v>
      </c>
      <c r="C317" s="117" t="str">
        <f>IF(ISNA(VLOOKUP(Tableau13[[#This Row],[Code machine]],'CODE mchn'!$A$4:$C$170,2,0)),"",VLOOKUP(Tableau13[[#This Row],[Code machine]],'CODE mchn'!$A$4:$C$170,2,0))</f>
        <v>Acier</v>
      </c>
      <c r="D317" s="36" t="str">
        <f>IF(ISNA(VLOOKUP(Tableau13[[#This Row],[Code machine]],'CODE mchn'!$A$4:$C$170,3,0)),"",VLOOKUP(Tableau13[[#This Row],[Code machine]],'CODE mchn'!$A$4:$C$170,3,0))</f>
        <v>Teurema 3</v>
      </c>
      <c r="E317" s="105"/>
      <c r="F317" s="63"/>
      <c r="G317" s="63" t="s">
        <v>99</v>
      </c>
      <c r="H317" s="63" t="s">
        <v>449</v>
      </c>
      <c r="I317" s="63" t="s">
        <v>13</v>
      </c>
      <c r="J317" s="117" t="s">
        <v>671</v>
      </c>
      <c r="K317" s="112">
        <v>43668</v>
      </c>
      <c r="L317" s="109"/>
      <c r="M317" s="119">
        <v>2</v>
      </c>
      <c r="N317" s="120">
        <f>MONTH(Tableau13[[#This Row],[Date fin intervention]])</f>
        <v>7</v>
      </c>
      <c r="O317" s="120">
        <f>YEAR(Tableau13[[#This Row],[Date fin intervention]])</f>
        <v>2019</v>
      </c>
      <c r="P317" s="36"/>
    </row>
    <row r="318" spans="1:16" ht="28.5">
      <c r="A318" s="115">
        <v>43670</v>
      </c>
      <c r="B318" s="116">
        <v>584</v>
      </c>
      <c r="C318" s="117" t="str">
        <f>IF(ISNA(VLOOKUP(Tableau13[[#This Row],[Code machine]],'CODE mchn'!$A$4:$C$170,2,0)),"",VLOOKUP(Tableau13[[#This Row],[Code machine]],'CODE mchn'!$A$4:$C$170,2,0))</f>
        <v>Ponts roulants</v>
      </c>
      <c r="D318" s="36" t="str">
        <f>IF(ISNA(VLOOKUP(Tableau13[[#This Row],[Code machine]],'CODE mchn'!$A$4:$C$170,3,0)),"",VLOOKUP(Tableau13[[#This Row],[Code machine]],'CODE mchn'!$A$4:$C$170,3,0))</f>
        <v>Pont roulant Demag 3,2T (teurema2)</v>
      </c>
      <c r="E318" s="105"/>
      <c r="F318" s="63"/>
      <c r="G318" s="63" t="s">
        <v>52</v>
      </c>
      <c r="H318" s="63" t="s">
        <v>507</v>
      </c>
      <c r="I318" s="63" t="s">
        <v>13</v>
      </c>
      <c r="J318" s="117" t="s">
        <v>672</v>
      </c>
      <c r="K318" s="112">
        <v>43670</v>
      </c>
      <c r="L318" s="109"/>
      <c r="M318" s="121"/>
      <c r="N318" s="120">
        <f>MONTH(Tableau13[[#This Row],[Date fin intervention]])</f>
        <v>7</v>
      </c>
      <c r="O318" s="120">
        <f>YEAR(Tableau13[[#This Row],[Date fin intervention]])</f>
        <v>2019</v>
      </c>
      <c r="P318" s="36"/>
    </row>
    <row r="319" spans="1:16">
      <c r="A319" s="115">
        <v>43670</v>
      </c>
      <c r="B319" s="116">
        <v>590</v>
      </c>
      <c r="C319" s="117" t="str">
        <f>IF(ISNA(VLOOKUP(Tableau13[[#This Row],[Code machine]],'CODE mchn'!$A$4:$C$170,2,0)),"",VLOOKUP(Tableau13[[#This Row],[Code machine]],'CODE mchn'!$A$4:$C$170,2,0))</f>
        <v>Acier</v>
      </c>
      <c r="D319" s="36" t="str">
        <f>IF(ISNA(VLOOKUP(Tableau13[[#This Row],[Code machine]],'CODE mchn'!$A$4:$C$170,3,0)),"",VLOOKUP(Tableau13[[#This Row],[Code machine]],'CODE mchn'!$A$4:$C$170,3,0))</f>
        <v>Teurema 3</v>
      </c>
      <c r="E319" s="105"/>
      <c r="F319" s="63"/>
      <c r="G319" s="63" t="s">
        <v>652</v>
      </c>
      <c r="H319" s="63" t="s">
        <v>669</v>
      </c>
      <c r="I319" s="63" t="s">
        <v>107</v>
      </c>
      <c r="J319" s="117" t="s">
        <v>670</v>
      </c>
      <c r="K319" s="112">
        <v>43670</v>
      </c>
      <c r="L319" s="109"/>
      <c r="M319" s="119">
        <v>2</v>
      </c>
      <c r="N319" s="120">
        <f>MONTH(Tableau13[[#This Row],[Date fin intervention]])</f>
        <v>7</v>
      </c>
      <c r="O319" s="120">
        <f>YEAR(Tableau13[[#This Row],[Date fin intervention]])</f>
        <v>2019</v>
      </c>
      <c r="P319" s="36"/>
    </row>
    <row r="320" spans="1:16">
      <c r="A320" s="115">
        <v>43670</v>
      </c>
      <c r="B320" s="116">
        <v>606</v>
      </c>
      <c r="C320" s="117" t="str">
        <f>IF(ISNA(VLOOKUP(Tableau13[[#This Row],[Code machine]],'CODE mchn'!$A$4:$C$170,2,0)),"",VLOOKUP(Tableau13[[#This Row],[Code machine]],'CODE mchn'!$A$4:$C$170,2,0))</f>
        <v>Acier</v>
      </c>
      <c r="D320" s="36" t="str">
        <f>IF(ISNA(VLOOKUP(Tableau13[[#This Row],[Code machine]],'CODE mchn'!$A$4:$C$170,3,0)),"",VLOOKUP(Tableau13[[#This Row],[Code machine]],'CODE mchn'!$A$4:$C$170,3,0))</f>
        <v>Vitari 2</v>
      </c>
      <c r="E320" s="105"/>
      <c r="F320" s="63"/>
      <c r="G320" s="63" t="s">
        <v>664</v>
      </c>
      <c r="H320" s="63" t="s">
        <v>665</v>
      </c>
      <c r="I320" s="63" t="s">
        <v>13</v>
      </c>
      <c r="J320" s="117" t="s">
        <v>666</v>
      </c>
      <c r="K320" s="122">
        <v>43673</v>
      </c>
      <c r="L320" s="109"/>
      <c r="M320" s="107" t="s">
        <v>687</v>
      </c>
      <c r="N320" s="120">
        <f>MONTH(Tableau13[[#This Row],[Date fin intervention]])</f>
        <v>7</v>
      </c>
      <c r="O320" s="120">
        <f>YEAR(Tableau13[[#This Row],[Date fin intervention]])</f>
        <v>2019</v>
      </c>
      <c r="P320" s="36"/>
    </row>
    <row r="321" spans="1:16">
      <c r="A321" s="115">
        <v>43670</v>
      </c>
      <c r="B321" s="116">
        <v>565</v>
      </c>
      <c r="C321" s="106" t="str">
        <f>IF(ISNA(VLOOKUP(Tableau13[[#This Row],[Code machine]],'CODE mchn'!$A$4:$C$170,2,0)),"",VLOOKUP(Tableau13[[#This Row],[Code machine]],'CODE mchn'!$A$4:$C$170,2,0))</f>
        <v>Acier</v>
      </c>
      <c r="D321" s="36" t="str">
        <f>IF(ISNA(VLOOKUP(Tableau13[[#This Row],[Code machine]],'CODE mchn'!$A$4:$C$170,3,0)),"",VLOOKUP(Tableau13[[#This Row],[Code machine]],'CODE mchn'!$A$4:$C$170,3,0))</f>
        <v>EVG GE12</v>
      </c>
      <c r="E321" s="105"/>
      <c r="F321" s="36"/>
      <c r="G321" s="63" t="s">
        <v>10</v>
      </c>
      <c r="H321" s="36" t="s">
        <v>673</v>
      </c>
      <c r="I321" s="63" t="s">
        <v>13</v>
      </c>
      <c r="J321" s="106" t="s">
        <v>693</v>
      </c>
      <c r="K321" s="123">
        <v>43670</v>
      </c>
      <c r="L321" s="109"/>
      <c r="M321" s="119">
        <v>30</v>
      </c>
      <c r="N321" s="120">
        <f>MONTH(Tableau13[[#This Row],[Date fin intervention]])</f>
        <v>7</v>
      </c>
      <c r="O321" s="120">
        <f>YEAR(Tableau13[[#This Row],[Date fin intervention]])</f>
        <v>2019</v>
      </c>
      <c r="P321" s="36"/>
    </row>
    <row r="322" spans="1:16">
      <c r="A322" s="115">
        <v>43670</v>
      </c>
      <c r="B322" s="116">
        <v>700</v>
      </c>
      <c r="C322" s="117" t="str">
        <f>IF(ISNA(VLOOKUP(Tableau13[[#This Row],[Code machine]],'CODE mchn'!$A$4:$C$170,2,0)),"",VLOOKUP(Tableau13[[#This Row],[Code machine]],'CODE mchn'!$A$4:$C$170,2,0))</f>
        <v>Béton</v>
      </c>
      <c r="D322" s="36" t="str">
        <f>IF(ISNA(VLOOKUP(Tableau13[[#This Row],[Code machine]],'CODE mchn'!$A$4:$C$170,3,0)),"",VLOOKUP(Tableau13[[#This Row],[Code machine]],'CODE mchn'!$A$4:$C$170,3,0))</f>
        <v>Poyatos 1</v>
      </c>
      <c r="E322" s="105"/>
      <c r="F322" s="63"/>
      <c r="G322" s="63" t="s">
        <v>674</v>
      </c>
      <c r="H322" s="36" t="s">
        <v>691</v>
      </c>
      <c r="I322" s="63" t="s">
        <v>13</v>
      </c>
      <c r="J322" s="117"/>
      <c r="K322" s="112">
        <v>43672</v>
      </c>
      <c r="L322" s="109" t="s">
        <v>694</v>
      </c>
      <c r="M322" s="119"/>
      <c r="N322" s="120">
        <f>MONTH(Tableau13[[#This Row],[Date fin intervention]])</f>
        <v>7</v>
      </c>
      <c r="O322" s="120">
        <f>YEAR(Tableau13[[#This Row],[Date fin intervention]])</f>
        <v>2019</v>
      </c>
      <c r="P322" s="36"/>
    </row>
    <row r="323" spans="1:16">
      <c r="A323" s="115">
        <v>43671</v>
      </c>
      <c r="B323" s="116">
        <v>700</v>
      </c>
      <c r="C323" s="117" t="str">
        <f>IF(ISNA(VLOOKUP(Tableau13[[#This Row],[Code machine]],'CODE mchn'!$A$4:$C$170,2,0)),"",VLOOKUP(Tableau13[[#This Row],[Code machine]],'CODE mchn'!$A$4:$C$170,2,0))</f>
        <v>Béton</v>
      </c>
      <c r="D323" s="36" t="str">
        <f>IF(ISNA(VLOOKUP(Tableau13[[#This Row],[Code machine]],'CODE mchn'!$A$4:$C$170,3,0)),"",VLOOKUP(Tableau13[[#This Row],[Code machine]],'CODE mchn'!$A$4:$C$170,3,0))</f>
        <v>Poyatos 1</v>
      </c>
      <c r="E323" s="105"/>
      <c r="F323" s="63"/>
      <c r="G323" s="63" t="s">
        <v>46</v>
      </c>
      <c r="H323" s="36" t="s">
        <v>695</v>
      </c>
      <c r="I323" s="63" t="s">
        <v>8</v>
      </c>
      <c r="J323" s="117" t="s">
        <v>47</v>
      </c>
      <c r="K323" s="112">
        <v>43671</v>
      </c>
      <c r="L323" s="109"/>
      <c r="M323" s="119">
        <v>30</v>
      </c>
      <c r="N323" s="120">
        <f>MONTH(Tableau13[[#This Row],[Date fin intervention]])</f>
        <v>7</v>
      </c>
      <c r="O323" s="120">
        <f>YEAR(Tableau13[[#This Row],[Date fin intervention]])</f>
        <v>2019</v>
      </c>
      <c r="P323" s="36"/>
    </row>
    <row r="324" spans="1:16">
      <c r="A324" s="115">
        <v>43671</v>
      </c>
      <c r="B324" s="116">
        <v>700</v>
      </c>
      <c r="C324" s="117" t="str">
        <f>IF(ISNA(VLOOKUP(Tableau13[[#This Row],[Code machine]],'CODE mchn'!$A$4:$C$170,2,0)),"",VLOOKUP(Tableau13[[#This Row],[Code machine]],'CODE mchn'!$A$4:$C$170,2,0))</f>
        <v>Béton</v>
      </c>
      <c r="D324" s="36" t="str">
        <f>IF(ISNA(VLOOKUP(Tableau13[[#This Row],[Code machine]],'CODE mchn'!$A$4:$C$170,3,0)),"",VLOOKUP(Tableau13[[#This Row],[Code machine]],'CODE mchn'!$A$4:$C$170,3,0))</f>
        <v>Poyatos 1</v>
      </c>
      <c r="E324" s="105"/>
      <c r="F324" s="63"/>
      <c r="G324" s="63" t="s">
        <v>675</v>
      </c>
      <c r="H324" s="36" t="s">
        <v>697</v>
      </c>
      <c r="I324" s="63" t="s">
        <v>13</v>
      </c>
      <c r="J324" s="117" t="s">
        <v>698</v>
      </c>
      <c r="K324" s="71">
        <v>43671</v>
      </c>
      <c r="L324" s="118"/>
      <c r="M324" s="119">
        <v>45</v>
      </c>
      <c r="N324" s="120">
        <f>MONTH(Tableau13[[#This Row],[Date fin intervention]])</f>
        <v>7</v>
      </c>
      <c r="O324" s="120">
        <f>YEAR(Tableau13[[#This Row],[Date fin intervention]])</f>
        <v>2019</v>
      </c>
      <c r="P324" s="36"/>
    </row>
    <row r="325" spans="1:16">
      <c r="A325" s="115">
        <v>43671</v>
      </c>
      <c r="B325" s="116">
        <v>560</v>
      </c>
      <c r="C325" s="117" t="str">
        <f>IF(ISNA(VLOOKUP(Tableau13[[#This Row],[Code machine]],'CODE mchn'!$A$4:$C$170,2,0)),"",VLOOKUP(Tableau13[[#This Row],[Code machine]],'CODE mchn'!$A$4:$C$170,2,0))</f>
        <v>Acier</v>
      </c>
      <c r="D325" s="36" t="str">
        <f>IF(ISNA(VLOOKUP(Tableau13[[#This Row],[Code machine]],'CODE mchn'!$A$4:$C$170,3,0)),"",VLOOKUP(Tableau13[[#This Row],[Code machine]],'CODE mchn'!$A$4:$C$170,3,0))</f>
        <v>Schlatter</v>
      </c>
      <c r="E325" s="105"/>
      <c r="F325" s="63"/>
      <c r="G325" s="36" t="s">
        <v>55</v>
      </c>
      <c r="H325" s="36" t="s">
        <v>699</v>
      </c>
      <c r="I325" s="36" t="s">
        <v>13</v>
      </c>
      <c r="J325" s="106" t="s">
        <v>696</v>
      </c>
      <c r="K325" s="124">
        <v>43671</v>
      </c>
      <c r="L325" s="125"/>
      <c r="M325" s="107">
        <v>40</v>
      </c>
      <c r="N325" s="120">
        <f>MONTH(Tableau13[[#This Row],[Date fin intervention]])</f>
        <v>7</v>
      </c>
      <c r="O325" s="120">
        <f>YEAR(Tableau13[[#This Row],[Date fin intervention]])</f>
        <v>2019</v>
      </c>
      <c r="P325" s="36"/>
    </row>
    <row r="326" spans="1:16">
      <c r="A326" s="115">
        <v>43671</v>
      </c>
      <c r="B326" s="105">
        <v>582</v>
      </c>
      <c r="C326" s="106" t="str">
        <f>IF(ISNA(VLOOKUP(Tableau13[[#This Row],[Code machine]],'CODE mchn'!$A$4:$C$170,2,0)),"",VLOOKUP(Tableau13[[#This Row],[Code machine]],'CODE mchn'!$A$4:$C$170,2,0))</f>
        <v>Acier</v>
      </c>
      <c r="D326" s="36" t="str">
        <f>IF(ISNA(VLOOKUP(Tableau13[[#This Row],[Code machine]],'CODE mchn'!$A$4:$C$170,3,0)),"",VLOOKUP(Tableau13[[#This Row],[Code machine]],'CODE mchn'!$A$4:$C$170,3,0))</f>
        <v>Teurema 2</v>
      </c>
      <c r="E326" s="105"/>
      <c r="F326" s="36"/>
      <c r="G326" s="36" t="s">
        <v>700</v>
      </c>
      <c r="H326" s="36" t="s">
        <v>676</v>
      </c>
      <c r="I326" s="36" t="s">
        <v>8</v>
      </c>
      <c r="J326" s="106" t="s">
        <v>701</v>
      </c>
      <c r="K326" s="71">
        <v>43671</v>
      </c>
      <c r="L326" s="126"/>
      <c r="M326" s="121"/>
      <c r="N326" s="108">
        <f>MONTH(Tableau13[[#This Row],[Date fin intervention]])</f>
        <v>7</v>
      </c>
      <c r="O326" s="108">
        <f>YEAR(Tableau13[[#This Row],[Date fin intervention]])</f>
        <v>2019</v>
      </c>
      <c r="P326" s="36"/>
    </row>
    <row r="327" spans="1:16">
      <c r="A327" s="115">
        <v>43672</v>
      </c>
      <c r="B327" s="105">
        <v>800</v>
      </c>
      <c r="C327" s="106" t="str">
        <f>IF(ISNA(VLOOKUP(Tableau13[[#This Row],[Code machine]],'CODE mchn'!$A$4:$C$170,2,0)),"",VLOOKUP(Tableau13[[#This Row],[Code machine]],'CODE mchn'!$A$4:$C$170,2,0))</f>
        <v>Béton</v>
      </c>
      <c r="D327" s="36" t="str">
        <f>IF(ISNA(VLOOKUP(Tableau13[[#This Row],[Code machine]],'CODE mchn'!$A$4:$C$170,3,0)),"",VLOOKUP(Tableau13[[#This Row],[Code machine]],'CODE mchn'!$A$4:$C$170,3,0))</f>
        <v>Poyatos 2</v>
      </c>
      <c r="E327" s="105"/>
      <c r="F327" s="36"/>
      <c r="G327" s="36" t="s">
        <v>677</v>
      </c>
      <c r="H327" s="36" t="s">
        <v>678</v>
      </c>
      <c r="I327" s="36" t="s">
        <v>13</v>
      </c>
      <c r="J327" s="106" t="s">
        <v>702</v>
      </c>
      <c r="K327" s="71">
        <v>43672</v>
      </c>
      <c r="L327" s="126"/>
      <c r="M327" s="107">
        <v>30</v>
      </c>
      <c r="N327" s="108">
        <f>MONTH(Tableau13[[#This Row],[Date fin intervention]])</f>
        <v>7</v>
      </c>
      <c r="O327" s="108">
        <f>YEAR(Tableau13[[#This Row],[Date fin intervention]])</f>
        <v>2019</v>
      </c>
      <c r="P327" s="36"/>
    </row>
    <row r="328" spans="1:16">
      <c r="A328" s="115">
        <v>43672</v>
      </c>
      <c r="B328" s="105">
        <v>800</v>
      </c>
      <c r="C328" s="106" t="str">
        <f>IF(ISNA(VLOOKUP(Tableau13[[#This Row],[Code machine]],'CODE mchn'!$A$4:$C$170,2,0)),"",VLOOKUP(Tableau13[[#This Row],[Code machine]],'CODE mchn'!$A$4:$C$170,2,0))</f>
        <v>Béton</v>
      </c>
      <c r="D328" s="36" t="str">
        <f>IF(ISNA(VLOOKUP(Tableau13[[#This Row],[Code machine]],'CODE mchn'!$A$4:$C$170,3,0)),"",VLOOKUP(Tableau13[[#This Row],[Code machine]],'CODE mchn'!$A$4:$C$170,3,0))</f>
        <v>Poyatos 2</v>
      </c>
      <c r="E328" s="105"/>
      <c r="F328" s="36"/>
      <c r="G328" s="36" t="s">
        <v>291</v>
      </c>
      <c r="H328" s="36" t="s">
        <v>676</v>
      </c>
      <c r="I328" s="36" t="s">
        <v>13</v>
      </c>
      <c r="J328" s="106" t="s">
        <v>703</v>
      </c>
      <c r="K328" s="71">
        <v>43672</v>
      </c>
      <c r="L328" s="126"/>
      <c r="M328" s="107">
        <v>30</v>
      </c>
      <c r="N328" s="108">
        <f>MONTH(Tableau13[[#This Row],[Date fin intervention]])</f>
        <v>7</v>
      </c>
      <c r="O328" s="108">
        <f>YEAR(Tableau13[[#This Row],[Date fin intervention]])</f>
        <v>2019</v>
      </c>
      <c r="P328" s="36"/>
    </row>
    <row r="329" spans="1:16">
      <c r="A329" s="115">
        <v>43673</v>
      </c>
      <c r="B329" s="105">
        <v>580</v>
      </c>
      <c r="C329" s="106" t="str">
        <f>IF(ISNA(VLOOKUP(Tableau13[[#This Row],[Code machine]],'CODE mchn'!$A$4:$C$170,2,0)),"",VLOOKUP(Tableau13[[#This Row],[Code machine]],'CODE mchn'!$A$4:$C$170,2,0))</f>
        <v>Acier</v>
      </c>
      <c r="D329" s="36" t="str">
        <f>IF(ISNA(VLOOKUP(Tableau13[[#This Row],[Code machine]],'CODE mchn'!$A$4:$C$170,3,0)),"",VLOOKUP(Tableau13[[#This Row],[Code machine]],'CODE mchn'!$A$4:$C$170,3,0))</f>
        <v>Techno Impiante</v>
      </c>
      <c r="E329" s="105"/>
      <c r="F329" s="36"/>
      <c r="G329" s="36" t="s">
        <v>704</v>
      </c>
      <c r="H329" s="36" t="s">
        <v>679</v>
      </c>
      <c r="I329" s="36" t="s">
        <v>13</v>
      </c>
      <c r="J329" s="106" t="s">
        <v>705</v>
      </c>
      <c r="K329" s="71">
        <v>43673</v>
      </c>
      <c r="L329" s="126"/>
      <c r="M329" s="121"/>
      <c r="N329" s="108">
        <f>MONTH(Tableau13[[#This Row],[Date fin intervention]])</f>
        <v>7</v>
      </c>
      <c r="O329" s="108">
        <f>YEAR(Tableau13[[#This Row],[Date fin intervention]])</f>
        <v>2019</v>
      </c>
      <c r="P329" s="36"/>
    </row>
    <row r="330" spans="1:16">
      <c r="A330" s="115">
        <v>43673</v>
      </c>
      <c r="B330" s="105">
        <v>582</v>
      </c>
      <c r="C330" s="106" t="str">
        <f>IF(ISNA(VLOOKUP(Tableau13[[#This Row],[Code machine]],'CODE mchn'!$A$4:$C$170,2,0)),"",VLOOKUP(Tableau13[[#This Row],[Code machine]],'CODE mchn'!$A$4:$C$170,2,0))</f>
        <v>Acier</v>
      </c>
      <c r="D330" s="36" t="str">
        <f>IF(ISNA(VLOOKUP(Tableau13[[#This Row],[Code machine]],'CODE mchn'!$A$4:$C$170,3,0)),"",VLOOKUP(Tableau13[[#This Row],[Code machine]],'CODE mchn'!$A$4:$C$170,3,0))</f>
        <v>Teurema 2</v>
      </c>
      <c r="E330" s="105"/>
      <c r="F330" s="36"/>
      <c r="G330" s="36" t="s">
        <v>710</v>
      </c>
      <c r="H330" s="36" t="s">
        <v>680</v>
      </c>
      <c r="I330" s="36" t="s">
        <v>13</v>
      </c>
      <c r="J330" s="106" t="s">
        <v>707</v>
      </c>
      <c r="K330" s="71">
        <v>43704</v>
      </c>
      <c r="L330" s="126"/>
      <c r="M330" s="121"/>
      <c r="N330" s="108">
        <f>MONTH(Tableau13[[#This Row],[Date fin intervention]])</f>
        <v>8</v>
      </c>
      <c r="O330" s="108">
        <f>YEAR(Tableau13[[#This Row],[Date fin intervention]])</f>
        <v>2019</v>
      </c>
      <c r="P330" s="36"/>
    </row>
    <row r="331" spans="1:16">
      <c r="A331" s="115">
        <v>43673</v>
      </c>
      <c r="B331" s="105">
        <v>700</v>
      </c>
      <c r="C331" s="106" t="str">
        <f>IF(ISNA(VLOOKUP(Tableau13[[#This Row],[Code machine]],'CODE mchn'!$A$4:$C$170,2,0)),"",VLOOKUP(Tableau13[[#This Row],[Code machine]],'CODE mchn'!$A$4:$C$170,2,0))</f>
        <v>Béton</v>
      </c>
      <c r="D331" s="36" t="str">
        <f>IF(ISNA(VLOOKUP(Tableau13[[#This Row],[Code machine]],'CODE mchn'!$A$4:$C$170,3,0)),"",VLOOKUP(Tableau13[[#This Row],[Code machine]],'CODE mchn'!$A$4:$C$170,3,0))</f>
        <v>Poyatos 1</v>
      </c>
      <c r="E331" s="105"/>
      <c r="F331" s="36"/>
      <c r="G331" s="36" t="s">
        <v>49</v>
      </c>
      <c r="H331" s="36" t="s">
        <v>789</v>
      </c>
      <c r="I331" s="36" t="s">
        <v>13</v>
      </c>
      <c r="J331" s="106" t="s">
        <v>790</v>
      </c>
      <c r="K331" s="71">
        <v>43704</v>
      </c>
      <c r="L331" s="126"/>
      <c r="M331" s="107">
        <v>30</v>
      </c>
      <c r="N331" s="108">
        <f>MONTH(Tableau13[[#This Row],[Date fin intervention]])</f>
        <v>8</v>
      </c>
      <c r="O331" s="108">
        <f>YEAR(Tableau13[[#This Row],[Date fin intervention]])</f>
        <v>2019</v>
      </c>
      <c r="P331" s="36"/>
    </row>
    <row r="332" spans="1:16">
      <c r="A332" s="115">
        <v>43675</v>
      </c>
      <c r="B332" s="105">
        <v>565</v>
      </c>
      <c r="C332" s="106" t="str">
        <f>IF(ISNA(VLOOKUP(Tableau13[[#This Row],[Code machine]],'CODE mchn'!$A$4:$C$170,2,0)),"",VLOOKUP(Tableau13[[#This Row],[Code machine]],'CODE mchn'!$A$4:$C$170,2,0))</f>
        <v>Acier</v>
      </c>
      <c r="D332" s="36" t="str">
        <f>IF(ISNA(VLOOKUP(Tableau13[[#This Row],[Code machine]],'CODE mchn'!$A$4:$C$170,3,0)),"",VLOOKUP(Tableau13[[#This Row],[Code machine]],'CODE mchn'!$A$4:$C$170,3,0))</f>
        <v>EVG GE12</v>
      </c>
      <c r="E332" s="105"/>
      <c r="F332" s="36"/>
      <c r="G332" s="36" t="s">
        <v>97</v>
      </c>
      <c r="H332" s="36" t="s">
        <v>690</v>
      </c>
      <c r="I332" s="36" t="s">
        <v>8</v>
      </c>
      <c r="J332" s="106" t="s">
        <v>708</v>
      </c>
      <c r="K332" s="71">
        <v>43675</v>
      </c>
      <c r="L332" s="126"/>
      <c r="M332" s="121"/>
      <c r="N332" s="108">
        <f>MONTH(Tableau13[[#This Row],[Date fin intervention]])</f>
        <v>7</v>
      </c>
      <c r="O332" s="108">
        <f>YEAR(Tableau13[[#This Row],[Date fin intervention]])</f>
        <v>2019</v>
      </c>
      <c r="P332" s="36"/>
    </row>
    <row r="333" spans="1:16">
      <c r="A333" s="115">
        <v>43676</v>
      </c>
      <c r="B333" s="105">
        <v>700</v>
      </c>
      <c r="C333" s="106" t="str">
        <f>IF(ISNA(VLOOKUP(Tableau13[[#This Row],[Code machine]],'CODE mchn'!$A$4:$C$170,2,0)),"",VLOOKUP(Tableau13[[#This Row],[Code machine]],'CODE mchn'!$A$4:$C$170,2,0))</f>
        <v>Béton</v>
      </c>
      <c r="D333" s="36" t="str">
        <f>IF(ISNA(VLOOKUP(Tableau13[[#This Row],[Code machine]],'CODE mchn'!$A$4:$C$170,3,0)),"",VLOOKUP(Tableau13[[#This Row],[Code machine]],'CODE mchn'!$A$4:$C$170,3,0))</f>
        <v>Poyatos 1</v>
      </c>
      <c r="E333" s="105"/>
      <c r="F333" s="36"/>
      <c r="G333" s="36" t="s">
        <v>681</v>
      </c>
      <c r="H333" s="36" t="s">
        <v>688</v>
      </c>
      <c r="I333" s="36" t="s">
        <v>13</v>
      </c>
      <c r="J333" s="106" t="s">
        <v>706</v>
      </c>
      <c r="K333" s="71">
        <v>43676</v>
      </c>
      <c r="L333" s="126"/>
      <c r="M333" s="107">
        <v>1</v>
      </c>
      <c r="N333" s="108">
        <f>MONTH(Tableau13[[#This Row],[Date fin intervention]])</f>
        <v>7</v>
      </c>
      <c r="O333" s="108">
        <f>YEAR(Tableau13[[#This Row],[Date fin intervention]])</f>
        <v>2019</v>
      </c>
      <c r="P333" s="36"/>
    </row>
    <row r="334" spans="1:16">
      <c r="A334" s="115">
        <v>43676</v>
      </c>
      <c r="B334" s="105">
        <v>607</v>
      </c>
      <c r="C334" s="106" t="str">
        <f>IF(ISNA(VLOOKUP(Tableau13[[#This Row],[Code machine]],'CODE mchn'!$A$4:$C$170,2,0)),"",VLOOKUP(Tableau13[[#This Row],[Code machine]],'CODE mchn'!$A$4:$C$170,2,0))</f>
        <v>Acier</v>
      </c>
      <c r="D334" s="36" t="str">
        <f>IF(ISNA(VLOOKUP(Tableau13[[#This Row],[Code machine]],'CODE mchn'!$A$4:$C$170,3,0)),"",VLOOKUP(Tableau13[[#This Row],[Code machine]],'CODE mchn'!$A$4:$C$170,3,0))</f>
        <v>Vitari 3</v>
      </c>
      <c r="E334" s="105"/>
      <c r="F334" s="36"/>
      <c r="G334" s="36" t="s">
        <v>692</v>
      </c>
      <c r="H334" s="36" t="s">
        <v>689</v>
      </c>
      <c r="I334" s="36" t="s">
        <v>13</v>
      </c>
      <c r="J334" s="106" t="s">
        <v>685</v>
      </c>
      <c r="K334" s="71">
        <v>43676</v>
      </c>
      <c r="L334" s="126"/>
      <c r="M334" s="107">
        <v>30</v>
      </c>
      <c r="N334" s="108">
        <f>MONTH(Tableau13[[#This Row],[Date fin intervention]])</f>
        <v>7</v>
      </c>
      <c r="O334" s="108">
        <f>YEAR(Tableau13[[#This Row],[Date fin intervention]])</f>
        <v>2019</v>
      </c>
      <c r="P334" s="36"/>
    </row>
    <row r="335" spans="1:16">
      <c r="A335" s="115">
        <v>43676</v>
      </c>
      <c r="B335" s="116">
        <v>582</v>
      </c>
      <c r="C335" s="117" t="str">
        <f>IF(ISNA(VLOOKUP(Tableau13[[#This Row],[Code machine]],'CODE mchn'!$A$4:$C$170,2,0)),"",VLOOKUP(Tableau13[[#This Row],[Code machine]],'CODE mchn'!$A$4:$C$170,2,0))</f>
        <v>Acier</v>
      </c>
      <c r="D335" s="36" t="str">
        <f>IF(ISNA(VLOOKUP(Tableau13[[#This Row],[Code machine]],'CODE mchn'!$A$4:$C$170,3,0)),"",VLOOKUP(Tableau13[[#This Row],[Code machine]],'CODE mchn'!$A$4:$C$170,3,0))</f>
        <v>Teurema 2</v>
      </c>
      <c r="E335" s="105"/>
      <c r="F335" s="63"/>
      <c r="G335" s="63" t="s">
        <v>607</v>
      </c>
      <c r="H335" s="63" t="s">
        <v>680</v>
      </c>
      <c r="I335" s="63" t="s">
        <v>13</v>
      </c>
      <c r="J335" s="117" t="s">
        <v>711</v>
      </c>
      <c r="K335" s="124">
        <v>43676</v>
      </c>
      <c r="L335" s="126"/>
      <c r="M335" s="121"/>
      <c r="N335" s="120">
        <f>MONTH(Tableau13[[#This Row],[Date fin intervention]])</f>
        <v>7</v>
      </c>
      <c r="O335" s="120">
        <f>YEAR(Tableau13[[#This Row],[Date fin intervention]])</f>
        <v>2019</v>
      </c>
      <c r="P335" s="36"/>
    </row>
    <row r="336" spans="1:16">
      <c r="A336" s="115">
        <v>43677</v>
      </c>
      <c r="B336" s="105">
        <v>580</v>
      </c>
      <c r="C336" s="106" t="str">
        <f>IF(ISNA(VLOOKUP(Tableau13[[#This Row],[Code machine]],'CODE mchn'!$A$4:$C$170,2,0)),"",VLOOKUP(Tableau13[[#This Row],[Code machine]],'CODE mchn'!$A$4:$C$170,2,0))</f>
        <v>Acier</v>
      </c>
      <c r="D336" s="36" t="str">
        <f>IF(ISNA(VLOOKUP(Tableau13[[#This Row],[Code machine]],'CODE mchn'!$A$4:$C$170,3,0)),"",VLOOKUP(Tableau13[[#This Row],[Code machine]],'CODE mchn'!$A$4:$C$170,3,0))</f>
        <v>Techno Impiante</v>
      </c>
      <c r="E336" s="105"/>
      <c r="F336" s="36"/>
      <c r="G336" s="36" t="s">
        <v>612</v>
      </c>
      <c r="H336" s="36" t="s">
        <v>686</v>
      </c>
      <c r="I336" s="36" t="s">
        <v>13</v>
      </c>
      <c r="J336" s="106" t="s">
        <v>717</v>
      </c>
      <c r="K336" s="71">
        <v>43677</v>
      </c>
      <c r="L336" s="126"/>
      <c r="M336" s="107">
        <v>7</v>
      </c>
      <c r="N336" s="108">
        <f>MONTH(Tableau13[[#This Row],[Date fin intervention]])</f>
        <v>7</v>
      </c>
      <c r="O336" s="108">
        <f>YEAR(Tableau13[[#This Row],[Date fin intervention]])</f>
        <v>2019</v>
      </c>
      <c r="P336" s="36"/>
    </row>
    <row r="337" spans="1:16">
      <c r="A337" s="115">
        <v>43678</v>
      </c>
      <c r="B337" s="105">
        <v>700</v>
      </c>
      <c r="C337" s="106" t="str">
        <f>IF(ISNA(VLOOKUP(Tableau13[[#This Row],[Code machine]],'CODE mchn'!$A$4:$C$170,2,0)),"",VLOOKUP(Tableau13[[#This Row],[Code machine]],'CODE mchn'!$A$4:$C$170,2,0))</f>
        <v>Béton</v>
      </c>
      <c r="D337" s="36" t="str">
        <f>IF(ISNA(VLOOKUP(Tableau13[[#This Row],[Code machine]],'CODE mchn'!$A$4:$C$170,3,0)),"",VLOOKUP(Tableau13[[#This Row],[Code machine]],'CODE mchn'!$A$4:$C$170,3,0))</f>
        <v>Poyatos 1</v>
      </c>
      <c r="E337" s="105"/>
      <c r="F337" s="36"/>
      <c r="G337" s="36" t="s">
        <v>682</v>
      </c>
      <c r="H337" s="36" t="s">
        <v>683</v>
      </c>
      <c r="I337" s="36" t="s">
        <v>13</v>
      </c>
      <c r="J337" s="106" t="s">
        <v>684</v>
      </c>
      <c r="K337" s="71">
        <v>43678</v>
      </c>
      <c r="L337" s="126"/>
      <c r="M337" s="107">
        <v>5</v>
      </c>
      <c r="N337" s="108">
        <f>MONTH(Tableau13[[#This Row],[Date fin intervention]])</f>
        <v>8</v>
      </c>
      <c r="O337" s="108">
        <f>YEAR(Tableau13[[#This Row],[Date fin intervention]])</f>
        <v>2019</v>
      </c>
      <c r="P337" s="36"/>
    </row>
    <row r="338" spans="1:16">
      <c r="A338" s="115">
        <v>43678</v>
      </c>
      <c r="B338" s="116">
        <v>570</v>
      </c>
      <c r="C338" s="117" t="str">
        <f>IF(ISNA(VLOOKUP(Tableau13[[#This Row],[Code machine]],'CODE mchn'!$A$4:$C$170,2,0)),"",VLOOKUP(Tableau13[[#This Row],[Code machine]],'CODE mchn'!$A$4:$C$170,2,0))</f>
        <v>Acier</v>
      </c>
      <c r="D338" s="36" t="str">
        <f>IF(ISNA(VLOOKUP(Tableau13[[#This Row],[Code machine]],'CODE mchn'!$A$4:$C$170,3,0)),"",VLOOKUP(Tableau13[[#This Row],[Code machine]],'CODE mchn'!$A$4:$C$170,3,0))</f>
        <v>Sigmatic</v>
      </c>
      <c r="E338" s="105"/>
      <c r="F338" s="63"/>
      <c r="G338" s="63" t="s">
        <v>692</v>
      </c>
      <c r="H338" s="63" t="s">
        <v>709</v>
      </c>
      <c r="I338" s="63" t="s">
        <v>13</v>
      </c>
      <c r="J338" s="117" t="s">
        <v>693</v>
      </c>
      <c r="K338" s="124">
        <v>43678</v>
      </c>
      <c r="L338" s="126"/>
      <c r="M338" s="119">
        <v>1</v>
      </c>
      <c r="N338" s="120">
        <f>MONTH(Tableau13[[#This Row],[Date fin intervention]])</f>
        <v>8</v>
      </c>
      <c r="O338" s="120">
        <f>YEAR(Tableau13[[#This Row],[Date fin intervention]])</f>
        <v>2019</v>
      </c>
      <c r="P338" s="36"/>
    </row>
    <row r="339" spans="1:16" ht="42.75">
      <c r="A339" s="115">
        <v>43679</v>
      </c>
      <c r="B339" s="116">
        <v>561</v>
      </c>
      <c r="C339" s="117" t="str">
        <f>IF(ISNA(VLOOKUP(Tableau13[[#This Row],[Code machine]],'CODE mchn'!$A$4:$C$170,2,0)),"",VLOOKUP(Tableau13[[#This Row],[Code machine]],'CODE mchn'!$A$4:$C$170,2,0))</f>
        <v>Ponts roulants</v>
      </c>
      <c r="D339" s="36" t="str">
        <f>IF(ISNA(VLOOKUP(Tableau13[[#This Row],[Code machine]],'CODE mchn'!$A$4:$C$170,3,0)),"",VLOOKUP(Tableau13[[#This Row],[Code machine]],'CODE mchn'!$A$4:$C$170,3,0))</f>
        <v>Pont roulant Demag 5T TS</v>
      </c>
      <c r="E339" s="105"/>
      <c r="F339" s="63"/>
      <c r="G339" s="63" t="s">
        <v>712</v>
      </c>
      <c r="H339" s="63" t="s">
        <v>713</v>
      </c>
      <c r="I339" s="63" t="s">
        <v>13</v>
      </c>
      <c r="J339" s="117" t="s">
        <v>714</v>
      </c>
      <c r="K339" s="124">
        <v>43704</v>
      </c>
      <c r="L339" s="126" t="s">
        <v>715</v>
      </c>
      <c r="M339" s="119" t="s">
        <v>2259</v>
      </c>
      <c r="N339" s="120">
        <f>MONTH(Tableau13[[#This Row],[Date fin intervention]])</f>
        <v>8</v>
      </c>
      <c r="O339" s="120">
        <f>YEAR(Tableau13[[#This Row],[Date fin intervention]])</f>
        <v>2019</v>
      </c>
      <c r="P339" s="36"/>
    </row>
    <row r="340" spans="1:16" ht="28.5">
      <c r="A340" s="115">
        <v>43679</v>
      </c>
      <c r="B340" s="116">
        <v>700</v>
      </c>
      <c r="C340" s="117" t="str">
        <f>IF(ISNA(VLOOKUP(Tableau13[[#This Row],[Code machine]],'CODE mchn'!$A$4:$C$170,2,0)),"",VLOOKUP(Tableau13[[#This Row],[Code machine]],'CODE mchn'!$A$4:$C$170,2,0))</f>
        <v>Béton</v>
      </c>
      <c r="D340" s="36" t="str">
        <f>IF(ISNA(VLOOKUP(Tableau13[[#This Row],[Code machine]],'CODE mchn'!$A$4:$C$170,3,0)),"",VLOOKUP(Tableau13[[#This Row],[Code machine]],'CODE mchn'!$A$4:$C$170,3,0))</f>
        <v>Poyatos 1</v>
      </c>
      <c r="E340" s="105"/>
      <c r="F340" s="63"/>
      <c r="G340" s="63" t="s">
        <v>46</v>
      </c>
      <c r="H340" s="63" t="s">
        <v>695</v>
      </c>
      <c r="I340" s="63" t="s">
        <v>13</v>
      </c>
      <c r="J340" s="117" t="s">
        <v>791</v>
      </c>
      <c r="K340" s="124">
        <v>43679</v>
      </c>
      <c r="L340" s="63"/>
      <c r="M340" s="127"/>
      <c r="N340" s="120">
        <f>MONTH(Tableau13[[#This Row],[Date fin intervention]])</f>
        <v>8</v>
      </c>
      <c r="O340" s="120">
        <f>YEAR(Tableau13[[#This Row],[Date fin intervention]])</f>
        <v>2019</v>
      </c>
      <c r="P340" s="36"/>
    </row>
    <row r="341" spans="1:16">
      <c r="A341" s="115">
        <v>43680</v>
      </c>
      <c r="B341" s="116">
        <v>560</v>
      </c>
      <c r="C341" s="117" t="str">
        <f>IF(ISNA(VLOOKUP(Tableau13[[#This Row],[Code machine]],'CODE mchn'!$A$4:$C$170,2,0)),"",VLOOKUP(Tableau13[[#This Row],[Code machine]],'CODE mchn'!$A$4:$C$170,2,0))</f>
        <v>Acier</v>
      </c>
      <c r="D341" s="36" t="str">
        <f>IF(ISNA(VLOOKUP(Tableau13[[#This Row],[Code machine]],'CODE mchn'!$A$4:$C$170,3,0)),"",VLOOKUP(Tableau13[[#This Row],[Code machine]],'CODE mchn'!$A$4:$C$170,3,0))</f>
        <v>Schlatter</v>
      </c>
      <c r="E341" s="105"/>
      <c r="F341" s="63"/>
      <c r="G341" s="63" t="s">
        <v>104</v>
      </c>
      <c r="H341" s="63" t="s">
        <v>716</v>
      </c>
      <c r="I341" s="63" t="s">
        <v>13</v>
      </c>
      <c r="J341" s="117" t="s">
        <v>718</v>
      </c>
      <c r="K341" s="124">
        <v>43680</v>
      </c>
      <c r="L341" s="126"/>
      <c r="M341" s="119">
        <v>30</v>
      </c>
      <c r="N341" s="120">
        <f>MONTH(Tableau13[[#This Row],[Date fin intervention]])</f>
        <v>8</v>
      </c>
      <c r="O341" s="120">
        <f>YEAR(Tableau13[[#This Row],[Date fin intervention]])</f>
        <v>2019</v>
      </c>
      <c r="P341" s="36"/>
    </row>
    <row r="342" spans="1:16">
      <c r="A342" s="115">
        <v>43680</v>
      </c>
      <c r="B342" s="116">
        <v>590</v>
      </c>
      <c r="C342" s="117" t="str">
        <f>IF(ISNA(VLOOKUP(Tableau13[[#This Row],[Code machine]],'CODE mchn'!$A$4:$C$170,2,0)),"",VLOOKUP(Tableau13[[#This Row],[Code machine]],'CODE mchn'!$A$4:$C$170,2,0))</f>
        <v>Acier</v>
      </c>
      <c r="D342" s="36" t="str">
        <f>IF(ISNA(VLOOKUP(Tableau13[[#This Row],[Code machine]],'CODE mchn'!$A$4:$C$170,3,0)),"",VLOOKUP(Tableau13[[#This Row],[Code machine]],'CODE mchn'!$A$4:$C$170,3,0))</f>
        <v>Teurema 3</v>
      </c>
      <c r="E342" s="105"/>
      <c r="F342" s="63"/>
      <c r="G342" s="63" t="s">
        <v>171</v>
      </c>
      <c r="H342" s="63" t="s">
        <v>719</v>
      </c>
      <c r="I342" s="63" t="s">
        <v>13</v>
      </c>
      <c r="J342" s="117" t="s">
        <v>720</v>
      </c>
      <c r="K342" s="124">
        <v>43680</v>
      </c>
      <c r="L342" s="126"/>
      <c r="M342" s="127"/>
      <c r="N342" s="120">
        <f>MONTH(Tableau13[[#This Row],[Date fin intervention]])</f>
        <v>8</v>
      </c>
      <c r="O342" s="120">
        <f>YEAR(Tableau13[[#This Row],[Date fin intervention]])</f>
        <v>2019</v>
      </c>
      <c r="P342" s="36"/>
    </row>
    <row r="343" spans="1:16">
      <c r="A343" s="115">
        <v>43681</v>
      </c>
      <c r="B343" s="116">
        <v>605</v>
      </c>
      <c r="C343" s="117" t="str">
        <f>IF(ISNA(VLOOKUP(Tableau13[[#This Row],[Code machine]],'CODE mchn'!$A$4:$C$170,2,0)),"",VLOOKUP(Tableau13[[#This Row],[Code machine]],'CODE mchn'!$A$4:$C$170,2,0))</f>
        <v>Acier</v>
      </c>
      <c r="D343" s="36" t="str">
        <f>IF(ISNA(VLOOKUP(Tableau13[[#This Row],[Code machine]],'CODE mchn'!$A$4:$C$170,3,0)),"",VLOOKUP(Tableau13[[#This Row],[Code machine]],'CODE mchn'!$A$4:$C$170,3,0))</f>
        <v>Vitari 1</v>
      </c>
      <c r="E343" s="105"/>
      <c r="F343" s="63"/>
      <c r="G343" s="63" t="s">
        <v>78</v>
      </c>
      <c r="H343" s="63" t="s">
        <v>721</v>
      </c>
      <c r="I343" s="63" t="s">
        <v>13</v>
      </c>
      <c r="J343" s="117" t="s">
        <v>722</v>
      </c>
      <c r="K343" s="124">
        <v>43681</v>
      </c>
      <c r="L343" s="126"/>
      <c r="M343" s="127"/>
      <c r="N343" s="120">
        <f>MONTH(Tableau13[[#This Row],[Date fin intervention]])</f>
        <v>8</v>
      </c>
      <c r="O343" s="120">
        <f>YEAR(Tableau13[[#This Row],[Date fin intervention]])</f>
        <v>2019</v>
      </c>
      <c r="P343" s="36"/>
    </row>
    <row r="344" spans="1:16">
      <c r="A344" s="115">
        <v>43683</v>
      </c>
      <c r="B344" s="116">
        <v>560</v>
      </c>
      <c r="C344" s="117" t="str">
        <f>IF(ISNA(VLOOKUP(Tableau13[[#This Row],[Code machine]],'CODE mchn'!$A$4:$C$170,2,0)),"",VLOOKUP(Tableau13[[#This Row],[Code machine]],'CODE mchn'!$A$4:$C$170,2,0))</f>
        <v>Acier</v>
      </c>
      <c r="D344" s="36" t="str">
        <f>IF(ISNA(VLOOKUP(Tableau13[[#This Row],[Code machine]],'CODE mchn'!$A$4:$C$170,3,0)),"",VLOOKUP(Tableau13[[#This Row],[Code machine]],'CODE mchn'!$A$4:$C$170,3,0))</f>
        <v>Schlatter</v>
      </c>
      <c r="E344" s="105"/>
      <c r="F344" s="63"/>
      <c r="G344" s="62" t="s">
        <v>104</v>
      </c>
      <c r="H344" s="62" t="s">
        <v>517</v>
      </c>
      <c r="I344" s="62" t="s">
        <v>13</v>
      </c>
      <c r="J344" s="248" t="s">
        <v>518</v>
      </c>
      <c r="K344" s="71">
        <v>43683</v>
      </c>
      <c r="L344" s="118"/>
      <c r="M344" s="119"/>
      <c r="N344" s="120">
        <f>MONTH(Tableau13[[#This Row],[Date fin intervention]])</f>
        <v>8</v>
      </c>
      <c r="O344" s="120">
        <f>YEAR(Tableau13[[#This Row],[Date fin intervention]])</f>
        <v>2019</v>
      </c>
      <c r="P344" s="36"/>
    </row>
    <row r="345" spans="1:16">
      <c r="A345" s="115">
        <v>43684</v>
      </c>
      <c r="B345" s="116">
        <v>560</v>
      </c>
      <c r="C345" s="117" t="str">
        <f>IF(ISNA(VLOOKUP(Tableau13[[#This Row],[Code machine]],'CODE mchn'!$A$4:$C$170,2,0)),"",VLOOKUP(Tableau13[[#This Row],[Code machine]],'CODE mchn'!$A$4:$C$170,2,0))</f>
        <v>Acier</v>
      </c>
      <c r="D345" s="36" t="str">
        <f>IF(ISNA(VLOOKUP(Tableau13[[#This Row],[Code machine]],'CODE mchn'!$A$4:$C$170,3,0)),"",VLOOKUP(Tableau13[[#This Row],[Code machine]],'CODE mchn'!$A$4:$C$170,3,0))</f>
        <v>Schlatter</v>
      </c>
      <c r="E345" s="105"/>
      <c r="F345" s="63"/>
      <c r="G345" s="62" t="s">
        <v>104</v>
      </c>
      <c r="H345" s="62" t="s">
        <v>556</v>
      </c>
      <c r="I345" s="62" t="s">
        <v>13</v>
      </c>
      <c r="J345" s="248" t="s">
        <v>568</v>
      </c>
      <c r="K345" s="71">
        <v>43684</v>
      </c>
      <c r="L345" s="118"/>
      <c r="M345" s="119"/>
      <c r="N345" s="120">
        <f>MONTH(Tableau13[[#This Row],[Date fin intervention]])</f>
        <v>8</v>
      </c>
      <c r="O345" s="120">
        <f>YEAR(Tableau13[[#This Row],[Date fin intervention]])</f>
        <v>2019</v>
      </c>
      <c r="P345" s="36"/>
    </row>
    <row r="346" spans="1:16" ht="42.75">
      <c r="A346" s="115">
        <v>43684</v>
      </c>
      <c r="B346" s="116">
        <v>580</v>
      </c>
      <c r="C346" s="117" t="str">
        <f>IF(ISNA(VLOOKUP(Tableau13[[#This Row],[Code machine]],'CODE mchn'!$A$4:$C$170,2,0)),"",VLOOKUP(Tableau13[[#This Row],[Code machine]],'CODE mchn'!$A$4:$C$170,2,0))</f>
        <v>Acier</v>
      </c>
      <c r="D346" s="36" t="str">
        <f>IF(ISNA(VLOOKUP(Tableau13[[#This Row],[Code machine]],'CODE mchn'!$A$4:$C$170,3,0)),"",VLOOKUP(Tableau13[[#This Row],[Code machine]],'CODE mchn'!$A$4:$C$170,3,0))</f>
        <v>Techno Impiante</v>
      </c>
      <c r="E346" s="105"/>
      <c r="F346" s="63"/>
      <c r="G346" s="63" t="s">
        <v>723</v>
      </c>
      <c r="H346" s="63" t="s">
        <v>724</v>
      </c>
      <c r="I346" s="63" t="s">
        <v>13</v>
      </c>
      <c r="J346" s="117" t="s">
        <v>725</v>
      </c>
      <c r="K346" s="124">
        <v>43686</v>
      </c>
      <c r="L346" s="126"/>
      <c r="M346" s="119" t="s">
        <v>2259</v>
      </c>
      <c r="N346" s="120">
        <f>MONTH(Tableau13[[#This Row],[Date fin intervention]])</f>
        <v>8</v>
      </c>
      <c r="O346" s="120">
        <f>YEAR(Tableau13[[#This Row],[Date fin intervention]])</f>
        <v>2019</v>
      </c>
      <c r="P346" s="36"/>
    </row>
    <row r="347" spans="1:16">
      <c r="A347" s="115">
        <v>43686</v>
      </c>
      <c r="B347" s="116">
        <v>700</v>
      </c>
      <c r="C347" s="117" t="str">
        <f>IF(ISNA(VLOOKUP(Tableau13[[#This Row],[Code machine]],'CODE mchn'!$A$4:$C$170,2,0)),"",VLOOKUP(Tableau13[[#This Row],[Code machine]],'CODE mchn'!$A$4:$C$170,2,0))</f>
        <v>Béton</v>
      </c>
      <c r="D347" s="36" t="str">
        <f>IF(ISNA(VLOOKUP(Tableau13[[#This Row],[Code machine]],'CODE mchn'!$A$4:$C$170,3,0)),"",VLOOKUP(Tableau13[[#This Row],[Code machine]],'CODE mchn'!$A$4:$C$170,3,0))</f>
        <v>Poyatos 1</v>
      </c>
      <c r="E347" s="105"/>
      <c r="F347" s="63"/>
      <c r="G347" s="63" t="s">
        <v>792</v>
      </c>
      <c r="H347" s="63" t="s">
        <v>793</v>
      </c>
      <c r="I347" s="63" t="s">
        <v>13</v>
      </c>
      <c r="J347" s="117" t="s">
        <v>794</v>
      </c>
      <c r="K347" s="124">
        <v>43686</v>
      </c>
      <c r="L347" s="63"/>
      <c r="M347" s="119">
        <v>45</v>
      </c>
      <c r="N347" s="120">
        <f>MONTH(Tableau13[[#This Row],[Date fin intervention]])</f>
        <v>8</v>
      </c>
      <c r="O347" s="120">
        <f>YEAR(Tableau13[[#This Row],[Date fin intervention]])</f>
        <v>2019</v>
      </c>
      <c r="P347" s="36"/>
    </row>
    <row r="348" spans="1:16" ht="42.75">
      <c r="A348" s="115">
        <v>43686</v>
      </c>
      <c r="B348" s="116">
        <v>700</v>
      </c>
      <c r="C348" s="117" t="str">
        <f>IF(ISNA(VLOOKUP(Tableau13[[#This Row],[Code machine]],'CODE mchn'!$A$4:$C$170,2,0)),"",VLOOKUP(Tableau13[[#This Row],[Code machine]],'CODE mchn'!$A$4:$C$170,2,0))</f>
        <v>Béton</v>
      </c>
      <c r="D348" s="36" t="str">
        <f>IF(ISNA(VLOOKUP(Tableau13[[#This Row],[Code machine]],'CODE mchn'!$A$4:$C$170,3,0)),"",VLOOKUP(Tableau13[[#This Row],[Code machine]],'CODE mchn'!$A$4:$C$170,3,0))</f>
        <v>Poyatos 1</v>
      </c>
      <c r="E348" s="105"/>
      <c r="F348" s="63"/>
      <c r="G348" s="63" t="s">
        <v>46</v>
      </c>
      <c r="H348" s="63" t="s">
        <v>795</v>
      </c>
      <c r="I348" s="63" t="s">
        <v>13</v>
      </c>
      <c r="J348" s="117" t="s">
        <v>796</v>
      </c>
      <c r="K348" s="124">
        <v>43699</v>
      </c>
      <c r="L348" s="63" t="s">
        <v>797</v>
      </c>
      <c r="M348" s="119" t="s">
        <v>2259</v>
      </c>
      <c r="N348" s="120">
        <f>MONTH(Tableau13[[#This Row],[Date fin intervention]])</f>
        <v>8</v>
      </c>
      <c r="O348" s="120">
        <f>YEAR(Tableau13[[#This Row],[Date fin intervention]])</f>
        <v>2019</v>
      </c>
      <c r="P348" s="36"/>
    </row>
    <row r="349" spans="1:16">
      <c r="A349" s="115">
        <v>43698</v>
      </c>
      <c r="B349" s="116">
        <v>560</v>
      </c>
      <c r="C349" s="117" t="str">
        <f>IF(ISNA(VLOOKUP(Tableau13[[#This Row],[Code machine]],'CODE mchn'!$A$4:$C$170,2,0)),"",VLOOKUP(Tableau13[[#This Row],[Code machine]],'CODE mchn'!$A$4:$C$170,2,0))</f>
        <v>Acier</v>
      </c>
      <c r="D349" s="36" t="str">
        <f>IF(ISNA(VLOOKUP(Tableau13[[#This Row],[Code machine]],'CODE mchn'!$A$4:$C$170,3,0)),"",VLOOKUP(Tableau13[[#This Row],[Code machine]],'CODE mchn'!$A$4:$C$170,3,0))</f>
        <v>Schlatter</v>
      </c>
      <c r="E349" s="105"/>
      <c r="F349" s="63"/>
      <c r="G349" s="62" t="s">
        <v>104</v>
      </c>
      <c r="H349" s="62" t="s">
        <v>517</v>
      </c>
      <c r="I349" s="62" t="s">
        <v>13</v>
      </c>
      <c r="J349" s="248" t="s">
        <v>518</v>
      </c>
      <c r="K349" s="71">
        <v>43698</v>
      </c>
      <c r="L349" s="118"/>
      <c r="M349" s="119"/>
      <c r="N349" s="120">
        <f>MONTH(Tableau13[[#This Row],[Date fin intervention]])</f>
        <v>8</v>
      </c>
      <c r="O349" s="120">
        <f>YEAR(Tableau13[[#This Row],[Date fin intervention]])</f>
        <v>2019</v>
      </c>
      <c r="P349" s="36"/>
    </row>
    <row r="350" spans="1:16">
      <c r="A350" s="115">
        <v>43699</v>
      </c>
      <c r="B350" s="116">
        <v>565</v>
      </c>
      <c r="C350" s="117" t="str">
        <f>IF(ISNA(VLOOKUP(Tableau13[[#This Row],[Code machine]],'CODE mchn'!$A$4:$C$170,2,0)),"",VLOOKUP(Tableau13[[#This Row],[Code machine]],'CODE mchn'!$A$4:$C$170,2,0))</f>
        <v>Acier</v>
      </c>
      <c r="D350" s="36" t="str">
        <f>IF(ISNA(VLOOKUP(Tableau13[[#This Row],[Code machine]],'CODE mchn'!$A$4:$C$170,3,0)),"",VLOOKUP(Tableau13[[#This Row],[Code machine]],'CODE mchn'!$A$4:$C$170,3,0))</f>
        <v>EVG GE12</v>
      </c>
      <c r="E350" s="105"/>
      <c r="F350" s="63"/>
      <c r="G350" s="63" t="s">
        <v>726</v>
      </c>
      <c r="H350" s="63" t="s">
        <v>727</v>
      </c>
      <c r="I350" s="63" t="s">
        <v>13</v>
      </c>
      <c r="J350" s="117" t="s">
        <v>728</v>
      </c>
      <c r="K350" s="124">
        <v>43699</v>
      </c>
      <c r="L350" s="126"/>
      <c r="M350" s="119">
        <v>3</v>
      </c>
      <c r="N350" s="120">
        <f>MONTH(Tableau13[[#This Row],[Date fin intervention]])</f>
        <v>8</v>
      </c>
      <c r="O350" s="120">
        <f>YEAR(Tableau13[[#This Row],[Date fin intervention]])</f>
        <v>2019</v>
      </c>
      <c r="P350" s="36"/>
    </row>
    <row r="351" spans="1:16" ht="28.5">
      <c r="A351" s="115">
        <v>43699</v>
      </c>
      <c r="B351" s="116">
        <v>560</v>
      </c>
      <c r="C351" s="117" t="str">
        <f>IF(ISNA(VLOOKUP(Tableau13[[#This Row],[Code machine]],'CODE mchn'!$A$4:$C$170,2,0)),"",VLOOKUP(Tableau13[[#This Row],[Code machine]],'CODE mchn'!$A$4:$C$170,2,0))</f>
        <v>Acier</v>
      </c>
      <c r="D351" s="36" t="str">
        <f>IF(ISNA(VLOOKUP(Tableau13[[#This Row],[Code machine]],'CODE mchn'!$A$4:$C$170,3,0)),"",VLOOKUP(Tableau13[[#This Row],[Code machine]],'CODE mchn'!$A$4:$C$170,3,0))</f>
        <v>Schlatter</v>
      </c>
      <c r="E351" s="105"/>
      <c r="F351" s="63"/>
      <c r="G351" s="63" t="s">
        <v>729</v>
      </c>
      <c r="H351" s="63" t="s">
        <v>730</v>
      </c>
      <c r="I351" s="63" t="s">
        <v>13</v>
      </c>
      <c r="J351" s="117" t="s">
        <v>731</v>
      </c>
      <c r="K351" s="124">
        <v>43699</v>
      </c>
      <c r="L351" s="126"/>
      <c r="M351" s="119">
        <v>4</v>
      </c>
      <c r="N351" s="120">
        <f>MONTH(Tableau13[[#This Row],[Date fin intervention]])</f>
        <v>8</v>
      </c>
      <c r="O351" s="120">
        <f>YEAR(Tableau13[[#This Row],[Date fin intervention]])</f>
        <v>2019</v>
      </c>
      <c r="P351" s="36"/>
    </row>
    <row r="352" spans="1:16" ht="28.5">
      <c r="A352" s="115">
        <v>43699</v>
      </c>
      <c r="B352" s="116">
        <v>562</v>
      </c>
      <c r="C352" s="117" t="str">
        <f>IF(ISNA(VLOOKUP(Tableau13[[#This Row],[Code machine]],'CODE mchn'!$A$4:$C$170,2,0)),"",VLOOKUP(Tableau13[[#This Row],[Code machine]],'CODE mchn'!$A$4:$C$170,2,0))</f>
        <v>Ponts roulants</v>
      </c>
      <c r="D352" s="36" t="str">
        <f>IF(ISNA(VLOOKUP(Tableau13[[#This Row],[Code machine]],'CODE mchn'!$A$4:$C$170,3,0)),"",VLOOKUP(Tableau13[[#This Row],[Code machine]],'CODE mchn'!$A$4:$C$170,3,0))</f>
        <v>Pont roulant GH Beasain 12T</v>
      </c>
      <c r="E352" s="105"/>
      <c r="F352" s="63"/>
      <c r="G352" s="63" t="s">
        <v>80</v>
      </c>
      <c r="H352" s="63" t="s">
        <v>732</v>
      </c>
      <c r="I352" s="63" t="s">
        <v>13</v>
      </c>
      <c r="J352" s="117" t="s">
        <v>733</v>
      </c>
      <c r="K352" s="124">
        <v>43699</v>
      </c>
      <c r="L352" s="126"/>
      <c r="M352" s="127"/>
      <c r="N352" s="120">
        <f>MONTH(Tableau13[[#This Row],[Date fin intervention]])</f>
        <v>8</v>
      </c>
      <c r="O352" s="120">
        <f>YEAR(Tableau13[[#This Row],[Date fin intervention]])</f>
        <v>2019</v>
      </c>
      <c r="P352" s="36"/>
    </row>
    <row r="353" spans="1:16" ht="42.75">
      <c r="A353" s="115">
        <v>43699</v>
      </c>
      <c r="B353" s="116">
        <v>605</v>
      </c>
      <c r="C353" s="117" t="str">
        <f>IF(ISNA(VLOOKUP(Tableau13[[#This Row],[Code machine]],'CODE mchn'!$A$4:$C$170,2,0)),"",VLOOKUP(Tableau13[[#This Row],[Code machine]],'CODE mchn'!$A$4:$C$170,2,0))</f>
        <v>Acier</v>
      </c>
      <c r="D353" s="36" t="str">
        <f>IF(ISNA(VLOOKUP(Tableau13[[#This Row],[Code machine]],'CODE mchn'!$A$4:$C$170,3,0)),"",VLOOKUP(Tableau13[[#This Row],[Code machine]],'CODE mchn'!$A$4:$C$170,3,0))</f>
        <v>Vitari 1</v>
      </c>
      <c r="E353" s="105"/>
      <c r="F353" s="63"/>
      <c r="G353" s="63" t="s">
        <v>737</v>
      </c>
      <c r="H353" s="63" t="s">
        <v>738</v>
      </c>
      <c r="I353" s="63" t="s">
        <v>13</v>
      </c>
      <c r="J353" s="117" t="s">
        <v>739</v>
      </c>
      <c r="K353" s="124">
        <v>43701</v>
      </c>
      <c r="L353" s="126"/>
      <c r="M353" s="119" t="s">
        <v>2259</v>
      </c>
      <c r="N353" s="120">
        <f>MONTH(Tableau13[[#This Row],[Date fin intervention]])</f>
        <v>8</v>
      </c>
      <c r="O353" s="120">
        <f>YEAR(Tableau13[[#This Row],[Date fin intervention]])</f>
        <v>2019</v>
      </c>
      <c r="P353" s="36"/>
    </row>
    <row r="354" spans="1:16">
      <c r="A354" s="115">
        <v>43699</v>
      </c>
      <c r="B354" s="116">
        <v>800</v>
      </c>
      <c r="C354" s="117" t="str">
        <f>IF(ISNA(VLOOKUP(Tableau13[[#This Row],[Code machine]],'CODE mchn'!$A$4:$C$170,2,0)),"",VLOOKUP(Tableau13[[#This Row],[Code machine]],'CODE mchn'!$A$4:$C$170,2,0))</f>
        <v>Béton</v>
      </c>
      <c r="D354" s="36" t="str">
        <f>IF(ISNA(VLOOKUP(Tableau13[[#This Row],[Code machine]],'CODE mchn'!$A$4:$C$170,3,0)),"",VLOOKUP(Tableau13[[#This Row],[Code machine]],'CODE mchn'!$A$4:$C$170,3,0))</f>
        <v>Poyatos 2</v>
      </c>
      <c r="E354" s="105"/>
      <c r="F354" s="63"/>
      <c r="G354" s="63" t="s">
        <v>213</v>
      </c>
      <c r="H354" s="63" t="s">
        <v>798</v>
      </c>
      <c r="I354" s="63" t="s">
        <v>13</v>
      </c>
      <c r="J354" s="117" t="s">
        <v>799</v>
      </c>
      <c r="K354" s="124">
        <v>43699</v>
      </c>
      <c r="L354" s="63"/>
      <c r="M354" s="127"/>
      <c r="N354" s="120">
        <f>MONTH(Tableau13[[#This Row],[Date fin intervention]])</f>
        <v>8</v>
      </c>
      <c r="O354" s="120">
        <f>YEAR(Tableau13[[#This Row],[Date fin intervention]])</f>
        <v>2019</v>
      </c>
      <c r="P354" s="36"/>
    </row>
    <row r="355" spans="1:16">
      <c r="A355" s="115">
        <v>43700</v>
      </c>
      <c r="B355" s="116">
        <v>700</v>
      </c>
      <c r="C355" s="117" t="str">
        <f>IF(ISNA(VLOOKUP(Tableau13[[#This Row],[Code machine]],'CODE mchn'!$A$4:$C$170,2,0)),"",VLOOKUP(Tableau13[[#This Row],[Code machine]],'CODE mchn'!$A$4:$C$170,2,0))</f>
        <v>Béton</v>
      </c>
      <c r="D355" s="36" t="str">
        <f>IF(ISNA(VLOOKUP(Tableau13[[#This Row],[Code machine]],'CODE mchn'!$A$4:$C$170,3,0)),"",VLOOKUP(Tableau13[[#This Row],[Code machine]],'CODE mchn'!$A$4:$C$170,3,0))</f>
        <v>Poyatos 1</v>
      </c>
      <c r="E355" s="105"/>
      <c r="F355" s="63"/>
      <c r="G355" s="63" t="s">
        <v>289</v>
      </c>
      <c r="H355" s="63" t="s">
        <v>800</v>
      </c>
      <c r="I355" s="63" t="s">
        <v>8</v>
      </c>
      <c r="J355" s="117" t="s">
        <v>801</v>
      </c>
      <c r="K355" s="124">
        <v>43700</v>
      </c>
      <c r="L355" s="63"/>
      <c r="M355" s="119">
        <v>45</v>
      </c>
      <c r="N355" s="120">
        <f>MONTH(Tableau13[[#This Row],[Date fin intervention]])</f>
        <v>8</v>
      </c>
      <c r="O355" s="120">
        <f>YEAR(Tableau13[[#This Row],[Date fin intervention]])</f>
        <v>2019</v>
      </c>
      <c r="P355" s="36"/>
    </row>
    <row r="356" spans="1:16">
      <c r="A356" s="115">
        <v>43700</v>
      </c>
      <c r="B356" s="116">
        <v>800</v>
      </c>
      <c r="C356" s="117" t="str">
        <f>IF(ISNA(VLOOKUP(Tableau13[[#This Row],[Code machine]],'CODE mchn'!$A$4:$C$170,2,0)),"",VLOOKUP(Tableau13[[#This Row],[Code machine]],'CODE mchn'!$A$4:$C$170,2,0))</f>
        <v>Béton</v>
      </c>
      <c r="D356" s="36" t="str">
        <f>IF(ISNA(VLOOKUP(Tableau13[[#This Row],[Code machine]],'CODE mchn'!$A$4:$C$170,3,0)),"",VLOOKUP(Tableau13[[#This Row],[Code machine]],'CODE mchn'!$A$4:$C$170,3,0))</f>
        <v>Poyatos 2</v>
      </c>
      <c r="E356" s="105"/>
      <c r="F356" s="63"/>
      <c r="G356" s="63" t="s">
        <v>128</v>
      </c>
      <c r="H356" s="63" t="s">
        <v>802</v>
      </c>
      <c r="I356" s="63" t="s">
        <v>13</v>
      </c>
      <c r="J356" s="117" t="s">
        <v>803</v>
      </c>
      <c r="K356" s="124">
        <v>43700</v>
      </c>
      <c r="L356" s="63"/>
      <c r="M356" s="119">
        <v>30</v>
      </c>
      <c r="N356" s="120">
        <f>MONTH(Tableau13[[#This Row],[Date fin intervention]])</f>
        <v>8</v>
      </c>
      <c r="O356" s="120">
        <f>YEAR(Tableau13[[#This Row],[Date fin intervention]])</f>
        <v>2019</v>
      </c>
      <c r="P356" s="36"/>
    </row>
    <row r="357" spans="1:16">
      <c r="A357" s="115">
        <v>43703</v>
      </c>
      <c r="B357" s="116">
        <v>560</v>
      </c>
      <c r="C357" s="117" t="str">
        <f>IF(ISNA(VLOOKUP(Tableau13[[#This Row],[Code machine]],'CODE mchn'!$A$4:$C$170,2,0)),"",VLOOKUP(Tableau13[[#This Row],[Code machine]],'CODE mchn'!$A$4:$C$170,2,0))</f>
        <v>Acier</v>
      </c>
      <c r="D357" s="36" t="str">
        <f>IF(ISNA(VLOOKUP(Tableau13[[#This Row],[Code machine]],'CODE mchn'!$A$4:$C$170,3,0)),"",VLOOKUP(Tableau13[[#This Row],[Code machine]],'CODE mchn'!$A$4:$C$170,3,0))</f>
        <v>Schlatter</v>
      </c>
      <c r="E357" s="105"/>
      <c r="F357" s="63"/>
      <c r="G357" s="63" t="s">
        <v>726</v>
      </c>
      <c r="H357" s="63" t="s">
        <v>734</v>
      </c>
      <c r="I357" s="63" t="s">
        <v>13</v>
      </c>
      <c r="J357" s="117" t="s">
        <v>735</v>
      </c>
      <c r="K357" s="124">
        <v>43703</v>
      </c>
      <c r="L357" s="126"/>
      <c r="M357" s="119">
        <v>1</v>
      </c>
      <c r="N357" s="120">
        <f>MONTH(Tableau13[[#This Row],[Date fin intervention]])</f>
        <v>8</v>
      </c>
      <c r="O357" s="120">
        <f>YEAR(Tableau13[[#This Row],[Date fin intervention]])</f>
        <v>2019</v>
      </c>
      <c r="P357" s="36"/>
    </row>
    <row r="358" spans="1:16" ht="42.75">
      <c r="A358" s="115">
        <v>43703</v>
      </c>
      <c r="B358" s="116">
        <v>562</v>
      </c>
      <c r="C358" s="117" t="str">
        <f>IF(ISNA(VLOOKUP(Tableau13[[#This Row],[Code machine]],'CODE mchn'!$A$4:$C$170,2,0)),"",VLOOKUP(Tableau13[[#This Row],[Code machine]],'CODE mchn'!$A$4:$C$170,2,0))</f>
        <v>Ponts roulants</v>
      </c>
      <c r="D358" s="36" t="str">
        <f>IF(ISNA(VLOOKUP(Tableau13[[#This Row],[Code machine]],'CODE mchn'!$A$4:$C$170,3,0)),"",VLOOKUP(Tableau13[[#This Row],[Code machine]],'CODE mchn'!$A$4:$C$170,3,0))</f>
        <v>Pont roulant GH Beasain 12T</v>
      </c>
      <c r="E358" s="105"/>
      <c r="F358" s="63"/>
      <c r="G358" s="63" t="s">
        <v>80</v>
      </c>
      <c r="H358" s="63" t="s">
        <v>724</v>
      </c>
      <c r="I358" s="63" t="s">
        <v>13</v>
      </c>
      <c r="J358" s="117" t="s">
        <v>736</v>
      </c>
      <c r="K358" s="124">
        <v>43946</v>
      </c>
      <c r="L358" s="126" t="s">
        <v>82</v>
      </c>
      <c r="M358" s="119" t="s">
        <v>2259</v>
      </c>
      <c r="N358" s="120">
        <f>MONTH(Tableau13[[#This Row],[Date fin intervention]])</f>
        <v>4</v>
      </c>
      <c r="O358" s="120">
        <f>YEAR(Tableau13[[#This Row],[Date fin intervention]])</f>
        <v>2020</v>
      </c>
      <c r="P358" s="36"/>
    </row>
    <row r="359" spans="1:16">
      <c r="A359" s="115">
        <v>43703</v>
      </c>
      <c r="B359" s="116">
        <v>700</v>
      </c>
      <c r="C359" s="117" t="str">
        <f>IF(ISNA(VLOOKUP(Tableau13[[#This Row],[Code machine]],'CODE mchn'!$A$4:$C$170,2,0)),"",VLOOKUP(Tableau13[[#This Row],[Code machine]],'CODE mchn'!$A$4:$C$170,2,0))</f>
        <v>Béton</v>
      </c>
      <c r="D359" s="36" t="str">
        <f>IF(ISNA(VLOOKUP(Tableau13[[#This Row],[Code machine]],'CODE mchn'!$A$4:$C$170,3,0)),"",VLOOKUP(Tableau13[[#This Row],[Code machine]],'CODE mchn'!$A$4:$C$170,3,0))</f>
        <v>Poyatos 1</v>
      </c>
      <c r="E359" s="105"/>
      <c r="F359" s="63"/>
      <c r="G359" s="63" t="s">
        <v>804</v>
      </c>
      <c r="H359" s="63" t="s">
        <v>805</v>
      </c>
      <c r="I359" s="63" t="s">
        <v>13</v>
      </c>
      <c r="J359" s="117" t="s">
        <v>806</v>
      </c>
      <c r="K359" s="124">
        <v>43703</v>
      </c>
      <c r="L359" s="63"/>
      <c r="M359" s="119"/>
      <c r="N359" s="120">
        <f>MONTH(Tableau13[[#This Row],[Date fin intervention]])</f>
        <v>8</v>
      </c>
      <c r="O359" s="120">
        <f>YEAR(Tableau13[[#This Row],[Date fin intervention]])</f>
        <v>2019</v>
      </c>
      <c r="P359" s="36"/>
    </row>
    <row r="360" spans="1:16">
      <c r="A360" s="115">
        <v>43704</v>
      </c>
      <c r="B360" s="116">
        <v>560</v>
      </c>
      <c r="C360" s="117" t="str">
        <f>IF(ISNA(VLOOKUP(Tableau13[[#This Row],[Code machine]],'CODE mchn'!$A$4:$C$170,2,0)),"",VLOOKUP(Tableau13[[#This Row],[Code machine]],'CODE mchn'!$A$4:$C$170,2,0))</f>
        <v>Acier</v>
      </c>
      <c r="D360" s="36" t="str">
        <f>IF(ISNA(VLOOKUP(Tableau13[[#This Row],[Code machine]],'CODE mchn'!$A$4:$C$170,3,0)),"",VLOOKUP(Tableau13[[#This Row],[Code machine]],'CODE mchn'!$A$4:$C$170,3,0))</f>
        <v>Schlatter</v>
      </c>
      <c r="E360" s="105"/>
      <c r="F360" s="63"/>
      <c r="G360" s="36" t="s">
        <v>55</v>
      </c>
      <c r="H360" s="36" t="s">
        <v>699</v>
      </c>
      <c r="I360" s="36" t="s">
        <v>13</v>
      </c>
      <c r="J360" s="106" t="s">
        <v>696</v>
      </c>
      <c r="K360" s="71">
        <v>43704</v>
      </c>
      <c r="L360" s="118"/>
      <c r="M360" s="119"/>
      <c r="N360" s="120">
        <f>MONTH(Tableau13[[#This Row],[Date fin intervention]])</f>
        <v>8</v>
      </c>
      <c r="O360" s="120">
        <f>YEAR(Tableau13[[#This Row],[Date fin intervention]])</f>
        <v>2019</v>
      </c>
      <c r="P360" s="36"/>
    </row>
    <row r="361" spans="1:16">
      <c r="A361" s="115">
        <v>43711</v>
      </c>
      <c r="B361" s="116">
        <v>565</v>
      </c>
      <c r="C361" s="117" t="str">
        <f>IF(ISNA(VLOOKUP(Tableau13[[#This Row],[Code machine]],'CODE mchn'!$A$4:$C$170,2,0)),"",VLOOKUP(Tableau13[[#This Row],[Code machine]],'CODE mchn'!$A$4:$C$170,2,0))</f>
        <v>Acier</v>
      </c>
      <c r="D361" s="36" t="str">
        <f>IF(ISNA(VLOOKUP(Tableau13[[#This Row],[Code machine]],'CODE mchn'!$A$4:$C$170,3,0)),"",VLOOKUP(Tableau13[[#This Row],[Code machine]],'CODE mchn'!$A$4:$C$170,3,0))</f>
        <v>EVG GE12</v>
      </c>
      <c r="E361" s="105"/>
      <c r="F361" s="63"/>
      <c r="G361" s="63" t="s">
        <v>190</v>
      </c>
      <c r="H361" s="63" t="s">
        <v>787</v>
      </c>
      <c r="I361" s="63" t="s">
        <v>13</v>
      </c>
      <c r="J361" s="117" t="s">
        <v>788</v>
      </c>
      <c r="K361" s="124">
        <v>43711</v>
      </c>
      <c r="L361" s="63"/>
      <c r="M361" s="119">
        <v>40</v>
      </c>
      <c r="N361" s="120">
        <f>MONTH(Tableau13[[#This Row],[Date fin intervention]])</f>
        <v>9</v>
      </c>
      <c r="O361" s="120">
        <f>YEAR(Tableau13[[#This Row],[Date fin intervention]])</f>
        <v>2019</v>
      </c>
      <c r="P361" s="36"/>
    </row>
    <row r="362" spans="1:16">
      <c r="A362" s="115">
        <v>43714</v>
      </c>
      <c r="B362" s="116">
        <v>565</v>
      </c>
      <c r="C362" s="117" t="str">
        <f>IF(ISNA(VLOOKUP(Tableau13[[#This Row],[Code machine]],'CODE mchn'!$A$4:$C$170,2,0)),"",VLOOKUP(Tableau13[[#This Row],[Code machine]],'CODE mchn'!$A$4:$C$170,2,0))</f>
        <v>Acier</v>
      </c>
      <c r="D362" s="36" t="str">
        <f>IF(ISNA(VLOOKUP(Tableau13[[#This Row],[Code machine]],'CODE mchn'!$A$4:$C$170,3,0)),"",VLOOKUP(Tableau13[[#This Row],[Code machine]],'CODE mchn'!$A$4:$C$170,3,0))</f>
        <v>EVG GE12</v>
      </c>
      <c r="E362" s="105"/>
      <c r="F362" s="63"/>
      <c r="G362" s="63" t="s">
        <v>104</v>
      </c>
      <c r="H362" s="63" t="s">
        <v>740</v>
      </c>
      <c r="I362" s="63" t="s">
        <v>13</v>
      </c>
      <c r="J362" s="117" t="s">
        <v>741</v>
      </c>
      <c r="K362" s="124">
        <v>43714</v>
      </c>
      <c r="L362" s="126"/>
      <c r="M362" s="119">
        <v>30</v>
      </c>
      <c r="N362" s="120">
        <f>MONTH(Tableau13[[#This Row],[Date fin intervention]])</f>
        <v>9</v>
      </c>
      <c r="O362" s="120">
        <f>YEAR(Tableau13[[#This Row],[Date fin intervention]])</f>
        <v>2019</v>
      </c>
      <c r="P362" s="36"/>
    </row>
    <row r="363" spans="1:16">
      <c r="A363" s="115">
        <v>43714</v>
      </c>
      <c r="B363" s="116">
        <v>565</v>
      </c>
      <c r="C363" s="117" t="str">
        <f>IF(ISNA(VLOOKUP(Tableau13[[#This Row],[Code machine]],'CODE mchn'!$A$4:$C$170,2,0)),"",VLOOKUP(Tableau13[[#This Row],[Code machine]],'CODE mchn'!$A$4:$C$170,2,0))</f>
        <v>Acier</v>
      </c>
      <c r="D363" s="36" t="str">
        <f>IF(ISNA(VLOOKUP(Tableau13[[#This Row],[Code machine]],'CODE mchn'!$A$4:$C$170,3,0)),"",VLOOKUP(Tableau13[[#This Row],[Code machine]],'CODE mchn'!$A$4:$C$170,3,0))</f>
        <v>EVG GE12</v>
      </c>
      <c r="E363" s="105"/>
      <c r="F363" s="63"/>
      <c r="G363" s="63" t="s">
        <v>784</v>
      </c>
      <c r="H363" s="63" t="s">
        <v>785</v>
      </c>
      <c r="I363" s="63" t="s">
        <v>13</v>
      </c>
      <c r="J363" s="117" t="s">
        <v>786</v>
      </c>
      <c r="K363" s="124">
        <v>43714</v>
      </c>
      <c r="L363" s="63"/>
      <c r="M363" s="119">
        <v>30</v>
      </c>
      <c r="N363" s="120">
        <f>MONTH(Tableau13[[#This Row],[Date fin intervention]])</f>
        <v>9</v>
      </c>
      <c r="O363" s="120">
        <f>YEAR(Tableau13[[#This Row],[Date fin intervention]])</f>
        <v>2019</v>
      </c>
      <c r="P363" s="36"/>
    </row>
    <row r="364" spans="1:16">
      <c r="A364" s="115">
        <v>43715</v>
      </c>
      <c r="B364" s="116">
        <v>700</v>
      </c>
      <c r="C364" s="117" t="str">
        <f>IF(ISNA(VLOOKUP(Tableau13[[#This Row],[Code machine]],'CODE mchn'!$A$4:$C$170,2,0)),"",VLOOKUP(Tableau13[[#This Row],[Code machine]],'CODE mchn'!$A$4:$C$170,2,0))</f>
        <v>Béton</v>
      </c>
      <c r="D364" s="36" t="str">
        <f>IF(ISNA(VLOOKUP(Tableau13[[#This Row],[Code machine]],'CODE mchn'!$A$4:$C$170,3,0)),"",VLOOKUP(Tableau13[[#This Row],[Code machine]],'CODE mchn'!$A$4:$C$170,3,0))</f>
        <v>Poyatos 1</v>
      </c>
      <c r="E364" s="105"/>
      <c r="F364" s="63"/>
      <c r="G364" s="63" t="s">
        <v>213</v>
      </c>
      <c r="H364" s="63" t="s">
        <v>807</v>
      </c>
      <c r="I364" s="63" t="s">
        <v>13</v>
      </c>
      <c r="J364" s="117" t="s">
        <v>808</v>
      </c>
      <c r="K364" s="124">
        <v>43715</v>
      </c>
      <c r="L364" s="63"/>
      <c r="M364" s="119">
        <v>40</v>
      </c>
      <c r="N364" s="120">
        <f>MONTH(Tableau13[[#This Row],[Date fin intervention]])</f>
        <v>9</v>
      </c>
      <c r="O364" s="120">
        <f>YEAR(Tableau13[[#This Row],[Date fin intervention]])</f>
        <v>2019</v>
      </c>
      <c r="P364" s="36"/>
    </row>
    <row r="365" spans="1:16">
      <c r="A365" s="115">
        <v>43715</v>
      </c>
      <c r="B365" s="116">
        <v>700</v>
      </c>
      <c r="C365" s="117" t="str">
        <f>IF(ISNA(VLOOKUP(Tableau13[[#This Row],[Code machine]],'CODE mchn'!$A$4:$C$170,2,0)),"",VLOOKUP(Tableau13[[#This Row],[Code machine]],'CODE mchn'!$A$4:$C$170,2,0))</f>
        <v>Béton</v>
      </c>
      <c r="D365" s="36" t="str">
        <f>IF(ISNA(VLOOKUP(Tableau13[[#This Row],[Code machine]],'CODE mchn'!$A$4:$C$170,3,0)),"",VLOOKUP(Tableau13[[#This Row],[Code machine]],'CODE mchn'!$A$4:$C$170,3,0))</f>
        <v>Poyatos 1</v>
      </c>
      <c r="E365" s="105"/>
      <c r="F365" s="63"/>
      <c r="G365" s="63" t="s">
        <v>809</v>
      </c>
      <c r="H365" s="63" t="s">
        <v>810</v>
      </c>
      <c r="I365" s="63" t="s">
        <v>13</v>
      </c>
      <c r="J365" s="117" t="s">
        <v>811</v>
      </c>
      <c r="K365" s="124">
        <v>43715</v>
      </c>
      <c r="L365" s="63"/>
      <c r="M365" s="119">
        <v>40</v>
      </c>
      <c r="N365" s="120">
        <f>MONTH(Tableau13[[#This Row],[Date fin intervention]])</f>
        <v>9</v>
      </c>
      <c r="O365" s="120">
        <f>YEAR(Tableau13[[#This Row],[Date fin intervention]])</f>
        <v>2019</v>
      </c>
      <c r="P365" s="36"/>
    </row>
    <row r="366" spans="1:16">
      <c r="A366" s="115">
        <v>43718</v>
      </c>
      <c r="B366" s="116">
        <v>700</v>
      </c>
      <c r="C366" s="117" t="str">
        <f>IF(ISNA(VLOOKUP(Tableau13[[#This Row],[Code machine]],'CODE mchn'!$A$4:$C$170,2,0)),"",VLOOKUP(Tableau13[[#This Row],[Code machine]],'CODE mchn'!$A$4:$C$170,2,0))</f>
        <v>Béton</v>
      </c>
      <c r="D366" s="36" t="str">
        <f>IF(ISNA(VLOOKUP(Tableau13[[#This Row],[Code machine]],'CODE mchn'!$A$4:$C$170,3,0)),"",VLOOKUP(Tableau13[[#This Row],[Code machine]],'CODE mchn'!$A$4:$C$170,3,0))</f>
        <v>Poyatos 1</v>
      </c>
      <c r="E366" s="105"/>
      <c r="F366" s="63"/>
      <c r="G366" s="63" t="s">
        <v>394</v>
      </c>
      <c r="H366" s="63" t="s">
        <v>812</v>
      </c>
      <c r="I366" s="63" t="s">
        <v>8</v>
      </c>
      <c r="J366" s="117" t="s">
        <v>813</v>
      </c>
      <c r="K366" s="124">
        <v>43718</v>
      </c>
      <c r="L366" s="63"/>
      <c r="M366" s="119">
        <v>30</v>
      </c>
      <c r="N366" s="120">
        <f>MONTH(Tableau13[[#This Row],[Date fin intervention]])</f>
        <v>9</v>
      </c>
      <c r="O366" s="120">
        <f>YEAR(Tableau13[[#This Row],[Date fin intervention]])</f>
        <v>2019</v>
      </c>
      <c r="P366" s="36"/>
    </row>
    <row r="367" spans="1:16">
      <c r="A367" s="115">
        <v>43720</v>
      </c>
      <c r="B367" s="116">
        <v>565</v>
      </c>
      <c r="C367" s="117" t="str">
        <f>IF(ISNA(VLOOKUP(Tableau13[[#This Row],[Code machine]],'CODE mchn'!$A$4:$C$170,2,0)),"",VLOOKUP(Tableau13[[#This Row],[Code machine]],'CODE mchn'!$A$4:$C$170,2,0))</f>
        <v>Acier</v>
      </c>
      <c r="D367" s="36" t="str">
        <f>IF(ISNA(VLOOKUP(Tableau13[[#This Row],[Code machine]],'CODE mchn'!$A$4:$C$170,3,0)),"",VLOOKUP(Tableau13[[#This Row],[Code machine]],'CODE mchn'!$A$4:$C$170,3,0))</f>
        <v>EVG GE12</v>
      </c>
      <c r="E367" s="105"/>
      <c r="F367" s="63"/>
      <c r="G367" s="63" t="s">
        <v>75</v>
      </c>
      <c r="H367" s="63" t="s">
        <v>742</v>
      </c>
      <c r="I367" s="63" t="s">
        <v>13</v>
      </c>
      <c r="J367" s="117" t="s">
        <v>743</v>
      </c>
      <c r="K367" s="124">
        <v>43720</v>
      </c>
      <c r="L367" s="126"/>
      <c r="M367" s="119">
        <v>45</v>
      </c>
      <c r="N367" s="120">
        <f>MONTH(Tableau13[[#This Row],[Date fin intervention]])</f>
        <v>9</v>
      </c>
      <c r="O367" s="120">
        <f>YEAR(Tableau13[[#This Row],[Date fin intervention]])</f>
        <v>2019</v>
      </c>
      <c r="P367" s="36"/>
    </row>
    <row r="368" spans="1:16" ht="28.5">
      <c r="A368" s="115">
        <v>43720</v>
      </c>
      <c r="B368" s="116">
        <v>800</v>
      </c>
      <c r="C368" s="117" t="str">
        <f>IF(ISNA(VLOOKUP(Tableau13[[#This Row],[Code machine]],'CODE mchn'!$A$4:$C$170,2,0)),"",VLOOKUP(Tableau13[[#This Row],[Code machine]],'CODE mchn'!$A$4:$C$170,2,0))</f>
        <v>Béton</v>
      </c>
      <c r="D368" s="36" t="str">
        <f>IF(ISNA(VLOOKUP(Tableau13[[#This Row],[Code machine]],'CODE mchn'!$A$4:$C$170,3,0)),"",VLOOKUP(Tableau13[[#This Row],[Code machine]],'CODE mchn'!$A$4:$C$170,3,0))</f>
        <v>Poyatos 2</v>
      </c>
      <c r="E368" s="105"/>
      <c r="F368" s="63"/>
      <c r="G368" s="63" t="s">
        <v>291</v>
      </c>
      <c r="H368" s="63" t="s">
        <v>814</v>
      </c>
      <c r="I368" s="63" t="s">
        <v>13</v>
      </c>
      <c r="J368" s="117" t="s">
        <v>815</v>
      </c>
      <c r="K368" s="124">
        <v>43720</v>
      </c>
      <c r="L368" s="63" t="s">
        <v>816</v>
      </c>
      <c r="M368" s="119">
        <v>45</v>
      </c>
      <c r="N368" s="120">
        <f>MONTH(Tableau13[[#This Row],[Date fin intervention]])</f>
        <v>9</v>
      </c>
      <c r="O368" s="120">
        <f>YEAR(Tableau13[[#This Row],[Date fin intervention]])</f>
        <v>2019</v>
      </c>
      <c r="P368" s="36"/>
    </row>
    <row r="369" spans="1:16">
      <c r="A369" s="115">
        <v>43720</v>
      </c>
      <c r="B369" s="116">
        <v>700</v>
      </c>
      <c r="C369" s="117" t="str">
        <f>IF(ISNA(VLOOKUP(Tableau13[[#This Row],[Code machine]],'CODE mchn'!$A$4:$C$170,2,0)),"",VLOOKUP(Tableau13[[#This Row],[Code machine]],'CODE mchn'!$A$4:$C$170,2,0))</f>
        <v>Béton</v>
      </c>
      <c r="D369" s="36" t="str">
        <f>IF(ISNA(VLOOKUP(Tableau13[[#This Row],[Code machine]],'CODE mchn'!$A$4:$C$170,3,0)),"",VLOOKUP(Tableau13[[#This Row],[Code machine]],'CODE mchn'!$A$4:$C$170,3,0))</f>
        <v>Poyatos 1</v>
      </c>
      <c r="E369" s="105"/>
      <c r="F369" s="63"/>
      <c r="G369" s="63" t="s">
        <v>110</v>
      </c>
      <c r="H369" s="63" t="s">
        <v>817</v>
      </c>
      <c r="I369" s="63" t="s">
        <v>13</v>
      </c>
      <c r="J369" s="117" t="s">
        <v>818</v>
      </c>
      <c r="K369" s="124">
        <v>43720</v>
      </c>
      <c r="L369" s="63"/>
      <c r="M369" s="119">
        <v>30</v>
      </c>
      <c r="N369" s="120">
        <f>MONTH(Tableau13[[#This Row],[Date fin intervention]])</f>
        <v>9</v>
      </c>
      <c r="O369" s="120">
        <f>YEAR(Tableau13[[#This Row],[Date fin intervention]])</f>
        <v>2019</v>
      </c>
      <c r="P369" s="36"/>
    </row>
    <row r="370" spans="1:16" ht="28.5">
      <c r="A370" s="115">
        <v>43721</v>
      </c>
      <c r="B370" s="116">
        <v>574</v>
      </c>
      <c r="C370" s="117" t="str">
        <f>IF(ISNA(VLOOKUP(Tableau13[[#This Row],[Code machine]],'CODE mchn'!$A$4:$C$170,2,0)),"",VLOOKUP(Tableau13[[#This Row],[Code machine]],'CODE mchn'!$A$4:$C$170,2,0))</f>
        <v>Ponts roulants</v>
      </c>
      <c r="D370" s="36" t="str">
        <f>IF(ISNA(VLOOKUP(Tableau13[[#This Row],[Code machine]],'CODE mchn'!$A$4:$C$170,3,0)),"",VLOOKUP(Tableau13[[#This Row],[Code machine]],'CODE mchn'!$A$4:$C$170,3,0))</f>
        <v>Pont roulant Demag 2 3,2T (Charge)</v>
      </c>
      <c r="E370" s="105"/>
      <c r="F370" s="63"/>
      <c r="G370" s="63" t="s">
        <v>204</v>
      </c>
      <c r="H370" s="63" t="s">
        <v>608</v>
      </c>
      <c r="I370" s="63" t="s">
        <v>13</v>
      </c>
      <c r="J370" s="117" t="s">
        <v>744</v>
      </c>
      <c r="K370" s="124">
        <v>43721</v>
      </c>
      <c r="L370" s="126"/>
      <c r="M370" s="119">
        <v>1</v>
      </c>
      <c r="N370" s="120">
        <f>MONTH(Tableau13[[#This Row],[Date fin intervention]])</f>
        <v>9</v>
      </c>
      <c r="O370" s="120">
        <f>YEAR(Tableau13[[#This Row],[Date fin intervention]])</f>
        <v>2019</v>
      </c>
      <c r="P370" s="36"/>
    </row>
    <row r="371" spans="1:16">
      <c r="A371" s="115">
        <v>43721</v>
      </c>
      <c r="B371" s="116">
        <v>700</v>
      </c>
      <c r="C371" s="117" t="str">
        <f>IF(ISNA(VLOOKUP(Tableau13[[#This Row],[Code machine]],'CODE mchn'!$A$4:$C$170,2,0)),"",VLOOKUP(Tableau13[[#This Row],[Code machine]],'CODE mchn'!$A$4:$C$170,2,0))</f>
        <v>Béton</v>
      </c>
      <c r="D371" s="36" t="str">
        <f>IF(ISNA(VLOOKUP(Tableau13[[#This Row],[Code machine]],'CODE mchn'!$A$4:$C$170,3,0)),"",VLOOKUP(Tableau13[[#This Row],[Code machine]],'CODE mchn'!$A$4:$C$170,3,0))</f>
        <v>Poyatos 1</v>
      </c>
      <c r="E371" s="105"/>
      <c r="F371" s="63"/>
      <c r="G371" s="63" t="s">
        <v>213</v>
      </c>
      <c r="H371" s="63" t="s">
        <v>819</v>
      </c>
      <c r="I371" s="63" t="s">
        <v>13</v>
      </c>
      <c r="J371" s="117" t="s">
        <v>820</v>
      </c>
      <c r="K371" s="124">
        <v>43721</v>
      </c>
      <c r="L371" s="63"/>
      <c r="M371" s="119">
        <v>3</v>
      </c>
      <c r="N371" s="120">
        <f>MONTH(Tableau13[[#This Row],[Date fin intervention]])</f>
        <v>9</v>
      </c>
      <c r="O371" s="120">
        <f>YEAR(Tableau13[[#This Row],[Date fin intervention]])</f>
        <v>2019</v>
      </c>
      <c r="P371" s="36"/>
    </row>
    <row r="372" spans="1:16" ht="28.5">
      <c r="A372" s="115">
        <v>43721</v>
      </c>
      <c r="B372" s="116">
        <v>800</v>
      </c>
      <c r="C372" s="117" t="str">
        <f>IF(ISNA(VLOOKUP(Tableau13[[#This Row],[Code machine]],'CODE mchn'!$A$4:$C$170,2,0)),"",VLOOKUP(Tableau13[[#This Row],[Code machine]],'CODE mchn'!$A$4:$C$170,2,0))</f>
        <v>Béton</v>
      </c>
      <c r="D372" s="36" t="str">
        <f>IF(ISNA(VLOOKUP(Tableau13[[#This Row],[Code machine]],'CODE mchn'!$A$4:$C$170,3,0)),"",VLOOKUP(Tableau13[[#This Row],[Code machine]],'CODE mchn'!$A$4:$C$170,3,0))</f>
        <v>Poyatos 2</v>
      </c>
      <c r="E372" s="105"/>
      <c r="F372" s="63"/>
      <c r="G372" s="63" t="s">
        <v>291</v>
      </c>
      <c r="H372" s="63" t="s">
        <v>814</v>
      </c>
      <c r="I372" s="63" t="s">
        <v>13</v>
      </c>
      <c r="J372" s="117" t="s">
        <v>815</v>
      </c>
      <c r="K372" s="124">
        <v>43721</v>
      </c>
      <c r="L372" s="63" t="s">
        <v>816</v>
      </c>
      <c r="M372" s="119">
        <v>45</v>
      </c>
      <c r="N372" s="120">
        <f>MONTH(Tableau13[[#This Row],[Date fin intervention]])</f>
        <v>9</v>
      </c>
      <c r="O372" s="120">
        <f>YEAR(Tableau13[[#This Row],[Date fin intervention]])</f>
        <v>2019</v>
      </c>
      <c r="P372" s="36"/>
    </row>
    <row r="373" spans="1:16">
      <c r="A373" s="115">
        <v>43721</v>
      </c>
      <c r="B373" s="116">
        <v>800</v>
      </c>
      <c r="C373" s="117" t="str">
        <f>IF(ISNA(VLOOKUP(Tableau13[[#This Row],[Code machine]],'CODE mchn'!$A$4:$C$170,2,0)),"",VLOOKUP(Tableau13[[#This Row],[Code machine]],'CODE mchn'!$A$4:$C$170,2,0))</f>
        <v>Béton</v>
      </c>
      <c r="D373" s="36" t="str">
        <f>IF(ISNA(VLOOKUP(Tableau13[[#This Row],[Code machine]],'CODE mchn'!$A$4:$C$170,3,0)),"",VLOOKUP(Tableau13[[#This Row],[Code machine]],'CODE mchn'!$A$4:$C$170,3,0))</f>
        <v>Poyatos 2</v>
      </c>
      <c r="E373" s="105"/>
      <c r="F373" s="63"/>
      <c r="G373" s="63" t="s">
        <v>46</v>
      </c>
      <c r="H373" s="63" t="s">
        <v>821</v>
      </c>
      <c r="I373" s="63" t="s">
        <v>13</v>
      </c>
      <c r="J373" s="117" t="s">
        <v>435</v>
      </c>
      <c r="K373" s="124">
        <v>43721</v>
      </c>
      <c r="L373" s="63"/>
      <c r="M373" s="119">
        <v>45</v>
      </c>
      <c r="N373" s="120">
        <f>MONTH(Tableau13[[#This Row],[Date fin intervention]])</f>
        <v>9</v>
      </c>
      <c r="O373" s="120">
        <f>YEAR(Tableau13[[#This Row],[Date fin intervention]])</f>
        <v>2019</v>
      </c>
      <c r="P373" s="36"/>
    </row>
    <row r="374" spans="1:16">
      <c r="A374" s="115">
        <v>43721</v>
      </c>
      <c r="B374" s="116">
        <v>800</v>
      </c>
      <c r="C374" s="117" t="str">
        <f>IF(ISNA(VLOOKUP(Tableau13[[#This Row],[Code machine]],'CODE mchn'!$A$4:$C$170,2,0)),"",VLOOKUP(Tableau13[[#This Row],[Code machine]],'CODE mchn'!$A$4:$C$170,2,0))</f>
        <v>Béton</v>
      </c>
      <c r="D374" s="36" t="str">
        <f>IF(ISNA(VLOOKUP(Tableau13[[#This Row],[Code machine]],'CODE mchn'!$A$4:$C$170,3,0)),"",VLOOKUP(Tableau13[[#This Row],[Code machine]],'CODE mchn'!$A$4:$C$170,3,0))</f>
        <v>Poyatos 2</v>
      </c>
      <c r="E374" s="105"/>
      <c r="F374" s="63"/>
      <c r="G374" s="63" t="s">
        <v>118</v>
      </c>
      <c r="H374" s="63" t="s">
        <v>822</v>
      </c>
      <c r="I374" s="63" t="s">
        <v>107</v>
      </c>
      <c r="J374" s="117" t="s">
        <v>823</v>
      </c>
      <c r="K374" s="124">
        <v>43721</v>
      </c>
      <c r="L374" s="63"/>
      <c r="M374" s="121"/>
      <c r="N374" s="120">
        <f>MONTH(Tableau13[[#This Row],[Date fin intervention]])</f>
        <v>9</v>
      </c>
      <c r="O374" s="120">
        <f>YEAR(Tableau13[[#This Row],[Date fin intervention]])</f>
        <v>2019</v>
      </c>
      <c r="P374" s="36"/>
    </row>
    <row r="375" spans="1:16">
      <c r="A375" s="115">
        <v>43722</v>
      </c>
      <c r="B375" s="116">
        <v>560</v>
      </c>
      <c r="C375" s="117" t="str">
        <f>IF(ISNA(VLOOKUP(Tableau13[[#This Row],[Code machine]],'CODE mchn'!$A$4:$C$170,2,0)),"",VLOOKUP(Tableau13[[#This Row],[Code machine]],'CODE mchn'!$A$4:$C$170,2,0))</f>
        <v>Acier</v>
      </c>
      <c r="D375" s="36" t="str">
        <f>IF(ISNA(VLOOKUP(Tableau13[[#This Row],[Code machine]],'CODE mchn'!$A$4:$C$170,3,0)),"",VLOOKUP(Tableau13[[#This Row],[Code machine]],'CODE mchn'!$A$4:$C$170,3,0))</f>
        <v>Schlatter</v>
      </c>
      <c r="E375" s="105"/>
      <c r="F375" s="63"/>
      <c r="G375" s="63" t="s">
        <v>75</v>
      </c>
      <c r="H375" s="63" t="s">
        <v>745</v>
      </c>
      <c r="I375" s="63" t="s">
        <v>13</v>
      </c>
      <c r="J375" s="117" t="s">
        <v>746</v>
      </c>
      <c r="K375" s="124">
        <v>43722</v>
      </c>
      <c r="L375" s="126"/>
      <c r="M375" s="119">
        <v>45</v>
      </c>
      <c r="N375" s="120">
        <f>MONTH(Tableau13[[#This Row],[Date fin intervention]])</f>
        <v>9</v>
      </c>
      <c r="O375" s="120">
        <f>YEAR(Tableau13[[#This Row],[Date fin intervention]])</f>
        <v>2019</v>
      </c>
      <c r="P375" s="36"/>
    </row>
    <row r="376" spans="1:16">
      <c r="A376" s="115">
        <v>43722</v>
      </c>
      <c r="B376" s="116">
        <v>800</v>
      </c>
      <c r="C376" s="117" t="str">
        <f>IF(ISNA(VLOOKUP(Tableau13[[#This Row],[Code machine]],'CODE mchn'!$A$4:$C$170,2,0)),"",VLOOKUP(Tableau13[[#This Row],[Code machine]],'CODE mchn'!$A$4:$C$170,2,0))</f>
        <v>Béton</v>
      </c>
      <c r="D376" s="36" t="str">
        <f>IF(ISNA(VLOOKUP(Tableau13[[#This Row],[Code machine]],'CODE mchn'!$A$4:$C$170,3,0)),"",VLOOKUP(Tableau13[[#This Row],[Code machine]],'CODE mchn'!$A$4:$C$170,3,0))</f>
        <v>Poyatos 2</v>
      </c>
      <c r="E376" s="105"/>
      <c r="F376" s="63"/>
      <c r="G376" s="63" t="s">
        <v>675</v>
      </c>
      <c r="H376" s="63" t="s">
        <v>824</v>
      </c>
      <c r="I376" s="63" t="s">
        <v>107</v>
      </c>
      <c r="J376" s="117" t="s">
        <v>827</v>
      </c>
      <c r="K376" s="124">
        <v>43722</v>
      </c>
      <c r="L376" s="63"/>
      <c r="M376" s="119">
        <v>4</v>
      </c>
      <c r="N376" s="120">
        <f>MONTH(Tableau13[[#This Row],[Date fin intervention]])</f>
        <v>9</v>
      </c>
      <c r="O376" s="120">
        <f>YEAR(Tableau13[[#This Row],[Date fin intervention]])</f>
        <v>2019</v>
      </c>
      <c r="P376" s="36"/>
    </row>
    <row r="377" spans="1:16">
      <c r="A377" s="115">
        <v>43722</v>
      </c>
      <c r="B377" s="116">
        <v>800</v>
      </c>
      <c r="C377" s="117" t="str">
        <f>IF(ISNA(VLOOKUP(Tableau13[[#This Row],[Code machine]],'CODE mchn'!$A$4:$C$170,2,0)),"",VLOOKUP(Tableau13[[#This Row],[Code machine]],'CODE mchn'!$A$4:$C$170,2,0))</f>
        <v>Béton</v>
      </c>
      <c r="D377" s="36" t="str">
        <f>IF(ISNA(VLOOKUP(Tableau13[[#This Row],[Code machine]],'CODE mchn'!$A$4:$C$170,3,0)),"",VLOOKUP(Tableau13[[#This Row],[Code machine]],'CODE mchn'!$A$4:$C$170,3,0))</f>
        <v>Poyatos 2</v>
      </c>
      <c r="E377" s="105"/>
      <c r="F377" s="63"/>
      <c r="G377" s="63" t="s">
        <v>825</v>
      </c>
      <c r="H377" s="63" t="s">
        <v>814</v>
      </c>
      <c r="I377" s="63" t="s">
        <v>107</v>
      </c>
      <c r="J377" s="117" t="s">
        <v>826</v>
      </c>
      <c r="K377" s="124">
        <v>43722</v>
      </c>
      <c r="L377" s="63"/>
      <c r="M377" s="119">
        <v>45</v>
      </c>
      <c r="N377" s="120">
        <f>MONTH(Tableau13[[#This Row],[Date fin intervention]])</f>
        <v>9</v>
      </c>
      <c r="O377" s="120">
        <f>YEAR(Tableau13[[#This Row],[Date fin intervention]])</f>
        <v>2019</v>
      </c>
      <c r="P377" s="36"/>
    </row>
    <row r="378" spans="1:16">
      <c r="A378" s="115">
        <v>43724</v>
      </c>
      <c r="B378" s="116">
        <v>565</v>
      </c>
      <c r="C378" s="117" t="str">
        <f>IF(ISNA(VLOOKUP(Tableau13[[#This Row],[Code machine]],'CODE mchn'!$A$4:$C$170,2,0)),"",VLOOKUP(Tableau13[[#This Row],[Code machine]],'CODE mchn'!$A$4:$C$170,2,0))</f>
        <v>Acier</v>
      </c>
      <c r="D378" s="36" t="str">
        <f>IF(ISNA(VLOOKUP(Tableau13[[#This Row],[Code machine]],'CODE mchn'!$A$4:$C$170,3,0)),"",VLOOKUP(Tableau13[[#This Row],[Code machine]],'CODE mchn'!$A$4:$C$170,3,0))</f>
        <v>EVG GE12</v>
      </c>
      <c r="E378" s="105"/>
      <c r="F378" s="63"/>
      <c r="G378" s="63" t="s">
        <v>104</v>
      </c>
      <c r="H378" s="63" t="s">
        <v>747</v>
      </c>
      <c r="I378" s="63" t="s">
        <v>13</v>
      </c>
      <c r="J378" s="117" t="s">
        <v>748</v>
      </c>
      <c r="K378" s="124">
        <v>43724</v>
      </c>
      <c r="L378" s="126"/>
      <c r="M378" s="119">
        <v>45</v>
      </c>
      <c r="N378" s="120">
        <f>MONTH(Tableau13[[#This Row],[Date fin intervention]])</f>
        <v>9</v>
      </c>
      <c r="O378" s="120">
        <f>YEAR(Tableau13[[#This Row],[Date fin intervention]])</f>
        <v>2019</v>
      </c>
      <c r="P378" s="36"/>
    </row>
    <row r="379" spans="1:16">
      <c r="A379" s="115">
        <v>43724</v>
      </c>
      <c r="B379" s="116">
        <v>570</v>
      </c>
      <c r="C379" s="117" t="str">
        <f>IF(ISNA(VLOOKUP(Tableau13[[#This Row],[Code machine]],'CODE mchn'!$A$4:$C$170,2,0)),"",VLOOKUP(Tableau13[[#This Row],[Code machine]],'CODE mchn'!$A$4:$C$170,2,0))</f>
        <v>Acier</v>
      </c>
      <c r="D379" s="36" t="str">
        <f>IF(ISNA(VLOOKUP(Tableau13[[#This Row],[Code machine]],'CODE mchn'!$A$4:$C$170,3,0)),"",VLOOKUP(Tableau13[[#This Row],[Code machine]],'CODE mchn'!$A$4:$C$170,3,0))</f>
        <v>Sigmatic</v>
      </c>
      <c r="E379" s="105"/>
      <c r="F379" s="63"/>
      <c r="G379" s="63" t="s">
        <v>664</v>
      </c>
      <c r="H379" s="63" t="s">
        <v>749</v>
      </c>
      <c r="I379" s="63" t="s">
        <v>13</v>
      </c>
      <c r="J379" s="117" t="s">
        <v>750</v>
      </c>
      <c r="K379" s="124">
        <v>43724</v>
      </c>
      <c r="L379" s="126"/>
      <c r="M379" s="119">
        <v>40</v>
      </c>
      <c r="N379" s="120">
        <f>MONTH(Tableau13[[#This Row],[Date fin intervention]])</f>
        <v>9</v>
      </c>
      <c r="O379" s="120">
        <f>YEAR(Tableau13[[#This Row],[Date fin intervention]])</f>
        <v>2019</v>
      </c>
      <c r="P379" s="36"/>
    </row>
    <row r="380" spans="1:16">
      <c r="A380" s="115">
        <v>43724</v>
      </c>
      <c r="B380" s="116">
        <v>534</v>
      </c>
      <c r="C380" s="117" t="str">
        <f>IF(ISNA(VLOOKUP(Tableau13[[#This Row],[Code machine]],'CODE mchn'!$A$4:$C$170,2,0)),"",VLOOKUP(Tableau13[[#This Row],[Code machine]],'CODE mchn'!$A$4:$C$170,2,0))</f>
        <v>Enrobage</v>
      </c>
      <c r="D380" s="36" t="str">
        <f>IF(ISNA(VLOOKUP(Tableau13[[#This Row],[Code machine]],'CODE mchn'!$A$4:$C$170,3,0)),"",VLOOKUP(Tableau13[[#This Row],[Code machine]],'CODE mchn'!$A$4:$C$170,3,0))</f>
        <v>ELKON 2</v>
      </c>
      <c r="E380" s="105"/>
      <c r="F380" s="63"/>
      <c r="G380" s="63" t="s">
        <v>95</v>
      </c>
      <c r="H380" s="63" t="s">
        <v>773</v>
      </c>
      <c r="I380" s="63" t="s">
        <v>13</v>
      </c>
      <c r="J380" s="117" t="s">
        <v>774</v>
      </c>
      <c r="K380" s="124">
        <v>43724</v>
      </c>
      <c r="L380" s="118">
        <v>9</v>
      </c>
      <c r="M380" s="127"/>
      <c r="N380" s="120">
        <f>MONTH(Tableau13[[#This Row],[Date fin intervention]])</f>
        <v>9</v>
      </c>
      <c r="O380" s="120">
        <f>YEAR(Tableau13[[#This Row],[Date fin intervention]])</f>
        <v>2019</v>
      </c>
      <c r="P380" s="36"/>
    </row>
    <row r="381" spans="1:16">
      <c r="A381" s="115">
        <v>43724</v>
      </c>
      <c r="B381" s="116">
        <v>700</v>
      </c>
      <c r="C381" s="117" t="str">
        <f>IF(ISNA(VLOOKUP(Tableau13[[#This Row],[Code machine]],'CODE mchn'!$A$4:$C$170,2,0)),"",VLOOKUP(Tableau13[[#This Row],[Code machine]],'CODE mchn'!$A$4:$C$170,2,0))</f>
        <v>Béton</v>
      </c>
      <c r="D381" s="36" t="str">
        <f>IF(ISNA(VLOOKUP(Tableau13[[#This Row],[Code machine]],'CODE mchn'!$A$4:$C$170,3,0)),"",VLOOKUP(Tableau13[[#This Row],[Code machine]],'CODE mchn'!$A$4:$C$170,3,0))</f>
        <v>Poyatos 1</v>
      </c>
      <c r="E381" s="105"/>
      <c r="F381" s="63"/>
      <c r="G381" s="63" t="s">
        <v>828</v>
      </c>
      <c r="H381" s="63" t="s">
        <v>829</v>
      </c>
      <c r="I381" s="63" t="s">
        <v>13</v>
      </c>
      <c r="J381" s="117" t="s">
        <v>830</v>
      </c>
      <c r="K381" s="124">
        <v>43724</v>
      </c>
      <c r="L381" s="63"/>
      <c r="M381" s="119">
        <v>30</v>
      </c>
      <c r="N381" s="120">
        <f>MONTH(Tableau13[[#This Row],[Date fin intervention]])</f>
        <v>9</v>
      </c>
      <c r="O381" s="120">
        <f>YEAR(Tableau13[[#This Row],[Date fin intervention]])</f>
        <v>2019</v>
      </c>
      <c r="P381" s="36"/>
    </row>
    <row r="382" spans="1:16">
      <c r="A382" s="115">
        <v>43725</v>
      </c>
      <c r="B382" s="116">
        <v>570</v>
      </c>
      <c r="C382" s="117" t="str">
        <f>IF(ISNA(VLOOKUP(Tableau13[[#This Row],[Code machine]],'CODE mchn'!$A$4:$C$170,2,0)),"",VLOOKUP(Tableau13[[#This Row],[Code machine]],'CODE mchn'!$A$4:$C$170,2,0))</f>
        <v>Acier</v>
      </c>
      <c r="D382" s="36" t="str">
        <f>IF(ISNA(VLOOKUP(Tableau13[[#This Row],[Code machine]],'CODE mchn'!$A$4:$C$170,3,0)),"",VLOOKUP(Tableau13[[#This Row],[Code machine]],'CODE mchn'!$A$4:$C$170,3,0))</f>
        <v>Sigmatic</v>
      </c>
      <c r="E382" s="105"/>
      <c r="F382" s="63"/>
      <c r="G382" s="63" t="s">
        <v>751</v>
      </c>
      <c r="H382" s="63" t="s">
        <v>752</v>
      </c>
      <c r="I382" s="63" t="s">
        <v>107</v>
      </c>
      <c r="J382" s="117" t="s">
        <v>753</v>
      </c>
      <c r="K382" s="124">
        <v>43725</v>
      </c>
      <c r="L382" s="126"/>
      <c r="M382" s="119">
        <v>35</v>
      </c>
      <c r="N382" s="120">
        <f>MONTH(Tableau13[[#This Row],[Date fin intervention]])</f>
        <v>9</v>
      </c>
      <c r="O382" s="120">
        <f>YEAR(Tableau13[[#This Row],[Date fin intervention]])</f>
        <v>2019</v>
      </c>
      <c r="P382" s="36"/>
    </row>
    <row r="383" spans="1:16">
      <c r="A383" s="115">
        <v>43725</v>
      </c>
      <c r="B383" s="116">
        <v>560</v>
      </c>
      <c r="C383" s="117" t="str">
        <f>IF(ISNA(VLOOKUP(Tableau13[[#This Row],[Code machine]],'CODE mchn'!$A$4:$C$170,2,0)),"",VLOOKUP(Tableau13[[#This Row],[Code machine]],'CODE mchn'!$A$4:$C$170,2,0))</f>
        <v>Acier</v>
      </c>
      <c r="D383" s="36" t="str">
        <f>IF(ISNA(VLOOKUP(Tableau13[[#This Row],[Code machine]],'CODE mchn'!$A$4:$C$170,3,0)),"",VLOOKUP(Tableau13[[#This Row],[Code machine]],'CODE mchn'!$A$4:$C$170,3,0))</f>
        <v>Schlatter</v>
      </c>
      <c r="E383" s="105"/>
      <c r="F383" s="63"/>
      <c r="G383" s="63" t="s">
        <v>104</v>
      </c>
      <c r="H383" s="63" t="s">
        <v>754</v>
      </c>
      <c r="I383" s="63" t="s">
        <v>13</v>
      </c>
      <c r="J383" s="117" t="s">
        <v>755</v>
      </c>
      <c r="K383" s="124">
        <v>43725</v>
      </c>
      <c r="L383" s="126"/>
      <c r="M383" s="119">
        <v>40</v>
      </c>
      <c r="N383" s="120">
        <f>MONTH(Tableau13[[#This Row],[Date fin intervention]])</f>
        <v>9</v>
      </c>
      <c r="O383" s="120">
        <f>YEAR(Tableau13[[#This Row],[Date fin intervention]])</f>
        <v>2019</v>
      </c>
      <c r="P383" s="36"/>
    </row>
    <row r="384" spans="1:16">
      <c r="A384" s="115">
        <v>43725</v>
      </c>
      <c r="B384" s="116">
        <v>582</v>
      </c>
      <c r="C384" s="117" t="str">
        <f>IF(ISNA(VLOOKUP(Tableau13[[#This Row],[Code machine]],'CODE mchn'!$A$4:$C$170,2,0)),"",VLOOKUP(Tableau13[[#This Row],[Code machine]],'CODE mchn'!$A$4:$C$170,2,0))</f>
        <v>Acier</v>
      </c>
      <c r="D384" s="36" t="str">
        <f>IF(ISNA(VLOOKUP(Tableau13[[#This Row],[Code machine]],'CODE mchn'!$A$4:$C$170,3,0)),"",VLOOKUP(Tableau13[[#This Row],[Code machine]],'CODE mchn'!$A$4:$C$170,3,0))</f>
        <v>Teurema 2</v>
      </c>
      <c r="E384" s="105"/>
      <c r="F384" s="63"/>
      <c r="G384" s="63" t="s">
        <v>78</v>
      </c>
      <c r="H384" s="63" t="s">
        <v>764</v>
      </c>
      <c r="I384" s="63" t="s">
        <v>13</v>
      </c>
      <c r="J384" s="117" t="s">
        <v>765</v>
      </c>
      <c r="K384" s="124">
        <v>43725</v>
      </c>
      <c r="L384" s="118"/>
      <c r="M384" s="119">
        <v>40</v>
      </c>
      <c r="N384" s="120">
        <f>MONTH(Tableau13[[#This Row],[Date fin intervention]])</f>
        <v>9</v>
      </c>
      <c r="O384" s="120">
        <f>YEAR(Tableau13[[#This Row],[Date fin intervention]])</f>
        <v>2019</v>
      </c>
      <c r="P384" s="36"/>
    </row>
    <row r="385" spans="1:16">
      <c r="A385" s="115">
        <v>43725</v>
      </c>
      <c r="B385" s="116">
        <v>590</v>
      </c>
      <c r="C385" s="117" t="str">
        <f>IF(ISNA(VLOOKUP(Tableau13[[#This Row],[Code machine]],'CODE mchn'!$A$4:$C$170,2,0)),"",VLOOKUP(Tableau13[[#This Row],[Code machine]],'CODE mchn'!$A$4:$C$170,2,0))</f>
        <v>Acier</v>
      </c>
      <c r="D385" s="36" t="str">
        <f>IF(ISNA(VLOOKUP(Tableau13[[#This Row],[Code machine]],'CODE mchn'!$A$4:$C$170,3,0)),"",VLOOKUP(Tableau13[[#This Row],[Code machine]],'CODE mchn'!$A$4:$C$170,3,0))</f>
        <v>Teurema 3</v>
      </c>
      <c r="E385" s="105"/>
      <c r="F385" s="63"/>
      <c r="G385" s="63" t="s">
        <v>766</v>
      </c>
      <c r="H385" s="63" t="s">
        <v>767</v>
      </c>
      <c r="I385" s="63" t="s">
        <v>13</v>
      </c>
      <c r="J385" s="117" t="s">
        <v>593</v>
      </c>
      <c r="K385" s="124">
        <v>43725</v>
      </c>
      <c r="L385" s="118"/>
      <c r="M385" s="119">
        <v>30</v>
      </c>
      <c r="N385" s="120">
        <f>MONTH(Tableau13[[#This Row],[Date fin intervention]])</f>
        <v>9</v>
      </c>
      <c r="O385" s="120">
        <f>YEAR(Tableau13[[#This Row],[Date fin intervention]])</f>
        <v>2019</v>
      </c>
      <c r="P385" s="36"/>
    </row>
    <row r="386" spans="1:16">
      <c r="A386" s="115">
        <v>43725</v>
      </c>
      <c r="B386" s="116">
        <v>700</v>
      </c>
      <c r="C386" s="117" t="str">
        <f>IF(ISNA(VLOOKUP(Tableau13[[#This Row],[Code machine]],'CODE mchn'!$A$4:$C$170,2,0)),"",VLOOKUP(Tableau13[[#This Row],[Code machine]],'CODE mchn'!$A$4:$C$170,2,0))</f>
        <v>Béton</v>
      </c>
      <c r="D386" s="36" t="str">
        <f>IF(ISNA(VLOOKUP(Tableau13[[#This Row],[Code machine]],'CODE mchn'!$A$4:$C$170,3,0)),"",VLOOKUP(Tableau13[[#This Row],[Code machine]],'CODE mchn'!$A$4:$C$170,3,0))</f>
        <v>Poyatos 1</v>
      </c>
      <c r="E386" s="105"/>
      <c r="F386" s="63"/>
      <c r="G386" s="63" t="s">
        <v>118</v>
      </c>
      <c r="H386" s="63" t="s">
        <v>831</v>
      </c>
      <c r="I386" s="63" t="s">
        <v>107</v>
      </c>
      <c r="J386" s="106" t="s">
        <v>3282</v>
      </c>
      <c r="K386" s="124">
        <v>43725</v>
      </c>
      <c r="L386" s="63"/>
      <c r="M386" s="119">
        <v>4</v>
      </c>
      <c r="N386" s="120">
        <f>MONTH(Tableau13[[#This Row],[Date fin intervention]])</f>
        <v>9</v>
      </c>
      <c r="O386" s="120">
        <f>YEAR(Tableau13[[#This Row],[Date fin intervention]])</f>
        <v>2019</v>
      </c>
      <c r="P386" s="36"/>
    </row>
    <row r="387" spans="1:16">
      <c r="A387" s="115">
        <v>43726</v>
      </c>
      <c r="B387" s="116">
        <v>800</v>
      </c>
      <c r="C387" s="117" t="str">
        <f>IF(ISNA(VLOOKUP(Tableau13[[#This Row],[Code machine]],'CODE mchn'!$A$4:$C$170,2,0)),"",VLOOKUP(Tableau13[[#This Row],[Code machine]],'CODE mchn'!$A$4:$C$170,2,0))</f>
        <v>Béton</v>
      </c>
      <c r="D387" s="36" t="str">
        <f>IF(ISNA(VLOOKUP(Tableau13[[#This Row],[Code machine]],'CODE mchn'!$A$4:$C$170,3,0)),"",VLOOKUP(Tableau13[[#This Row],[Code machine]],'CODE mchn'!$A$4:$C$170,3,0))</f>
        <v>Poyatos 2</v>
      </c>
      <c r="E387" s="105"/>
      <c r="F387" s="63"/>
      <c r="G387" s="63" t="s">
        <v>118</v>
      </c>
      <c r="H387" s="63" t="s">
        <v>734</v>
      </c>
      <c r="I387" s="63" t="s">
        <v>13</v>
      </c>
      <c r="J387" s="117" t="s">
        <v>832</v>
      </c>
      <c r="K387" s="124">
        <v>43726</v>
      </c>
      <c r="L387" s="63"/>
      <c r="M387" s="127"/>
      <c r="N387" s="120">
        <f>MONTH(Tableau13[[#This Row],[Date fin intervention]])</f>
        <v>9</v>
      </c>
      <c r="O387" s="120">
        <f>YEAR(Tableau13[[#This Row],[Date fin intervention]])</f>
        <v>2019</v>
      </c>
      <c r="P387" s="36"/>
    </row>
    <row r="388" spans="1:16" ht="42.75">
      <c r="A388" s="115">
        <v>43727</v>
      </c>
      <c r="B388" s="116">
        <v>590</v>
      </c>
      <c r="C388" s="117" t="str">
        <f>IF(ISNA(VLOOKUP(Tableau13[[#This Row],[Code machine]],'CODE mchn'!$A$4:$C$170,2,0)),"",VLOOKUP(Tableau13[[#This Row],[Code machine]],'CODE mchn'!$A$4:$C$170,2,0))</f>
        <v>Acier</v>
      </c>
      <c r="D388" s="36" t="str">
        <f>IF(ISNA(VLOOKUP(Tableau13[[#This Row],[Code machine]],'CODE mchn'!$A$4:$C$170,3,0)),"",VLOOKUP(Tableau13[[#This Row],[Code machine]],'CODE mchn'!$A$4:$C$170,3,0))</f>
        <v>Teurema 3</v>
      </c>
      <c r="E388" s="105"/>
      <c r="F388" s="63"/>
      <c r="G388" s="63" t="s">
        <v>70</v>
      </c>
      <c r="H388" s="63" t="s">
        <v>768</v>
      </c>
      <c r="I388" s="63" t="s">
        <v>13</v>
      </c>
      <c r="J388" s="117" t="s">
        <v>769</v>
      </c>
      <c r="K388" s="124">
        <v>43740</v>
      </c>
      <c r="L388" s="118"/>
      <c r="M388" s="119" t="s">
        <v>2259</v>
      </c>
      <c r="N388" s="120">
        <f>MONTH(Tableau13[[#This Row],[Date fin intervention]])</f>
        <v>10</v>
      </c>
      <c r="O388" s="120">
        <f>YEAR(Tableau13[[#This Row],[Date fin intervention]])</f>
        <v>2019</v>
      </c>
      <c r="P388" s="36"/>
    </row>
    <row r="389" spans="1:16">
      <c r="A389" s="115">
        <v>43727</v>
      </c>
      <c r="B389" s="116">
        <v>700</v>
      </c>
      <c r="C389" s="117" t="str">
        <f>IF(ISNA(VLOOKUP(Tableau13[[#This Row],[Code machine]],'CODE mchn'!$A$4:$C$170,2,0)),"",VLOOKUP(Tableau13[[#This Row],[Code machine]],'CODE mchn'!$A$4:$C$170,2,0))</f>
        <v>Béton</v>
      </c>
      <c r="D389" s="36" t="str">
        <f>IF(ISNA(VLOOKUP(Tableau13[[#This Row],[Code machine]],'CODE mchn'!$A$4:$C$170,3,0)),"",VLOOKUP(Tableau13[[#This Row],[Code machine]],'CODE mchn'!$A$4:$C$170,3,0))</f>
        <v>Poyatos 1</v>
      </c>
      <c r="E389" s="105"/>
      <c r="F389" s="63"/>
      <c r="G389" s="63" t="s">
        <v>828</v>
      </c>
      <c r="H389" s="63" t="s">
        <v>833</v>
      </c>
      <c r="I389" s="63" t="s">
        <v>13</v>
      </c>
      <c r="J389" s="117" t="s">
        <v>834</v>
      </c>
      <c r="K389" s="124">
        <v>43727</v>
      </c>
      <c r="L389" s="63"/>
      <c r="M389" s="127"/>
      <c r="N389" s="120">
        <f>MONTH(Tableau13[[#This Row],[Date fin intervention]])</f>
        <v>9</v>
      </c>
      <c r="O389" s="120">
        <f>YEAR(Tableau13[[#This Row],[Date fin intervention]])</f>
        <v>2019</v>
      </c>
      <c r="P389" s="36"/>
    </row>
    <row r="390" spans="1:16">
      <c r="A390" s="115">
        <v>43728</v>
      </c>
      <c r="B390" s="116">
        <v>605</v>
      </c>
      <c r="C390" s="117" t="str">
        <f>IF(ISNA(VLOOKUP(Tableau13[[#This Row],[Code machine]],'CODE mchn'!$A$4:$C$170,2,0)),"",VLOOKUP(Tableau13[[#This Row],[Code machine]],'CODE mchn'!$A$4:$C$170,2,0))</f>
        <v>Acier</v>
      </c>
      <c r="D390" s="36" t="str">
        <f>IF(ISNA(VLOOKUP(Tableau13[[#This Row],[Code machine]],'CODE mchn'!$A$4:$C$170,3,0)),"",VLOOKUP(Tableau13[[#This Row],[Code machine]],'CODE mchn'!$A$4:$C$170,3,0))</f>
        <v>Vitari 1</v>
      </c>
      <c r="E390" s="105"/>
      <c r="F390" s="63"/>
      <c r="G390" s="63" t="s">
        <v>78</v>
      </c>
      <c r="H390" s="63" t="s">
        <v>756</v>
      </c>
      <c r="I390" s="63" t="s">
        <v>13</v>
      </c>
      <c r="J390" s="117" t="s">
        <v>757</v>
      </c>
      <c r="K390" s="124">
        <v>43728</v>
      </c>
      <c r="L390" s="126"/>
      <c r="M390" s="121"/>
      <c r="N390" s="120">
        <f>MONTH(Tableau13[[#This Row],[Date fin intervention]])</f>
        <v>9</v>
      </c>
      <c r="O390" s="120">
        <f>YEAR(Tableau13[[#This Row],[Date fin intervention]])</f>
        <v>2019</v>
      </c>
      <c r="P390" s="36"/>
    </row>
    <row r="391" spans="1:16">
      <c r="A391" s="115">
        <v>43728</v>
      </c>
      <c r="B391" s="116">
        <v>610</v>
      </c>
      <c r="C391" s="117" t="str">
        <f>IF(ISNA(VLOOKUP(Tableau13[[#This Row],[Code machine]],'CODE mchn'!$A$4:$C$170,2,0)),"",VLOOKUP(Tableau13[[#This Row],[Code machine]],'CODE mchn'!$A$4:$C$170,2,0))</f>
        <v>Acier</v>
      </c>
      <c r="D391" s="36" t="str">
        <f>IF(ISNA(VLOOKUP(Tableau13[[#This Row],[Code machine]],'CODE mchn'!$A$4:$C$170,3,0)),"",VLOOKUP(Tableau13[[#This Row],[Code machine]],'CODE mchn'!$A$4:$C$170,3,0))</f>
        <v>MEP91</v>
      </c>
      <c r="E391" s="105"/>
      <c r="F391" s="63"/>
      <c r="G391" s="63" t="s">
        <v>770</v>
      </c>
      <c r="H391" s="63" t="s">
        <v>608</v>
      </c>
      <c r="I391" s="63" t="s">
        <v>13</v>
      </c>
      <c r="J391" s="117" t="s">
        <v>771</v>
      </c>
      <c r="K391" s="124">
        <v>43728</v>
      </c>
      <c r="L391" s="118"/>
      <c r="M391" s="127"/>
      <c r="N391" s="120">
        <f>MONTH(Tableau13[[#This Row],[Date fin intervention]])</f>
        <v>9</v>
      </c>
      <c r="O391" s="120">
        <f>YEAR(Tableau13[[#This Row],[Date fin intervention]])</f>
        <v>2019</v>
      </c>
      <c r="P391" s="36"/>
    </row>
    <row r="392" spans="1:16">
      <c r="A392" s="115">
        <v>43728</v>
      </c>
      <c r="B392" s="116">
        <v>590</v>
      </c>
      <c r="C392" s="117" t="str">
        <f>IF(ISNA(VLOOKUP(Tableau13[[#This Row],[Code machine]],'CODE mchn'!$A$4:$C$170,2,0)),"",VLOOKUP(Tableau13[[#This Row],[Code machine]],'CODE mchn'!$A$4:$C$170,2,0))</f>
        <v>Acier</v>
      </c>
      <c r="D392" s="36" t="str">
        <f>IF(ISNA(VLOOKUP(Tableau13[[#This Row],[Code machine]],'CODE mchn'!$A$4:$C$170,3,0)),"",VLOOKUP(Tableau13[[#This Row],[Code machine]],'CODE mchn'!$A$4:$C$170,3,0))</f>
        <v>Teurema 3</v>
      </c>
      <c r="E392" s="105"/>
      <c r="F392" s="63"/>
      <c r="G392" s="63" t="s">
        <v>20</v>
      </c>
      <c r="H392" s="63" t="s">
        <v>772</v>
      </c>
      <c r="I392" s="63" t="s">
        <v>13</v>
      </c>
      <c r="J392" s="117" t="s">
        <v>601</v>
      </c>
      <c r="K392" s="124">
        <v>43728</v>
      </c>
      <c r="L392" s="118"/>
      <c r="M392" s="119">
        <v>30</v>
      </c>
      <c r="N392" s="120">
        <f>MONTH(Tableau13[[#This Row],[Date fin intervention]])</f>
        <v>9</v>
      </c>
      <c r="O392" s="120">
        <f>YEAR(Tableau13[[#This Row],[Date fin intervention]])</f>
        <v>2019</v>
      </c>
      <c r="P392" s="36"/>
    </row>
    <row r="393" spans="1:16">
      <c r="A393" s="115">
        <v>43729</v>
      </c>
      <c r="B393" s="116">
        <v>560</v>
      </c>
      <c r="C393" s="117" t="str">
        <f>IF(ISNA(VLOOKUP(Tableau13[[#This Row],[Code machine]],'CODE mchn'!$A$4:$C$170,2,0)),"",VLOOKUP(Tableau13[[#This Row],[Code machine]],'CODE mchn'!$A$4:$C$170,2,0))</f>
        <v>Acier</v>
      </c>
      <c r="D393" s="36" t="str">
        <f>IF(ISNA(VLOOKUP(Tableau13[[#This Row],[Code machine]],'CODE mchn'!$A$4:$C$170,3,0)),"",VLOOKUP(Tableau13[[#This Row],[Code machine]],'CODE mchn'!$A$4:$C$170,3,0))</f>
        <v>Schlatter</v>
      </c>
      <c r="E393" s="105"/>
      <c r="F393" s="63"/>
      <c r="G393" s="63" t="s">
        <v>758</v>
      </c>
      <c r="H393" s="63" t="s">
        <v>759</v>
      </c>
      <c r="I393" s="63" t="s">
        <v>13</v>
      </c>
      <c r="J393" s="117" t="s">
        <v>760</v>
      </c>
      <c r="K393" s="124">
        <v>43729</v>
      </c>
      <c r="L393" s="126"/>
      <c r="M393" s="119">
        <v>3</v>
      </c>
      <c r="N393" s="120">
        <f>MONTH(Tableau13[[#This Row],[Date fin intervention]])</f>
        <v>9</v>
      </c>
      <c r="O393" s="120">
        <f>YEAR(Tableau13[[#This Row],[Date fin intervention]])</f>
        <v>2019</v>
      </c>
      <c r="P393" s="36"/>
    </row>
    <row r="394" spans="1:16">
      <c r="A394" s="115">
        <v>43729</v>
      </c>
      <c r="B394" s="116">
        <v>560</v>
      </c>
      <c r="C394" s="117" t="str">
        <f>IF(ISNA(VLOOKUP(Tableau13[[#This Row],[Code machine]],'CODE mchn'!$A$4:$C$170,2,0)),"",VLOOKUP(Tableau13[[#This Row],[Code machine]],'CODE mchn'!$A$4:$C$170,2,0))</f>
        <v>Acier</v>
      </c>
      <c r="D394" s="36" t="str">
        <f>IF(ISNA(VLOOKUP(Tableau13[[#This Row],[Code machine]],'CODE mchn'!$A$4:$C$170,3,0)),"",VLOOKUP(Tableau13[[#This Row],[Code machine]],'CODE mchn'!$A$4:$C$170,3,0))</f>
        <v>Schlatter</v>
      </c>
      <c r="E394" s="105"/>
      <c r="F394" s="63"/>
      <c r="G394" s="63" t="s">
        <v>136</v>
      </c>
      <c r="H394" s="63" t="s">
        <v>776</v>
      </c>
      <c r="I394" s="63" t="s">
        <v>13</v>
      </c>
      <c r="J394" s="117" t="s">
        <v>777</v>
      </c>
      <c r="K394" s="124">
        <v>43729</v>
      </c>
      <c r="L394" s="63"/>
      <c r="M394" s="119">
        <v>45</v>
      </c>
      <c r="N394" s="120">
        <f>MONTH(Tableau13[[#This Row],[Date fin intervention]])</f>
        <v>9</v>
      </c>
      <c r="O394" s="120">
        <f>YEAR(Tableau13[[#This Row],[Date fin intervention]])</f>
        <v>2019</v>
      </c>
      <c r="P394" s="36"/>
    </row>
    <row r="395" spans="1:16">
      <c r="A395" s="115">
        <v>43729</v>
      </c>
      <c r="B395" s="116">
        <v>800</v>
      </c>
      <c r="C395" s="117" t="str">
        <f>IF(ISNA(VLOOKUP(Tableau13[[#This Row],[Code machine]],'CODE mchn'!$A$4:$C$170,2,0)),"",VLOOKUP(Tableau13[[#This Row],[Code machine]],'CODE mchn'!$A$4:$C$170,2,0))</f>
        <v>Béton</v>
      </c>
      <c r="D395" s="36" t="str">
        <f>IF(ISNA(VLOOKUP(Tableau13[[#This Row],[Code machine]],'CODE mchn'!$A$4:$C$170,3,0)),"",VLOOKUP(Tableau13[[#This Row],[Code machine]],'CODE mchn'!$A$4:$C$170,3,0))</f>
        <v>Poyatos 2</v>
      </c>
      <c r="E395" s="105"/>
      <c r="F395" s="63"/>
      <c r="G395" s="63" t="s">
        <v>291</v>
      </c>
      <c r="H395" s="63" t="s">
        <v>835</v>
      </c>
      <c r="I395" s="63" t="s">
        <v>107</v>
      </c>
      <c r="J395" s="117" t="s">
        <v>836</v>
      </c>
      <c r="K395" s="124">
        <v>43729</v>
      </c>
      <c r="L395" s="63"/>
      <c r="M395" s="119">
        <v>30</v>
      </c>
      <c r="N395" s="120">
        <f>MONTH(Tableau13[[#This Row],[Date fin intervention]])</f>
        <v>9</v>
      </c>
      <c r="O395" s="120">
        <f>YEAR(Tableau13[[#This Row],[Date fin intervention]])</f>
        <v>2019</v>
      </c>
      <c r="P395" s="36"/>
    </row>
    <row r="396" spans="1:16">
      <c r="A396" s="115">
        <v>43731</v>
      </c>
      <c r="B396" s="116">
        <v>560</v>
      </c>
      <c r="C396" s="117" t="str">
        <f>IF(ISNA(VLOOKUP(Tableau13[[#This Row],[Code machine]],'CODE mchn'!$A$4:$C$170,2,0)),"",VLOOKUP(Tableau13[[#This Row],[Code machine]],'CODE mchn'!$A$4:$C$170,2,0))</f>
        <v>Acier</v>
      </c>
      <c r="D396" s="36" t="str">
        <f>IF(ISNA(VLOOKUP(Tableau13[[#This Row],[Code machine]],'CODE mchn'!$A$4:$C$170,3,0)),"",VLOOKUP(Tableau13[[#This Row],[Code machine]],'CODE mchn'!$A$4:$C$170,3,0))</f>
        <v>Schlatter</v>
      </c>
      <c r="E396" s="105"/>
      <c r="F396" s="63"/>
      <c r="G396" s="63" t="s">
        <v>52</v>
      </c>
      <c r="H396" s="63" t="s">
        <v>761</v>
      </c>
      <c r="I396" s="63" t="s">
        <v>13</v>
      </c>
      <c r="J396" s="117" t="s">
        <v>762</v>
      </c>
      <c r="K396" s="124">
        <v>43731</v>
      </c>
      <c r="L396" s="118"/>
      <c r="M396" s="119">
        <v>4</v>
      </c>
      <c r="N396" s="120">
        <f>MONTH(Tableau13[[#This Row],[Date fin intervention]])</f>
        <v>9</v>
      </c>
      <c r="O396" s="120">
        <f>YEAR(Tableau13[[#This Row],[Date fin intervention]])</f>
        <v>2019</v>
      </c>
      <c r="P396" s="36"/>
    </row>
    <row r="397" spans="1:16">
      <c r="A397" s="115">
        <v>43731</v>
      </c>
      <c r="B397" s="116">
        <v>560</v>
      </c>
      <c r="C397" s="117" t="str">
        <f>IF(ISNA(VLOOKUP(Tableau13[[#This Row],[Code machine]],'CODE mchn'!$A$4:$C$170,2,0)),"",VLOOKUP(Tableau13[[#This Row],[Code machine]],'CODE mchn'!$A$4:$C$170,2,0))</f>
        <v>Acier</v>
      </c>
      <c r="D397" s="36" t="str">
        <f>IF(ISNA(VLOOKUP(Tableau13[[#This Row],[Code machine]],'CODE mchn'!$A$4:$C$170,3,0)),"",VLOOKUP(Tableau13[[#This Row],[Code machine]],'CODE mchn'!$A$4:$C$170,3,0))</f>
        <v>Schlatter</v>
      </c>
      <c r="E397" s="105"/>
      <c r="F397" s="63"/>
      <c r="G397" s="63" t="s">
        <v>463</v>
      </c>
      <c r="H397" s="63" t="s">
        <v>763</v>
      </c>
      <c r="I397" s="63" t="s">
        <v>107</v>
      </c>
      <c r="J397" s="117" t="s">
        <v>748</v>
      </c>
      <c r="K397" s="124">
        <v>43731</v>
      </c>
      <c r="L397" s="118"/>
      <c r="M397" s="119">
        <v>40</v>
      </c>
      <c r="N397" s="120">
        <f>MONTH(Tableau13[[#This Row],[Date fin intervention]])</f>
        <v>9</v>
      </c>
      <c r="O397" s="120">
        <f>YEAR(Tableau13[[#This Row],[Date fin intervention]])</f>
        <v>2019</v>
      </c>
      <c r="P397" s="36"/>
    </row>
    <row r="398" spans="1:16">
      <c r="A398" s="115">
        <v>43731</v>
      </c>
      <c r="B398" s="116">
        <v>700</v>
      </c>
      <c r="C398" s="117" t="str">
        <f>IF(ISNA(VLOOKUP(Tableau13[[#This Row],[Code machine]],'CODE mchn'!$A$4:$C$170,2,0)),"",VLOOKUP(Tableau13[[#This Row],[Code machine]],'CODE mchn'!$A$4:$C$170,2,0))</f>
        <v>Béton</v>
      </c>
      <c r="D398" s="36" t="str">
        <f>IF(ISNA(VLOOKUP(Tableau13[[#This Row],[Code machine]],'CODE mchn'!$A$4:$C$170,3,0)),"",VLOOKUP(Tableau13[[#This Row],[Code machine]],'CODE mchn'!$A$4:$C$170,3,0))</f>
        <v>Poyatos 1</v>
      </c>
      <c r="E398" s="105"/>
      <c r="F398" s="63"/>
      <c r="G398" s="63" t="s">
        <v>682</v>
      </c>
      <c r="H398" s="63" t="s">
        <v>837</v>
      </c>
      <c r="I398" s="63" t="s">
        <v>13</v>
      </c>
      <c r="J398" s="117" t="s">
        <v>838</v>
      </c>
      <c r="K398" s="124">
        <v>43731</v>
      </c>
      <c r="L398" s="63"/>
      <c r="M398" s="119">
        <v>45</v>
      </c>
      <c r="N398" s="120">
        <f>MONTH(Tableau13[[#This Row],[Date fin intervention]])</f>
        <v>9</v>
      </c>
      <c r="O398" s="120">
        <f>YEAR(Tableau13[[#This Row],[Date fin intervention]])</f>
        <v>2019</v>
      </c>
      <c r="P398" s="36"/>
    </row>
    <row r="399" spans="1:16">
      <c r="A399" s="115">
        <v>43731</v>
      </c>
      <c r="B399" s="116">
        <v>700</v>
      </c>
      <c r="C399" s="117" t="str">
        <f>IF(ISNA(VLOOKUP(Tableau13[[#This Row],[Code machine]],'CODE mchn'!$A$4:$C$170,2,0)),"",VLOOKUP(Tableau13[[#This Row],[Code machine]],'CODE mchn'!$A$4:$C$170,2,0))</f>
        <v>Béton</v>
      </c>
      <c r="D399" s="36" t="str">
        <f>IF(ISNA(VLOOKUP(Tableau13[[#This Row],[Code machine]],'CODE mchn'!$A$4:$C$170,3,0)),"",VLOOKUP(Tableau13[[#This Row],[Code machine]],'CODE mchn'!$A$4:$C$170,3,0))</f>
        <v>Poyatos 1</v>
      </c>
      <c r="E399" s="105"/>
      <c r="F399" s="63"/>
      <c r="G399" s="63" t="s">
        <v>291</v>
      </c>
      <c r="H399" s="63" t="s">
        <v>839</v>
      </c>
      <c r="I399" s="63" t="s">
        <v>107</v>
      </c>
      <c r="J399" s="117" t="s">
        <v>840</v>
      </c>
      <c r="K399" s="124">
        <v>43731</v>
      </c>
      <c r="L399" s="63"/>
      <c r="M399" s="119">
        <v>30</v>
      </c>
      <c r="N399" s="120">
        <f>MONTH(Tableau13[[#This Row],[Date fin intervention]])</f>
        <v>9</v>
      </c>
      <c r="O399" s="120">
        <f>YEAR(Tableau13[[#This Row],[Date fin intervention]])</f>
        <v>2019</v>
      </c>
      <c r="P399" s="36"/>
    </row>
    <row r="400" spans="1:16" ht="28.5">
      <c r="A400" s="115">
        <v>43732</v>
      </c>
      <c r="B400" s="116">
        <v>590</v>
      </c>
      <c r="C400" s="117" t="str">
        <f>IF(ISNA(VLOOKUP(Tableau13[[#This Row],[Code machine]],'CODE mchn'!$A$4:$C$170,2,0)),"",VLOOKUP(Tableau13[[#This Row],[Code machine]],'CODE mchn'!$A$4:$C$170,2,0))</f>
        <v>Acier</v>
      </c>
      <c r="D400" s="36" t="str">
        <f>IF(ISNA(VLOOKUP(Tableau13[[#This Row],[Code machine]],'CODE mchn'!$A$4:$C$170,3,0)),"",VLOOKUP(Tableau13[[#This Row],[Code machine]],'CODE mchn'!$A$4:$C$170,3,0))</f>
        <v>Teurema 3</v>
      </c>
      <c r="E400" s="105"/>
      <c r="F400" s="63"/>
      <c r="G400" s="63" t="s">
        <v>446</v>
      </c>
      <c r="H400" s="63" t="s">
        <v>775</v>
      </c>
      <c r="I400" s="63" t="s">
        <v>107</v>
      </c>
      <c r="J400" s="117" t="s">
        <v>448</v>
      </c>
      <c r="K400" s="124">
        <v>43732</v>
      </c>
      <c r="L400" s="63"/>
      <c r="M400" s="119">
        <v>45</v>
      </c>
      <c r="N400" s="120">
        <f>MONTH(Tableau13[[#This Row],[Date fin intervention]])</f>
        <v>9</v>
      </c>
      <c r="O400" s="120">
        <f>YEAR(Tableau13[[#This Row],[Date fin intervention]])</f>
        <v>2019</v>
      </c>
      <c r="P400" s="36"/>
    </row>
    <row r="401" spans="1:16" ht="42.75">
      <c r="A401" s="115">
        <v>43732</v>
      </c>
      <c r="B401" s="116">
        <v>580</v>
      </c>
      <c r="C401" s="117" t="str">
        <f>IF(ISNA(VLOOKUP(Tableau13[[#This Row],[Code machine]],'CODE mchn'!$A$4:$C$170,2,0)),"",VLOOKUP(Tableau13[[#This Row],[Code machine]],'CODE mchn'!$A$4:$C$170,2,0))</f>
        <v>Acier</v>
      </c>
      <c r="D401" s="36" t="str">
        <f>IF(ISNA(VLOOKUP(Tableau13[[#This Row],[Code machine]],'CODE mchn'!$A$4:$C$170,3,0)),"",VLOOKUP(Tableau13[[#This Row],[Code machine]],'CODE mchn'!$A$4:$C$170,3,0))</f>
        <v>Techno Impiante</v>
      </c>
      <c r="E401" s="105"/>
      <c r="F401" s="63"/>
      <c r="G401" s="63" t="s">
        <v>612</v>
      </c>
      <c r="H401" s="36" t="s">
        <v>1758</v>
      </c>
      <c r="I401" s="63" t="s">
        <v>13</v>
      </c>
      <c r="J401" s="117" t="s">
        <v>717</v>
      </c>
      <c r="K401" s="124">
        <v>43733</v>
      </c>
      <c r="L401" s="63"/>
      <c r="M401" s="119" t="s">
        <v>2259</v>
      </c>
      <c r="N401" s="120">
        <f>MONTH(Tableau13[[#This Row],[Date fin intervention]])</f>
        <v>9</v>
      </c>
      <c r="O401" s="120">
        <f>YEAR(Tableau13[[#This Row],[Date fin intervention]])</f>
        <v>2019</v>
      </c>
      <c r="P401" s="36"/>
    </row>
    <row r="402" spans="1:16" ht="42.75">
      <c r="A402" s="115">
        <v>43732</v>
      </c>
      <c r="B402" s="116">
        <v>502</v>
      </c>
      <c r="C402" s="117" t="str">
        <f>IF(ISNA(VLOOKUP(Tableau13[[#This Row],[Code machine]],'CODE mchn'!$A$4:$C$170,2,0)),"",VLOOKUP(Tableau13[[#This Row],[Code machine]],'CODE mchn'!$A$4:$C$170,2,0))</f>
        <v>Ponts roulants</v>
      </c>
      <c r="D402" s="36" t="str">
        <f>IF(ISNA(VLOOKUP(Tableau13[[#This Row],[Code machine]],'CODE mchn'!$A$4:$C$170,3,0)),"",VLOOKUP(Tableau13[[#This Row],[Code machine]],'CODE mchn'!$A$4:$C$170,3,0))</f>
        <v xml:space="preserve">PONT ROULANT Enrobage </v>
      </c>
      <c r="E402" s="105"/>
      <c r="F402" s="63"/>
      <c r="G402" s="63" t="s">
        <v>778</v>
      </c>
      <c r="H402" s="63" t="s">
        <v>779</v>
      </c>
      <c r="I402" s="63" t="s">
        <v>125</v>
      </c>
      <c r="J402" s="117" t="s">
        <v>780</v>
      </c>
      <c r="K402" s="124">
        <v>43762</v>
      </c>
      <c r="L402" s="63" t="s">
        <v>781</v>
      </c>
      <c r="M402" s="119" t="s">
        <v>2259</v>
      </c>
      <c r="N402" s="120">
        <f>MONTH(Tableau13[[#This Row],[Date fin intervention]])</f>
        <v>10</v>
      </c>
      <c r="O402" s="120">
        <f>YEAR(Tableau13[[#This Row],[Date fin intervention]])</f>
        <v>2019</v>
      </c>
      <c r="P402" s="36"/>
    </row>
    <row r="403" spans="1:16">
      <c r="A403" s="115">
        <v>43733</v>
      </c>
      <c r="B403" s="116">
        <v>901</v>
      </c>
      <c r="C403" s="117" t="str">
        <f>IF(ISNA(VLOOKUP(Tableau13[[#This Row],[Code machine]],'CODE mchn'!$A$4:$C$170,2,0)),"",VLOOKUP(Tableau13[[#This Row],[Code machine]],'CODE mchn'!$A$4:$C$170,2,0))</f>
        <v>Gestion de stock</v>
      </c>
      <c r="D403" s="36" t="str">
        <f>IF(ISNA(VLOOKUP(Tableau13[[#This Row],[Code machine]],'CODE mchn'!$A$4:$C$170,3,0)),"",VLOOKUP(Tableau13[[#This Row],[Code machine]],'CODE mchn'!$A$4:$C$170,3,0))</f>
        <v>Grue à tour 1</v>
      </c>
      <c r="E403" s="105"/>
      <c r="F403" s="63"/>
      <c r="G403" s="63" t="s">
        <v>52</v>
      </c>
      <c r="H403" s="63" t="s">
        <v>782</v>
      </c>
      <c r="I403" s="63" t="s">
        <v>13</v>
      </c>
      <c r="J403" s="117" t="s">
        <v>783</v>
      </c>
      <c r="K403" s="124">
        <v>43733</v>
      </c>
      <c r="L403" s="63"/>
      <c r="M403" s="119">
        <v>2</v>
      </c>
      <c r="N403" s="120">
        <f>MONTH(Tableau13[[#This Row],[Date fin intervention]])</f>
        <v>9</v>
      </c>
      <c r="O403" s="120">
        <f>YEAR(Tableau13[[#This Row],[Date fin intervention]])</f>
        <v>2019</v>
      </c>
      <c r="P403" s="36"/>
    </row>
    <row r="404" spans="1:16">
      <c r="A404" s="115">
        <v>43733</v>
      </c>
      <c r="B404" s="116">
        <v>700</v>
      </c>
      <c r="C404" s="117" t="str">
        <f>IF(ISNA(VLOOKUP(Tableau13[[#This Row],[Code machine]],'CODE mchn'!$A$4:$C$170,2,0)),"",VLOOKUP(Tableau13[[#This Row],[Code machine]],'CODE mchn'!$A$4:$C$170,2,0))</f>
        <v>Béton</v>
      </c>
      <c r="D404" s="36" t="str">
        <f>IF(ISNA(VLOOKUP(Tableau13[[#This Row],[Code machine]],'CODE mchn'!$A$4:$C$170,3,0)),"",VLOOKUP(Tableau13[[#This Row],[Code machine]],'CODE mchn'!$A$4:$C$170,3,0))</f>
        <v>Poyatos 1</v>
      </c>
      <c r="E404" s="105"/>
      <c r="F404" s="63"/>
      <c r="G404" s="63" t="s">
        <v>828</v>
      </c>
      <c r="H404" s="63" t="s">
        <v>841</v>
      </c>
      <c r="I404" s="63" t="s">
        <v>107</v>
      </c>
      <c r="J404" s="117" t="s">
        <v>842</v>
      </c>
      <c r="K404" s="124">
        <v>43733</v>
      </c>
      <c r="L404" s="63"/>
      <c r="M404" s="119">
        <v>2</v>
      </c>
      <c r="N404" s="120">
        <f>MONTH(Tableau13[[#This Row],[Date fin intervention]])</f>
        <v>9</v>
      </c>
      <c r="O404" s="120">
        <f>YEAR(Tableau13[[#This Row],[Date fin intervention]])</f>
        <v>2019</v>
      </c>
      <c r="P404" s="36"/>
    </row>
    <row r="405" spans="1:16">
      <c r="A405" s="115">
        <v>43735</v>
      </c>
      <c r="B405" s="116">
        <v>700</v>
      </c>
      <c r="C405" s="117" t="str">
        <f>IF(ISNA(VLOOKUP(Tableau13[[#This Row],[Code machine]],'CODE mchn'!$A$4:$C$170,2,0)),"",VLOOKUP(Tableau13[[#This Row],[Code machine]],'CODE mchn'!$A$4:$C$170,2,0))</f>
        <v>Béton</v>
      </c>
      <c r="D405" s="36" t="str">
        <f>IF(ISNA(VLOOKUP(Tableau13[[#This Row],[Code machine]],'CODE mchn'!$A$4:$C$170,3,0)),"",VLOOKUP(Tableau13[[#This Row],[Code machine]],'CODE mchn'!$A$4:$C$170,3,0))</f>
        <v>Poyatos 1</v>
      </c>
      <c r="E405" s="105"/>
      <c r="F405" s="63"/>
      <c r="G405" s="63" t="s">
        <v>675</v>
      </c>
      <c r="H405" s="63" t="s">
        <v>689</v>
      </c>
      <c r="I405" s="63" t="s">
        <v>107</v>
      </c>
      <c r="J405" s="117" t="s">
        <v>843</v>
      </c>
      <c r="K405" s="124">
        <v>43735</v>
      </c>
      <c r="L405" s="63"/>
      <c r="M405" s="127"/>
      <c r="N405" s="120">
        <f>MONTH(Tableau13[[#This Row],[Date fin intervention]])</f>
        <v>9</v>
      </c>
      <c r="O405" s="120">
        <f>YEAR(Tableau13[[#This Row],[Date fin intervention]])</f>
        <v>2019</v>
      </c>
      <c r="P405" s="36"/>
    </row>
    <row r="406" spans="1:16">
      <c r="A406" s="115">
        <v>43736</v>
      </c>
      <c r="B406" s="116">
        <v>700</v>
      </c>
      <c r="C406" s="117" t="str">
        <f>IF(ISNA(VLOOKUP(Tableau13[[#This Row],[Code machine]],'CODE mchn'!$A$4:$C$170,2,0)),"",VLOOKUP(Tableau13[[#This Row],[Code machine]],'CODE mchn'!$A$4:$C$170,2,0))</f>
        <v>Béton</v>
      </c>
      <c r="D406" s="36" t="str">
        <f>IF(ISNA(VLOOKUP(Tableau13[[#This Row],[Code machine]],'CODE mchn'!$A$4:$C$170,3,0)),"",VLOOKUP(Tableau13[[#This Row],[Code machine]],'CODE mchn'!$A$4:$C$170,3,0))</f>
        <v>Poyatos 1</v>
      </c>
      <c r="E406" s="105"/>
      <c r="F406" s="63"/>
      <c r="G406" s="63" t="s">
        <v>844</v>
      </c>
      <c r="H406" s="63" t="s">
        <v>845</v>
      </c>
      <c r="I406" s="63" t="s">
        <v>107</v>
      </c>
      <c r="J406" s="117" t="s">
        <v>846</v>
      </c>
      <c r="K406" s="124">
        <v>43736</v>
      </c>
      <c r="L406" s="63"/>
      <c r="M406" s="119">
        <v>3</v>
      </c>
      <c r="N406" s="120">
        <f>MONTH(Tableau13[[#This Row],[Date fin intervention]])</f>
        <v>9</v>
      </c>
      <c r="O406" s="120">
        <f>YEAR(Tableau13[[#This Row],[Date fin intervention]])</f>
        <v>2019</v>
      </c>
      <c r="P406" s="36"/>
    </row>
    <row r="407" spans="1:16">
      <c r="A407" s="115">
        <v>43738</v>
      </c>
      <c r="B407" s="116">
        <v>800</v>
      </c>
      <c r="C407" s="117" t="str">
        <f>IF(ISNA(VLOOKUP(Tableau13[[#This Row],[Code machine]],'CODE mchn'!$A$4:$C$170,2,0)),"",VLOOKUP(Tableau13[[#This Row],[Code machine]],'CODE mchn'!$A$4:$C$170,2,0))</f>
        <v>Béton</v>
      </c>
      <c r="D407" s="36" t="str">
        <f>IF(ISNA(VLOOKUP(Tableau13[[#This Row],[Code machine]],'CODE mchn'!$A$4:$C$170,3,0)),"",VLOOKUP(Tableau13[[#This Row],[Code machine]],'CODE mchn'!$A$4:$C$170,3,0))</f>
        <v>Poyatos 2</v>
      </c>
      <c r="E407" s="105"/>
      <c r="F407" s="63"/>
      <c r="G407" s="63" t="s">
        <v>43</v>
      </c>
      <c r="H407" s="63" t="s">
        <v>768</v>
      </c>
      <c r="I407" s="63" t="s">
        <v>107</v>
      </c>
      <c r="J407" s="117" t="s">
        <v>847</v>
      </c>
      <c r="K407" s="124">
        <v>43738</v>
      </c>
      <c r="L407" s="63"/>
      <c r="M407" s="119">
        <v>3</v>
      </c>
      <c r="N407" s="120">
        <f>MONTH(Tableau13[[#This Row],[Date fin intervention]])</f>
        <v>9</v>
      </c>
      <c r="O407" s="120">
        <f>YEAR(Tableau13[[#This Row],[Date fin intervention]])</f>
        <v>2019</v>
      </c>
      <c r="P407" s="36"/>
    </row>
    <row r="408" spans="1:16">
      <c r="A408" s="115">
        <v>43739</v>
      </c>
      <c r="B408" s="116">
        <v>700</v>
      </c>
      <c r="C408" s="117" t="str">
        <f>IF(ISNA(VLOOKUP(Tableau13[[#This Row],[Code machine]],'CODE mchn'!$A$4:$C$170,2,0)),"",VLOOKUP(Tableau13[[#This Row],[Code machine]],'CODE mchn'!$A$4:$C$170,2,0))</f>
        <v>Béton</v>
      </c>
      <c r="D408" s="36" t="str">
        <f>IF(ISNA(VLOOKUP(Tableau13[[#This Row],[Code machine]],'CODE mchn'!$A$4:$C$170,3,0)),"",VLOOKUP(Tableau13[[#This Row],[Code machine]],'CODE mchn'!$A$4:$C$170,3,0))</f>
        <v>Poyatos 1</v>
      </c>
      <c r="E408" s="105"/>
      <c r="F408" s="63"/>
      <c r="G408" s="63" t="s">
        <v>46</v>
      </c>
      <c r="H408" s="63" t="s">
        <v>848</v>
      </c>
      <c r="I408" s="63" t="s">
        <v>8</v>
      </c>
      <c r="J408" s="117" t="s">
        <v>849</v>
      </c>
      <c r="K408" s="124">
        <v>43739</v>
      </c>
      <c r="L408" s="63"/>
      <c r="M408" s="119">
        <v>45</v>
      </c>
      <c r="N408" s="120">
        <f>MONTH(Tableau13[[#This Row],[Date fin intervention]])</f>
        <v>10</v>
      </c>
      <c r="O408" s="120">
        <f>YEAR(Tableau13[[#This Row],[Date fin intervention]])</f>
        <v>2019</v>
      </c>
      <c r="P408" s="36"/>
    </row>
    <row r="409" spans="1:16">
      <c r="A409" s="115">
        <v>43739</v>
      </c>
      <c r="B409" s="116">
        <v>560</v>
      </c>
      <c r="C409" s="117" t="str">
        <f>IF(ISNA(VLOOKUP(Tableau13[[#This Row],[Code machine]],'CODE mchn'!$A$4:$C$170,2,0)),"",VLOOKUP(Tableau13[[#This Row],[Code machine]],'CODE mchn'!$A$4:$C$170,2,0))</f>
        <v>Acier</v>
      </c>
      <c r="D409" s="36" t="str">
        <f>IF(ISNA(VLOOKUP(Tableau13[[#This Row],[Code machine]],'CODE mchn'!$A$4:$C$170,3,0)),"",VLOOKUP(Tableau13[[#This Row],[Code machine]],'CODE mchn'!$A$4:$C$170,3,0))</f>
        <v>Schlatter</v>
      </c>
      <c r="E409" s="105"/>
      <c r="F409" s="63"/>
      <c r="G409" s="63" t="s">
        <v>104</v>
      </c>
      <c r="H409" s="63" t="s">
        <v>850</v>
      </c>
      <c r="I409" s="63" t="s">
        <v>13</v>
      </c>
      <c r="J409" s="117" t="s">
        <v>518</v>
      </c>
      <c r="K409" s="124">
        <v>43739</v>
      </c>
      <c r="L409" s="63"/>
      <c r="M409" s="127"/>
      <c r="N409" s="120">
        <f>MONTH(Tableau13[[#This Row],[Date fin intervention]])</f>
        <v>10</v>
      </c>
      <c r="O409" s="120">
        <f>YEAR(Tableau13[[#This Row],[Date fin intervention]])</f>
        <v>2019</v>
      </c>
      <c r="P409" s="36"/>
    </row>
    <row r="410" spans="1:16" ht="42.75">
      <c r="A410" s="115">
        <v>43739</v>
      </c>
      <c r="B410" s="116">
        <v>571</v>
      </c>
      <c r="C410" s="117" t="str">
        <f>IF(ISNA(VLOOKUP(Tableau13[[#This Row],[Code machine]],'CODE mchn'!$A$4:$C$170,2,0)),"",VLOOKUP(Tableau13[[#This Row],[Code machine]],'CODE mchn'!$A$4:$C$170,2,0))</f>
        <v>Acier</v>
      </c>
      <c r="D410" s="36" t="str">
        <f>IF(ISNA(VLOOKUP(Tableau13[[#This Row],[Code machine]],'CODE mchn'!$A$4:$C$170,3,0)),"",VLOOKUP(Tableau13[[#This Row],[Code machine]],'CODE mchn'!$A$4:$C$170,3,0))</f>
        <v>EVG PN 1</v>
      </c>
      <c r="E410" s="105"/>
      <c r="F410" s="63"/>
      <c r="G410" s="63" t="s">
        <v>20</v>
      </c>
      <c r="H410" s="63" t="s">
        <v>851</v>
      </c>
      <c r="I410" s="63" t="s">
        <v>13</v>
      </c>
      <c r="J410" s="117" t="s">
        <v>852</v>
      </c>
      <c r="K410" s="124">
        <v>43740</v>
      </c>
      <c r="L410" s="63"/>
      <c r="M410" s="119" t="s">
        <v>2259</v>
      </c>
      <c r="N410" s="120">
        <f>MONTH(Tableau13[[#This Row],[Date fin intervention]])</f>
        <v>10</v>
      </c>
      <c r="O410" s="120">
        <f>YEAR(Tableau13[[#This Row],[Date fin intervention]])</f>
        <v>2019</v>
      </c>
      <c r="P410" s="36"/>
    </row>
    <row r="411" spans="1:16">
      <c r="A411" s="115">
        <v>43739</v>
      </c>
      <c r="B411" s="116">
        <v>582</v>
      </c>
      <c r="C411" s="117" t="str">
        <f>IF(ISNA(VLOOKUP(Tableau13[[#This Row],[Code machine]],'CODE mchn'!$A$4:$C$170,2,0)),"",VLOOKUP(Tableau13[[#This Row],[Code machine]],'CODE mchn'!$A$4:$C$170,2,0))</f>
        <v>Acier</v>
      </c>
      <c r="D411" s="36" t="str">
        <f>IF(ISNA(VLOOKUP(Tableau13[[#This Row],[Code machine]],'CODE mchn'!$A$4:$C$170,3,0)),"",VLOOKUP(Tableau13[[#This Row],[Code machine]],'CODE mchn'!$A$4:$C$170,3,0))</f>
        <v>Teurema 2</v>
      </c>
      <c r="E411" s="105"/>
      <c r="F411" s="63"/>
      <c r="G411" s="63" t="s">
        <v>564</v>
      </c>
      <c r="H411" s="63" t="s">
        <v>853</v>
      </c>
      <c r="I411" s="63" t="s">
        <v>13</v>
      </c>
      <c r="J411" s="117" t="s">
        <v>671</v>
      </c>
      <c r="K411" s="124">
        <v>43739</v>
      </c>
      <c r="L411" s="63"/>
      <c r="M411" s="127"/>
      <c r="N411" s="120">
        <f>MONTH(Tableau13[[#This Row],[Date fin intervention]])</f>
        <v>10</v>
      </c>
      <c r="O411" s="120">
        <f>YEAR(Tableau13[[#This Row],[Date fin intervention]])</f>
        <v>2019</v>
      </c>
      <c r="P411" s="36"/>
    </row>
    <row r="412" spans="1:16">
      <c r="A412" s="115">
        <v>43739</v>
      </c>
      <c r="B412" s="116">
        <v>582</v>
      </c>
      <c r="C412" s="117" t="str">
        <f>IF(ISNA(VLOOKUP(Tableau13[[#This Row],[Code machine]],'CODE mchn'!$A$4:$C$170,2,0)),"",VLOOKUP(Tableau13[[#This Row],[Code machine]],'CODE mchn'!$A$4:$C$170,2,0))</f>
        <v>Acier</v>
      </c>
      <c r="D412" s="36" t="str">
        <f>IF(ISNA(VLOOKUP(Tableau13[[#This Row],[Code machine]],'CODE mchn'!$A$4:$C$170,3,0)),"",VLOOKUP(Tableau13[[#This Row],[Code machine]],'CODE mchn'!$A$4:$C$170,3,0))</f>
        <v>Teurema 2</v>
      </c>
      <c r="E412" s="105"/>
      <c r="F412" s="63"/>
      <c r="G412" s="63" t="s">
        <v>15</v>
      </c>
      <c r="H412" s="63" t="s">
        <v>854</v>
      </c>
      <c r="I412" s="63" t="s">
        <v>13</v>
      </c>
      <c r="J412" s="117" t="s">
        <v>599</v>
      </c>
      <c r="K412" s="124">
        <v>43739</v>
      </c>
      <c r="L412" s="63"/>
      <c r="M412" s="119">
        <v>2</v>
      </c>
      <c r="N412" s="120">
        <f>MONTH(Tableau13[[#This Row],[Date fin intervention]])</f>
        <v>10</v>
      </c>
      <c r="O412" s="120">
        <f>YEAR(Tableau13[[#This Row],[Date fin intervention]])</f>
        <v>2019</v>
      </c>
      <c r="P412" s="36"/>
    </row>
    <row r="413" spans="1:16">
      <c r="A413" s="115">
        <v>43740</v>
      </c>
      <c r="B413" s="116">
        <v>606</v>
      </c>
      <c r="C413" s="117" t="str">
        <f>IF(ISNA(VLOOKUP(Tableau13[[#This Row],[Code machine]],'CODE mchn'!$A$4:$C$170,2,0)),"",VLOOKUP(Tableau13[[#This Row],[Code machine]],'CODE mchn'!$A$4:$C$170,2,0))</f>
        <v>Acier</v>
      </c>
      <c r="D413" s="36" t="str">
        <f>IF(ISNA(VLOOKUP(Tableau13[[#This Row],[Code machine]],'CODE mchn'!$A$4:$C$170,3,0)),"",VLOOKUP(Tableau13[[#This Row],[Code machine]],'CODE mchn'!$A$4:$C$170,3,0))</f>
        <v>Vitari 2</v>
      </c>
      <c r="E413" s="105"/>
      <c r="F413" s="63"/>
      <c r="G413" s="63" t="s">
        <v>10</v>
      </c>
      <c r="H413" s="63" t="s">
        <v>855</v>
      </c>
      <c r="I413" s="63" t="s">
        <v>13</v>
      </c>
      <c r="J413" s="117" t="s">
        <v>856</v>
      </c>
      <c r="K413" s="124">
        <v>43740</v>
      </c>
      <c r="L413" s="63"/>
      <c r="M413" s="119">
        <v>45</v>
      </c>
      <c r="N413" s="120">
        <f>MONTH(Tableau13[[#This Row],[Date fin intervention]])</f>
        <v>10</v>
      </c>
      <c r="O413" s="120">
        <f>YEAR(Tableau13[[#This Row],[Date fin intervention]])</f>
        <v>2019</v>
      </c>
      <c r="P413" s="36"/>
    </row>
    <row r="414" spans="1:16">
      <c r="A414" s="115">
        <v>43740</v>
      </c>
      <c r="B414" s="116">
        <v>580</v>
      </c>
      <c r="C414" s="117" t="str">
        <f>IF(ISNA(VLOOKUP(Tableau13[[#This Row],[Code machine]],'CODE mchn'!$A$4:$C$170,2,0)),"",VLOOKUP(Tableau13[[#This Row],[Code machine]],'CODE mchn'!$A$4:$C$170,2,0))</f>
        <v>Acier</v>
      </c>
      <c r="D414" s="36" t="str">
        <f>IF(ISNA(VLOOKUP(Tableau13[[#This Row],[Code machine]],'CODE mchn'!$A$4:$C$170,3,0)),"",VLOOKUP(Tableau13[[#This Row],[Code machine]],'CODE mchn'!$A$4:$C$170,3,0))</f>
        <v>Techno Impiante</v>
      </c>
      <c r="E414" s="105"/>
      <c r="F414" s="63"/>
      <c r="G414" s="63" t="s">
        <v>49</v>
      </c>
      <c r="H414" s="63" t="s">
        <v>776</v>
      </c>
      <c r="I414" s="63" t="s">
        <v>13</v>
      </c>
      <c r="J414" s="117" t="s">
        <v>857</v>
      </c>
      <c r="K414" s="124">
        <v>43740</v>
      </c>
      <c r="L414" s="63"/>
      <c r="M414" s="127"/>
      <c r="N414" s="120">
        <f>MONTH(Tableau13[[#This Row],[Date fin intervention]])</f>
        <v>10</v>
      </c>
      <c r="O414" s="120">
        <f>YEAR(Tableau13[[#This Row],[Date fin intervention]])</f>
        <v>2019</v>
      </c>
      <c r="P414" s="36"/>
    </row>
    <row r="415" spans="1:16">
      <c r="A415" s="115">
        <v>43740</v>
      </c>
      <c r="B415" s="116">
        <v>560</v>
      </c>
      <c r="C415" s="117" t="str">
        <f>IF(ISNA(VLOOKUP(Tableau13[[#This Row],[Code machine]],'CODE mchn'!$A$4:$C$170,2,0)),"",VLOOKUP(Tableau13[[#This Row],[Code machine]],'CODE mchn'!$A$4:$C$170,2,0))</f>
        <v>Acier</v>
      </c>
      <c r="D415" s="36" t="str">
        <f>IF(ISNA(VLOOKUP(Tableau13[[#This Row],[Code machine]],'CODE mchn'!$A$4:$C$170,3,0)),"",VLOOKUP(Tableau13[[#This Row],[Code machine]],'CODE mchn'!$A$4:$C$170,3,0))</f>
        <v>Schlatter</v>
      </c>
      <c r="E415" s="105"/>
      <c r="F415" s="63"/>
      <c r="G415" s="63" t="s">
        <v>78</v>
      </c>
      <c r="H415" s="63" t="s">
        <v>858</v>
      </c>
      <c r="I415" s="63" t="s">
        <v>13</v>
      </c>
      <c r="J415" s="117" t="s">
        <v>859</v>
      </c>
      <c r="K415" s="124">
        <v>43740</v>
      </c>
      <c r="L415" s="63"/>
      <c r="M415" s="119">
        <v>2</v>
      </c>
      <c r="N415" s="120">
        <f>MONTH(Tableau13[[#This Row],[Date fin intervention]])</f>
        <v>10</v>
      </c>
      <c r="O415" s="120">
        <f>YEAR(Tableau13[[#This Row],[Date fin intervention]])</f>
        <v>2019</v>
      </c>
      <c r="P415" s="36"/>
    </row>
    <row r="416" spans="1:16">
      <c r="A416" s="115">
        <v>43741</v>
      </c>
      <c r="B416" s="116">
        <v>590</v>
      </c>
      <c r="C416" s="117" t="str">
        <f>IF(ISNA(VLOOKUP(Tableau13[[#This Row],[Code machine]],'CODE mchn'!$A$4:$C$170,2,0)),"",VLOOKUP(Tableau13[[#This Row],[Code machine]],'CODE mchn'!$A$4:$C$170,2,0))</f>
        <v>Acier</v>
      </c>
      <c r="D416" s="36" t="str">
        <f>IF(ISNA(VLOOKUP(Tableau13[[#This Row],[Code machine]],'CODE mchn'!$A$4:$C$170,3,0)),"",VLOOKUP(Tableau13[[#This Row],[Code machine]],'CODE mchn'!$A$4:$C$170,3,0))</f>
        <v>Teurema 3</v>
      </c>
      <c r="E416" s="105"/>
      <c r="F416" s="63"/>
      <c r="G416" s="63" t="s">
        <v>643</v>
      </c>
      <c r="H416" s="63" t="s">
        <v>449</v>
      </c>
      <c r="I416" s="63" t="s">
        <v>13</v>
      </c>
      <c r="J416" s="117" t="s">
        <v>860</v>
      </c>
      <c r="K416" s="124">
        <v>43741</v>
      </c>
      <c r="L416" s="63"/>
      <c r="M416" s="119">
        <v>45</v>
      </c>
      <c r="N416" s="120">
        <f>MONTH(Tableau13[[#This Row],[Date fin intervention]])</f>
        <v>10</v>
      </c>
      <c r="O416" s="120">
        <f>YEAR(Tableau13[[#This Row],[Date fin intervention]])</f>
        <v>2019</v>
      </c>
      <c r="P416" s="36"/>
    </row>
    <row r="417" spans="1:16">
      <c r="A417" s="115">
        <v>43741</v>
      </c>
      <c r="B417" s="116">
        <v>582</v>
      </c>
      <c r="C417" s="117" t="str">
        <f>IF(ISNA(VLOOKUP(Tableau13[[#This Row],[Code machine]],'CODE mchn'!$A$4:$C$170,2,0)),"",VLOOKUP(Tableau13[[#This Row],[Code machine]],'CODE mchn'!$A$4:$C$170,2,0))</f>
        <v>Acier</v>
      </c>
      <c r="D417" s="36" t="str">
        <f>IF(ISNA(VLOOKUP(Tableau13[[#This Row],[Code machine]],'CODE mchn'!$A$4:$C$170,3,0)),"",VLOOKUP(Tableau13[[#This Row],[Code machine]],'CODE mchn'!$A$4:$C$170,3,0))</f>
        <v>Teurema 2</v>
      </c>
      <c r="E417" s="105"/>
      <c r="F417" s="63"/>
      <c r="G417" s="63" t="s">
        <v>531</v>
      </c>
      <c r="H417" s="63" t="s">
        <v>861</v>
      </c>
      <c r="I417" s="63" t="s">
        <v>13</v>
      </c>
      <c r="J417" s="117" t="s">
        <v>862</v>
      </c>
      <c r="K417" s="124">
        <v>43741</v>
      </c>
      <c r="L417" s="63"/>
      <c r="M417" s="119">
        <v>45</v>
      </c>
      <c r="N417" s="120">
        <f>MONTH(Tableau13[[#This Row],[Date fin intervention]])</f>
        <v>10</v>
      </c>
      <c r="O417" s="120">
        <f>YEAR(Tableau13[[#This Row],[Date fin intervention]])</f>
        <v>2019</v>
      </c>
      <c r="P417" s="36"/>
    </row>
    <row r="418" spans="1:16">
      <c r="A418" s="115">
        <v>43741</v>
      </c>
      <c r="B418" s="116">
        <v>590</v>
      </c>
      <c r="C418" s="117" t="str">
        <f>IF(ISNA(VLOOKUP(Tableau13[[#This Row],[Code machine]],'CODE mchn'!$A$4:$C$170,2,0)),"",VLOOKUP(Tableau13[[#This Row],[Code machine]],'CODE mchn'!$A$4:$C$170,2,0))</f>
        <v>Acier</v>
      </c>
      <c r="D418" s="36" t="str">
        <f>IF(ISNA(VLOOKUP(Tableau13[[#This Row],[Code machine]],'CODE mchn'!$A$4:$C$170,3,0)),"",VLOOKUP(Tableau13[[#This Row],[Code machine]],'CODE mchn'!$A$4:$C$170,3,0))</f>
        <v>Teurema 3</v>
      </c>
      <c r="E418" s="105"/>
      <c r="F418" s="63"/>
      <c r="G418" s="63" t="s">
        <v>864</v>
      </c>
      <c r="H418" s="63" t="s">
        <v>449</v>
      </c>
      <c r="I418" s="63" t="s">
        <v>13</v>
      </c>
      <c r="J418" s="117" t="s">
        <v>865</v>
      </c>
      <c r="K418" s="124">
        <v>43741</v>
      </c>
      <c r="L418" s="63"/>
      <c r="M418" s="127"/>
      <c r="N418" s="120">
        <f>MONTH(Tableau13[[#This Row],[Date fin intervention]])</f>
        <v>10</v>
      </c>
      <c r="O418" s="120">
        <f>YEAR(Tableau13[[#This Row],[Date fin intervention]])</f>
        <v>2019</v>
      </c>
      <c r="P418" s="36"/>
    </row>
    <row r="419" spans="1:16">
      <c r="A419" s="115">
        <v>43742</v>
      </c>
      <c r="B419" s="116">
        <v>573</v>
      </c>
      <c r="C419" s="117" t="str">
        <f>IF(ISNA(VLOOKUP(Tableau13[[#This Row],[Code machine]],'CODE mchn'!$A$4:$C$170,2,0)),"",VLOOKUP(Tableau13[[#This Row],[Code machine]],'CODE mchn'!$A$4:$C$170,2,0))</f>
        <v>Ponts roulants</v>
      </c>
      <c r="D419" s="36" t="str">
        <f>IF(ISNA(VLOOKUP(Tableau13[[#This Row],[Code machine]],'CODE mchn'!$A$4:$C$170,3,0)),"",VLOOKUP(Tableau13[[#This Row],[Code machine]],'CODE mchn'!$A$4:$C$170,3,0))</f>
        <v xml:space="preserve">Pont roulant Demag 1 3,5T </v>
      </c>
      <c r="E419" s="105"/>
      <c r="F419" s="63"/>
      <c r="G419" s="63" t="s">
        <v>52</v>
      </c>
      <c r="H419" s="63" t="s">
        <v>863</v>
      </c>
      <c r="I419" s="63" t="s">
        <v>13</v>
      </c>
      <c r="J419" s="117" t="s">
        <v>164</v>
      </c>
      <c r="K419" s="124">
        <v>43742</v>
      </c>
      <c r="L419" s="63"/>
      <c r="M419" s="127"/>
      <c r="N419" s="120">
        <f>MONTH(Tableau13[[#This Row],[Date fin intervention]])</f>
        <v>10</v>
      </c>
      <c r="O419" s="120">
        <f>YEAR(Tableau13[[#This Row],[Date fin intervention]])</f>
        <v>2019</v>
      </c>
      <c r="P419" s="36"/>
    </row>
    <row r="420" spans="1:16" ht="28.5">
      <c r="A420" s="115">
        <v>43742</v>
      </c>
      <c r="B420" s="116">
        <v>583</v>
      </c>
      <c r="C420" s="117" t="str">
        <f>IF(ISNA(VLOOKUP(Tableau13[[#This Row],[Code machine]],'CODE mchn'!$A$4:$C$170,2,0)),"",VLOOKUP(Tableau13[[#This Row],[Code machine]],'CODE mchn'!$A$4:$C$170,2,0))</f>
        <v>Ponts roulants</v>
      </c>
      <c r="D420" s="36" t="str">
        <f>IF(ISNA(VLOOKUP(Tableau13[[#This Row],[Code machine]],'CODE mchn'!$A$4:$C$170,3,0)),"",VLOOKUP(Tableau13[[#This Row],[Code machine]],'CODE mchn'!$A$4:$C$170,3,0))</f>
        <v>Pont roulant Abus 5T (teurema1)</v>
      </c>
      <c r="E420" s="105"/>
      <c r="F420" s="63"/>
      <c r="G420" s="63" t="s">
        <v>667</v>
      </c>
      <c r="H420" s="63" t="s">
        <v>866</v>
      </c>
      <c r="I420" s="63" t="s">
        <v>13</v>
      </c>
      <c r="J420" s="117" t="s">
        <v>867</v>
      </c>
      <c r="K420" s="124">
        <v>43742</v>
      </c>
      <c r="L420" s="63"/>
      <c r="M420" s="119">
        <v>3</v>
      </c>
      <c r="N420" s="120">
        <f>MONTH(Tableau13[[#This Row],[Date fin intervention]])</f>
        <v>10</v>
      </c>
      <c r="O420" s="120">
        <f>YEAR(Tableau13[[#This Row],[Date fin intervention]])</f>
        <v>2019</v>
      </c>
      <c r="P420" s="36"/>
    </row>
    <row r="421" spans="1:16" ht="28.5">
      <c r="A421" s="115">
        <v>43742</v>
      </c>
      <c r="B421" s="116">
        <v>584</v>
      </c>
      <c r="C421" s="117" t="str">
        <f>IF(ISNA(VLOOKUP(Tableau13[[#This Row],[Code machine]],'CODE mchn'!$A$4:$C$170,2,0)),"",VLOOKUP(Tableau13[[#This Row],[Code machine]],'CODE mchn'!$A$4:$C$170,2,0))</f>
        <v>Ponts roulants</v>
      </c>
      <c r="D421" s="36" t="str">
        <f>IF(ISNA(VLOOKUP(Tableau13[[#This Row],[Code machine]],'CODE mchn'!$A$4:$C$170,3,0)),"",VLOOKUP(Tableau13[[#This Row],[Code machine]],'CODE mchn'!$A$4:$C$170,3,0))</f>
        <v>Pont roulant Demag 3,2T (teurema2)</v>
      </c>
      <c r="E421" s="105"/>
      <c r="F421" s="63"/>
      <c r="G421" s="63" t="s">
        <v>778</v>
      </c>
      <c r="H421" s="63" t="s">
        <v>767</v>
      </c>
      <c r="I421" s="63" t="s">
        <v>13</v>
      </c>
      <c r="J421" s="117" t="s">
        <v>868</v>
      </c>
      <c r="K421" s="124">
        <v>43742</v>
      </c>
      <c r="L421" s="63"/>
      <c r="M421" s="127"/>
      <c r="N421" s="120">
        <f>MONTH(Tableau13[[#This Row],[Date fin intervention]])</f>
        <v>10</v>
      </c>
      <c r="O421" s="120">
        <f>YEAR(Tableau13[[#This Row],[Date fin intervention]])</f>
        <v>2019</v>
      </c>
      <c r="P421" s="36"/>
    </row>
    <row r="422" spans="1:16">
      <c r="A422" s="115">
        <v>43742</v>
      </c>
      <c r="B422" s="116">
        <v>800</v>
      </c>
      <c r="C422" s="117" t="str">
        <f>IF(ISNA(VLOOKUP(Tableau13[[#This Row],[Code machine]],'CODE mchn'!$A$4:$C$170,2,0)),"",VLOOKUP(Tableau13[[#This Row],[Code machine]],'CODE mchn'!$A$4:$C$170,2,0))</f>
        <v>Béton</v>
      </c>
      <c r="D422" s="36" t="str">
        <f>IF(ISNA(VLOOKUP(Tableau13[[#This Row],[Code machine]],'CODE mchn'!$A$4:$C$170,3,0)),"",VLOOKUP(Tableau13[[#This Row],[Code machine]],'CODE mchn'!$A$4:$C$170,3,0))</f>
        <v>Poyatos 2</v>
      </c>
      <c r="E422" s="105"/>
      <c r="F422" s="63"/>
      <c r="G422" s="63" t="s">
        <v>291</v>
      </c>
      <c r="H422" s="63" t="s">
        <v>876</v>
      </c>
      <c r="I422" s="63" t="s">
        <v>13</v>
      </c>
      <c r="J422" s="117" t="s">
        <v>877</v>
      </c>
      <c r="K422" s="124">
        <v>43742</v>
      </c>
      <c r="L422" s="63"/>
      <c r="M422" s="127"/>
      <c r="N422" s="120">
        <f>MONTH(Tableau13[[#This Row],[Date fin intervention]])</f>
        <v>10</v>
      </c>
      <c r="O422" s="120">
        <f>YEAR(Tableau13[[#This Row],[Date fin intervention]])</f>
        <v>2019</v>
      </c>
      <c r="P422" s="36"/>
    </row>
    <row r="423" spans="1:16">
      <c r="A423" s="115">
        <v>43743</v>
      </c>
      <c r="B423" s="116">
        <v>700</v>
      </c>
      <c r="C423" s="117" t="str">
        <f>IF(ISNA(VLOOKUP(Tableau13[[#This Row],[Code machine]],'CODE mchn'!$A$4:$C$170,2,0)),"",VLOOKUP(Tableau13[[#This Row],[Code machine]],'CODE mchn'!$A$4:$C$170,2,0))</f>
        <v>Béton</v>
      </c>
      <c r="D423" s="36" t="str">
        <f>IF(ISNA(VLOOKUP(Tableau13[[#This Row],[Code machine]],'CODE mchn'!$A$4:$C$170,3,0)),"",VLOOKUP(Tableau13[[#This Row],[Code machine]],'CODE mchn'!$A$4:$C$170,3,0))</f>
        <v>Poyatos 1</v>
      </c>
      <c r="E423" s="105"/>
      <c r="F423" s="63"/>
      <c r="G423" s="63" t="s">
        <v>213</v>
      </c>
      <c r="H423" s="63" t="s">
        <v>449</v>
      </c>
      <c r="I423" s="63" t="s">
        <v>13</v>
      </c>
      <c r="J423" s="117" t="s">
        <v>874</v>
      </c>
      <c r="K423" s="124">
        <v>43743</v>
      </c>
      <c r="L423" s="63"/>
      <c r="M423" s="121"/>
      <c r="N423" s="120">
        <f>MONTH(Tableau13[[#This Row],[Date fin intervention]])</f>
        <v>10</v>
      </c>
      <c r="O423" s="120">
        <f>YEAR(Tableau13[[#This Row],[Date fin intervention]])</f>
        <v>2019</v>
      </c>
      <c r="P423" s="36"/>
    </row>
    <row r="424" spans="1:16">
      <c r="A424" s="115">
        <v>43745</v>
      </c>
      <c r="B424" s="116">
        <v>560</v>
      </c>
      <c r="C424" s="117" t="str">
        <f>IF(ISNA(VLOOKUP(Tableau13[[#This Row],[Code machine]],'CODE mchn'!$A$4:$C$170,2,0)),"",VLOOKUP(Tableau13[[#This Row],[Code machine]],'CODE mchn'!$A$4:$C$170,2,0))</f>
        <v>Acier</v>
      </c>
      <c r="D424" s="36" t="str">
        <f>IF(ISNA(VLOOKUP(Tableau13[[#This Row],[Code machine]],'CODE mchn'!$A$4:$C$170,3,0)),"",VLOOKUP(Tableau13[[#This Row],[Code machine]],'CODE mchn'!$A$4:$C$170,3,0))</f>
        <v>Schlatter</v>
      </c>
      <c r="E424" s="105"/>
      <c r="F424" s="63"/>
      <c r="G424" s="63" t="s">
        <v>104</v>
      </c>
      <c r="H424" s="63" t="s">
        <v>850</v>
      </c>
      <c r="I424" s="63" t="s">
        <v>13</v>
      </c>
      <c r="J424" s="117" t="s">
        <v>748</v>
      </c>
      <c r="K424" s="124">
        <v>43745</v>
      </c>
      <c r="L424" s="63"/>
      <c r="M424" s="127"/>
      <c r="N424" s="120">
        <f>MONTH(Tableau13[[#This Row],[Date fin intervention]])</f>
        <v>10</v>
      </c>
      <c r="O424" s="120">
        <f>YEAR(Tableau13[[#This Row],[Date fin intervention]])</f>
        <v>2019</v>
      </c>
      <c r="P424" s="36"/>
    </row>
    <row r="425" spans="1:16">
      <c r="A425" s="115">
        <v>43746</v>
      </c>
      <c r="B425" s="116">
        <v>700</v>
      </c>
      <c r="C425" s="117" t="str">
        <f>IF(ISNA(VLOOKUP(Tableau13[[#This Row],[Code machine]],'CODE mchn'!$A$4:$C$170,2,0)),"",VLOOKUP(Tableau13[[#This Row],[Code machine]],'CODE mchn'!$A$4:$C$170,2,0))</f>
        <v>Béton</v>
      </c>
      <c r="D425" s="36" t="str">
        <f>IF(ISNA(VLOOKUP(Tableau13[[#This Row],[Code machine]],'CODE mchn'!$A$4:$C$170,3,0)),"",VLOOKUP(Tableau13[[#This Row],[Code machine]],'CODE mchn'!$A$4:$C$170,3,0))</f>
        <v>Poyatos 1</v>
      </c>
      <c r="E425" s="105"/>
      <c r="F425" s="63"/>
      <c r="G425" s="63" t="s">
        <v>185</v>
      </c>
      <c r="H425" s="63" t="s">
        <v>875</v>
      </c>
      <c r="I425" s="63" t="s">
        <v>13</v>
      </c>
      <c r="J425" s="117" t="s">
        <v>655</v>
      </c>
      <c r="K425" s="124">
        <v>43746</v>
      </c>
      <c r="L425" s="63"/>
      <c r="M425" s="119">
        <v>45</v>
      </c>
      <c r="N425" s="120">
        <f>MONTH(Tableau13[[#This Row],[Date fin intervention]])</f>
        <v>10</v>
      </c>
      <c r="O425" s="120">
        <f>YEAR(Tableau13[[#This Row],[Date fin intervention]])</f>
        <v>2019</v>
      </c>
      <c r="P425" s="36"/>
    </row>
    <row r="426" spans="1:16">
      <c r="A426" s="115">
        <v>43747</v>
      </c>
      <c r="B426" s="116">
        <v>700</v>
      </c>
      <c r="C426" s="117" t="str">
        <f>IF(ISNA(VLOOKUP(Tableau13[[#This Row],[Code machine]],'CODE mchn'!$A$4:$C$170,2,0)),"",VLOOKUP(Tableau13[[#This Row],[Code machine]],'CODE mchn'!$A$4:$C$170,2,0))</f>
        <v>Béton</v>
      </c>
      <c r="D426" s="36" t="str">
        <f>IF(ISNA(VLOOKUP(Tableau13[[#This Row],[Code machine]],'CODE mchn'!$A$4:$C$170,3,0)),"",VLOOKUP(Tableau13[[#This Row],[Code machine]],'CODE mchn'!$A$4:$C$170,3,0))</f>
        <v>Poyatos 1</v>
      </c>
      <c r="E426" s="105"/>
      <c r="F426" s="63"/>
      <c r="G426" s="63" t="s">
        <v>20</v>
      </c>
      <c r="H426" s="63" t="s">
        <v>872</v>
      </c>
      <c r="I426" s="63" t="s">
        <v>13</v>
      </c>
      <c r="J426" s="117" t="s">
        <v>873</v>
      </c>
      <c r="K426" s="124">
        <v>43747</v>
      </c>
      <c r="L426" s="63"/>
      <c r="M426" s="121"/>
      <c r="N426" s="120">
        <f>MONTH(Tableau13[[#This Row],[Date fin intervention]])</f>
        <v>10</v>
      </c>
      <c r="O426" s="120">
        <f>YEAR(Tableau13[[#This Row],[Date fin intervention]])</f>
        <v>2019</v>
      </c>
      <c r="P426" s="36"/>
    </row>
    <row r="427" spans="1:16">
      <c r="A427" s="115">
        <v>43747</v>
      </c>
      <c r="B427" s="116">
        <v>700</v>
      </c>
      <c r="C427" s="117" t="str">
        <f>IF(ISNA(VLOOKUP(Tableau13[[#This Row],[Code machine]],'CODE mchn'!$A$4:$C$170,2,0)),"",VLOOKUP(Tableau13[[#This Row],[Code machine]],'CODE mchn'!$A$4:$C$170,2,0))</f>
        <v>Béton</v>
      </c>
      <c r="D427" s="36" t="str">
        <f>IF(ISNA(VLOOKUP(Tableau13[[#This Row],[Code machine]],'CODE mchn'!$A$4:$C$170,3,0)),"",VLOOKUP(Tableau13[[#This Row],[Code machine]],'CODE mchn'!$A$4:$C$170,3,0))</f>
        <v>Poyatos 1</v>
      </c>
      <c r="E427" s="105"/>
      <c r="F427" s="63"/>
      <c r="G427" s="63" t="s">
        <v>884</v>
      </c>
      <c r="H427" s="63" t="s">
        <v>885</v>
      </c>
      <c r="I427" s="63" t="s">
        <v>13</v>
      </c>
      <c r="J427" s="117" t="s">
        <v>693</v>
      </c>
      <c r="K427" s="124">
        <v>43747</v>
      </c>
      <c r="L427" s="63"/>
      <c r="M427" s="119">
        <v>45</v>
      </c>
      <c r="N427" s="120">
        <f>MONTH(Tableau13[[#This Row],[Date fin intervention]])</f>
        <v>10</v>
      </c>
      <c r="O427" s="120">
        <f>YEAR(Tableau13[[#This Row],[Date fin intervention]])</f>
        <v>2019</v>
      </c>
      <c r="P427" s="36"/>
    </row>
    <row r="428" spans="1:16">
      <c r="A428" s="115">
        <v>43748</v>
      </c>
      <c r="B428" s="116">
        <v>560</v>
      </c>
      <c r="C428" s="117" t="str">
        <f>IF(ISNA(VLOOKUP(Tableau13[[#This Row],[Code machine]],'CODE mchn'!$A$4:$C$170,2,0)),"",VLOOKUP(Tableau13[[#This Row],[Code machine]],'CODE mchn'!$A$4:$C$170,2,0))</f>
        <v>Acier</v>
      </c>
      <c r="D428" s="36" t="str">
        <f>IF(ISNA(VLOOKUP(Tableau13[[#This Row],[Code machine]],'CODE mchn'!$A$4:$C$170,3,0)),"",VLOOKUP(Tableau13[[#This Row],[Code machine]],'CODE mchn'!$A$4:$C$170,3,0))</f>
        <v>Schlatter</v>
      </c>
      <c r="E428" s="105"/>
      <c r="F428" s="63"/>
      <c r="G428" s="63" t="s">
        <v>10</v>
      </c>
      <c r="H428" s="63" t="s">
        <v>878</v>
      </c>
      <c r="I428" s="63" t="s">
        <v>13</v>
      </c>
      <c r="J428" s="117" t="s">
        <v>879</v>
      </c>
      <c r="K428" s="124">
        <v>43748</v>
      </c>
      <c r="L428" s="63"/>
      <c r="M428" s="127"/>
      <c r="N428" s="120">
        <f>MONTH(Tableau13[[#This Row],[Date fin intervention]])</f>
        <v>10</v>
      </c>
      <c r="O428" s="120">
        <f>YEAR(Tableau13[[#This Row],[Date fin intervention]])</f>
        <v>2019</v>
      </c>
      <c r="P428" s="36"/>
    </row>
    <row r="429" spans="1:16">
      <c r="A429" s="115">
        <v>43750</v>
      </c>
      <c r="B429" s="116">
        <v>565</v>
      </c>
      <c r="C429" s="117" t="str">
        <f>IF(ISNA(VLOOKUP(Tableau13[[#This Row],[Code machine]],'CODE mchn'!$A$4:$C$170,2,0)),"",VLOOKUP(Tableau13[[#This Row],[Code machine]],'CODE mchn'!$A$4:$C$170,2,0))</f>
        <v>Acier</v>
      </c>
      <c r="D429" s="36" t="str">
        <f>IF(ISNA(VLOOKUP(Tableau13[[#This Row],[Code machine]],'CODE mchn'!$A$4:$C$170,3,0)),"",VLOOKUP(Tableau13[[#This Row],[Code machine]],'CODE mchn'!$A$4:$C$170,3,0))</f>
        <v>EVG GE12</v>
      </c>
      <c r="E429" s="105"/>
      <c r="F429" s="63"/>
      <c r="G429" s="63" t="s">
        <v>869</v>
      </c>
      <c r="H429" s="63" t="s">
        <v>870</v>
      </c>
      <c r="I429" s="63" t="s">
        <v>8</v>
      </c>
      <c r="J429" s="117" t="s">
        <v>871</v>
      </c>
      <c r="K429" s="124">
        <v>43750</v>
      </c>
      <c r="L429" s="63"/>
      <c r="M429" s="127"/>
      <c r="N429" s="120">
        <f>MONTH(Tableau13[[#This Row],[Date fin intervention]])</f>
        <v>10</v>
      </c>
      <c r="O429" s="120">
        <f>YEAR(Tableau13[[#This Row],[Date fin intervention]])</f>
        <v>2019</v>
      </c>
      <c r="P429" s="36"/>
    </row>
    <row r="430" spans="1:16">
      <c r="A430" s="115">
        <v>43750</v>
      </c>
      <c r="B430" s="116">
        <v>700</v>
      </c>
      <c r="C430" s="117" t="str">
        <f>IF(ISNA(VLOOKUP(Tableau13[[#This Row],[Code machine]],'CODE mchn'!$A$4:$C$170,2,0)),"",VLOOKUP(Tableau13[[#This Row],[Code machine]],'CODE mchn'!$A$4:$C$170,2,0))</f>
        <v>Béton</v>
      </c>
      <c r="D430" s="36" t="str">
        <f>IF(ISNA(VLOOKUP(Tableau13[[#This Row],[Code machine]],'CODE mchn'!$A$4:$C$170,3,0)),"",VLOOKUP(Tableau13[[#This Row],[Code machine]],'CODE mchn'!$A$4:$C$170,3,0))</f>
        <v>Poyatos 1</v>
      </c>
      <c r="E430" s="105"/>
      <c r="F430" s="63"/>
      <c r="G430" s="63" t="s">
        <v>394</v>
      </c>
      <c r="H430" s="63" t="s">
        <v>886</v>
      </c>
      <c r="I430" s="63" t="s">
        <v>13</v>
      </c>
      <c r="J430" s="117" t="s">
        <v>887</v>
      </c>
      <c r="K430" s="124">
        <v>43750</v>
      </c>
      <c r="L430" s="63"/>
      <c r="M430" s="127"/>
      <c r="N430" s="120">
        <f>MONTH(Tableau13[[#This Row],[Date fin intervention]])</f>
        <v>10</v>
      </c>
      <c r="O430" s="120">
        <f>YEAR(Tableau13[[#This Row],[Date fin intervention]])</f>
        <v>2019</v>
      </c>
      <c r="P430" s="36"/>
    </row>
    <row r="431" spans="1:16">
      <c r="A431" s="115">
        <v>43753</v>
      </c>
      <c r="B431" s="116">
        <v>590</v>
      </c>
      <c r="C431" s="117" t="str">
        <f>IF(ISNA(VLOOKUP(Tableau13[[#This Row],[Code machine]],'CODE mchn'!$A$4:$C$170,2,0)),"",VLOOKUP(Tableau13[[#This Row],[Code machine]],'CODE mchn'!$A$4:$C$170,2,0))</f>
        <v>Acier</v>
      </c>
      <c r="D431" s="36" t="str">
        <f>IF(ISNA(VLOOKUP(Tableau13[[#This Row],[Code machine]],'CODE mchn'!$A$4:$C$170,3,0)),"",VLOOKUP(Tableau13[[#This Row],[Code machine]],'CODE mchn'!$A$4:$C$170,3,0))</f>
        <v>Teurema 3</v>
      </c>
      <c r="E431" s="105"/>
      <c r="F431" s="63"/>
      <c r="G431" s="63" t="s">
        <v>643</v>
      </c>
      <c r="H431" s="63" t="s">
        <v>881</v>
      </c>
      <c r="I431" s="63" t="s">
        <v>13</v>
      </c>
      <c r="J431" s="117" t="s">
        <v>882</v>
      </c>
      <c r="K431" s="124">
        <v>43753</v>
      </c>
      <c r="L431" s="63"/>
      <c r="M431" s="121"/>
      <c r="N431" s="120">
        <f>MONTH(Tableau13[[#This Row],[Date fin intervention]])</f>
        <v>10</v>
      </c>
      <c r="O431" s="120">
        <f>YEAR(Tableau13[[#This Row],[Date fin intervention]])</f>
        <v>2019</v>
      </c>
      <c r="P431" s="36"/>
    </row>
    <row r="432" spans="1:16">
      <c r="A432" s="115">
        <v>43753</v>
      </c>
      <c r="B432" s="116">
        <v>582</v>
      </c>
      <c r="C432" s="117" t="str">
        <f>IF(ISNA(VLOOKUP(Tableau13[[#This Row],[Code machine]],'CODE mchn'!$A$4:$C$170,2,0)),"",VLOOKUP(Tableau13[[#This Row],[Code machine]],'CODE mchn'!$A$4:$C$170,2,0))</f>
        <v>Acier</v>
      </c>
      <c r="D432" s="36" t="str">
        <f>IF(ISNA(VLOOKUP(Tableau13[[#This Row],[Code machine]],'CODE mchn'!$A$4:$C$170,3,0)),"",VLOOKUP(Tableau13[[#This Row],[Code machine]],'CODE mchn'!$A$4:$C$170,3,0))</f>
        <v>Teurema 2</v>
      </c>
      <c r="E432" s="105"/>
      <c r="F432" s="63"/>
      <c r="G432" s="63" t="s">
        <v>880</v>
      </c>
      <c r="H432" s="63" t="s">
        <v>458</v>
      </c>
      <c r="I432" s="63" t="s">
        <v>13</v>
      </c>
      <c r="J432" s="117" t="s">
        <v>473</v>
      </c>
      <c r="K432" s="124">
        <v>43753</v>
      </c>
      <c r="L432" s="63"/>
      <c r="M432" s="119">
        <v>30</v>
      </c>
      <c r="N432" s="120">
        <f>MONTH(Tableau13[[#This Row],[Date fin intervention]])</f>
        <v>10</v>
      </c>
      <c r="O432" s="120">
        <f>YEAR(Tableau13[[#This Row],[Date fin intervention]])</f>
        <v>2019</v>
      </c>
      <c r="P432" s="36"/>
    </row>
    <row r="433" spans="1:16" ht="28.5">
      <c r="A433" s="115">
        <v>43753</v>
      </c>
      <c r="B433" s="116">
        <v>568</v>
      </c>
      <c r="C433" s="117" t="str">
        <f>IF(ISNA(VLOOKUP(Tableau13[[#This Row],[Code machine]],'CODE mchn'!$A$4:$C$170,2,0)),"",VLOOKUP(Tableau13[[#This Row],[Code machine]],'CODE mchn'!$A$4:$C$170,2,0))</f>
        <v>Ponts roulants</v>
      </c>
      <c r="D433" s="36" t="str">
        <f>IF(ISNA(VLOOKUP(Tableau13[[#This Row],[Code machine]],'CODE mchn'!$A$4:$C$170,3,0)),"",VLOOKUP(Tableau13[[#This Row],[Code machine]],'CODE mchn'!$A$4:$C$170,3,0))</f>
        <v>Pont roulant Demag 5T (milieu)</v>
      </c>
      <c r="E433" s="105"/>
      <c r="F433" s="63"/>
      <c r="G433" s="63" t="s">
        <v>888</v>
      </c>
      <c r="H433" s="63" t="s">
        <v>889</v>
      </c>
      <c r="I433" s="63" t="s">
        <v>125</v>
      </c>
      <c r="J433" s="117" t="s">
        <v>890</v>
      </c>
      <c r="K433" s="124">
        <v>43753</v>
      </c>
      <c r="L433" s="63" t="s">
        <v>891</v>
      </c>
      <c r="M433" s="119">
        <v>30</v>
      </c>
      <c r="N433" s="120">
        <f>MONTH(Tableau13[[#This Row],[Date fin intervention]])</f>
        <v>10</v>
      </c>
      <c r="O433" s="120">
        <f>YEAR(Tableau13[[#This Row],[Date fin intervention]])</f>
        <v>2019</v>
      </c>
      <c r="P433" s="36"/>
    </row>
    <row r="434" spans="1:16">
      <c r="A434" s="115">
        <v>43753</v>
      </c>
      <c r="B434" s="116">
        <v>606</v>
      </c>
      <c r="C434" s="117" t="str">
        <f>IF(ISNA(VLOOKUP(Tableau13[[#This Row],[Code machine]],'CODE mchn'!$A$4:$C$170,2,0)),"",VLOOKUP(Tableau13[[#This Row],[Code machine]],'CODE mchn'!$A$4:$C$170,2,0))</f>
        <v>Acier</v>
      </c>
      <c r="D434" s="36" t="str">
        <f>IF(ISNA(VLOOKUP(Tableau13[[#This Row],[Code machine]],'CODE mchn'!$A$4:$C$170,3,0)),"",VLOOKUP(Tableau13[[#This Row],[Code machine]],'CODE mchn'!$A$4:$C$170,3,0))</f>
        <v>Vitari 2</v>
      </c>
      <c r="E434" s="105"/>
      <c r="F434" s="63"/>
      <c r="G434" s="63" t="s">
        <v>664</v>
      </c>
      <c r="H434" s="63" t="s">
        <v>892</v>
      </c>
      <c r="I434" s="63" t="s">
        <v>13</v>
      </c>
      <c r="J434" s="117" t="s">
        <v>585</v>
      </c>
      <c r="K434" s="124">
        <v>43753</v>
      </c>
      <c r="L434" s="63"/>
      <c r="M434" s="119">
        <v>3</v>
      </c>
      <c r="N434" s="120">
        <f>MONTH(Tableau13[[#This Row],[Date fin intervention]])</f>
        <v>10</v>
      </c>
      <c r="O434" s="120">
        <f>YEAR(Tableau13[[#This Row],[Date fin intervention]])</f>
        <v>2019</v>
      </c>
      <c r="P434" s="36"/>
    </row>
    <row r="435" spans="1:16">
      <c r="A435" s="115">
        <v>43755</v>
      </c>
      <c r="B435" s="116">
        <v>565</v>
      </c>
      <c r="C435" s="117" t="str">
        <f>IF(ISNA(VLOOKUP(Tableau13[[#This Row],[Code machine]],'CODE mchn'!$A$4:$C$170,2,0)),"",VLOOKUP(Tableau13[[#This Row],[Code machine]],'CODE mchn'!$A$4:$C$170,2,0))</f>
        <v>Acier</v>
      </c>
      <c r="D435" s="36" t="str">
        <f>IF(ISNA(VLOOKUP(Tableau13[[#This Row],[Code machine]],'CODE mchn'!$A$4:$C$170,3,0)),"",VLOOKUP(Tableau13[[#This Row],[Code machine]],'CODE mchn'!$A$4:$C$170,3,0))</f>
        <v>EVG GE12</v>
      </c>
      <c r="E435" s="105"/>
      <c r="F435" s="63"/>
      <c r="G435" s="63" t="s">
        <v>104</v>
      </c>
      <c r="H435" s="63" t="s">
        <v>893</v>
      </c>
      <c r="I435" s="63" t="s">
        <v>13</v>
      </c>
      <c r="J435" s="117" t="s">
        <v>894</v>
      </c>
      <c r="K435" s="124">
        <v>43755</v>
      </c>
      <c r="L435" s="63"/>
      <c r="M435" s="119">
        <v>45</v>
      </c>
      <c r="N435" s="120">
        <f>MONTH(Tableau13[[#This Row],[Date fin intervention]])</f>
        <v>10</v>
      </c>
      <c r="O435" s="120">
        <f>YEAR(Tableau13[[#This Row],[Date fin intervention]])</f>
        <v>2019</v>
      </c>
      <c r="P435" s="36"/>
    </row>
    <row r="436" spans="1:16">
      <c r="A436" s="115">
        <v>43756</v>
      </c>
      <c r="B436" s="116">
        <v>533</v>
      </c>
      <c r="C436" s="117" t="str">
        <f>IF(ISNA(VLOOKUP(Tableau13[[#This Row],[Code machine]],'CODE mchn'!$A$4:$C$170,2,0)),"",VLOOKUP(Tableau13[[#This Row],[Code machine]],'CODE mchn'!$A$4:$C$170,2,0))</f>
        <v>Enrobage</v>
      </c>
      <c r="D436" s="36" t="str">
        <f>IF(ISNA(VLOOKUP(Tableau13[[#This Row],[Code machine]],'CODE mchn'!$A$4:$C$170,3,0)),"",VLOOKUP(Tableau13[[#This Row],[Code machine]],'CODE mchn'!$A$4:$C$170,3,0))</f>
        <v>CAROSSEL</v>
      </c>
      <c r="E436" s="105"/>
      <c r="F436" s="63"/>
      <c r="G436" s="63" t="s">
        <v>895</v>
      </c>
      <c r="H436" s="63" t="s">
        <v>520</v>
      </c>
      <c r="I436" s="63" t="s">
        <v>107</v>
      </c>
      <c r="J436" s="117" t="s">
        <v>896</v>
      </c>
      <c r="K436" s="124">
        <v>43756</v>
      </c>
      <c r="L436" s="63"/>
      <c r="M436" s="119">
        <v>30</v>
      </c>
      <c r="N436" s="120">
        <f>MONTH(Tableau13[[#This Row],[Date fin intervention]])</f>
        <v>10</v>
      </c>
      <c r="O436" s="120">
        <f>YEAR(Tableau13[[#This Row],[Date fin intervention]])</f>
        <v>2019</v>
      </c>
      <c r="P436" s="36"/>
    </row>
    <row r="437" spans="1:16">
      <c r="A437" s="115">
        <v>43757</v>
      </c>
      <c r="B437" s="116">
        <v>700</v>
      </c>
      <c r="C437" s="117" t="str">
        <f>IF(ISNA(VLOOKUP(Tableau13[[#This Row],[Code machine]],'CODE mchn'!$A$4:$C$170,2,0)),"",VLOOKUP(Tableau13[[#This Row],[Code machine]],'CODE mchn'!$A$4:$C$170,2,0))</f>
        <v>Béton</v>
      </c>
      <c r="D437" s="36" t="str">
        <f>IF(ISNA(VLOOKUP(Tableau13[[#This Row],[Code machine]],'CODE mchn'!$A$4:$C$170,3,0)),"",VLOOKUP(Tableau13[[#This Row],[Code machine]],'CODE mchn'!$A$4:$C$170,3,0))</f>
        <v>Poyatos 1</v>
      </c>
      <c r="E437" s="105"/>
      <c r="F437" s="63"/>
      <c r="G437" s="36" t="s">
        <v>937</v>
      </c>
      <c r="H437" s="36" t="s">
        <v>938</v>
      </c>
      <c r="I437" s="36" t="s">
        <v>13</v>
      </c>
      <c r="J437" s="106" t="s">
        <v>939</v>
      </c>
      <c r="K437" s="124">
        <v>43757</v>
      </c>
      <c r="L437" s="63"/>
      <c r="M437" s="107">
        <v>40</v>
      </c>
      <c r="N437" s="120">
        <f>MONTH(Tableau13[[#This Row],[Date fin intervention]])</f>
        <v>10</v>
      </c>
      <c r="O437" s="120">
        <f>YEAR(Tableau13[[#This Row],[Date fin intervention]])</f>
        <v>2019</v>
      </c>
      <c r="P437" s="36"/>
    </row>
    <row r="438" spans="1:16">
      <c r="A438" s="104">
        <v>43758</v>
      </c>
      <c r="B438" s="116">
        <v>604</v>
      </c>
      <c r="C438" s="117" t="str">
        <f>IF(ISNA(VLOOKUP(Tableau13[[#This Row],[Code machine]],'CODE mchn'!$A$4:$C$170,2,0)),"",VLOOKUP(Tableau13[[#This Row],[Code machine]],'CODE mchn'!$A$4:$C$170,2,0))</f>
        <v>Acier</v>
      </c>
      <c r="D438" s="36" t="str">
        <f>IF(ISNA(VLOOKUP(Tableau13[[#This Row],[Code machine]],'CODE mchn'!$A$4:$C$170,3,0)),"",VLOOKUP(Tableau13[[#This Row],[Code machine]],'CODE mchn'!$A$4:$C$170,3,0))</f>
        <v>TI</v>
      </c>
      <c r="E438" s="105"/>
      <c r="F438" s="63"/>
      <c r="G438" s="36" t="s">
        <v>926</v>
      </c>
      <c r="H438" s="36" t="s">
        <v>927</v>
      </c>
      <c r="I438" s="36" t="s">
        <v>107</v>
      </c>
      <c r="J438" s="106" t="s">
        <v>944</v>
      </c>
      <c r="K438" s="124">
        <v>43763</v>
      </c>
      <c r="L438" s="63"/>
      <c r="M438" s="107">
        <v>3</v>
      </c>
      <c r="N438" s="120">
        <f>MONTH(Tableau13[[#This Row],[Date fin intervention]])</f>
        <v>10</v>
      </c>
      <c r="O438" s="120">
        <f>YEAR(Tableau13[[#This Row],[Date fin intervention]])</f>
        <v>2019</v>
      </c>
      <c r="P438" s="36"/>
    </row>
    <row r="439" spans="1:16">
      <c r="A439" s="115">
        <v>43759</v>
      </c>
      <c r="B439" s="116">
        <v>700</v>
      </c>
      <c r="C439" s="117" t="str">
        <f>IF(ISNA(VLOOKUP(Tableau13[[#This Row],[Code machine]],'CODE mchn'!$A$4:$C$170,2,0)),"",VLOOKUP(Tableau13[[#This Row],[Code machine]],'CODE mchn'!$A$4:$C$170,2,0))</f>
        <v>Béton</v>
      </c>
      <c r="D439" s="36" t="str">
        <f>IF(ISNA(VLOOKUP(Tableau13[[#This Row],[Code machine]],'CODE mchn'!$A$4:$C$170,3,0)),"",VLOOKUP(Tableau13[[#This Row],[Code machine]],'CODE mchn'!$A$4:$C$170,3,0))</f>
        <v>Poyatos 1</v>
      </c>
      <c r="E439" s="105"/>
      <c r="F439" s="63"/>
      <c r="G439" s="36" t="s">
        <v>682</v>
      </c>
      <c r="H439" s="36" t="s">
        <v>683</v>
      </c>
      <c r="I439" s="36" t="s">
        <v>107</v>
      </c>
      <c r="J439" s="106" t="s">
        <v>435</v>
      </c>
      <c r="K439" s="124">
        <v>43759</v>
      </c>
      <c r="L439" s="63"/>
      <c r="M439" s="127"/>
      <c r="N439" s="120">
        <f>MONTH(Tableau13[[#This Row],[Date fin intervention]])</f>
        <v>10</v>
      </c>
      <c r="O439" s="120">
        <f>YEAR(Tableau13[[#This Row],[Date fin intervention]])</f>
        <v>2019</v>
      </c>
      <c r="P439" s="36"/>
    </row>
    <row r="440" spans="1:16">
      <c r="A440" s="115">
        <v>43760</v>
      </c>
      <c r="B440" s="116">
        <v>582</v>
      </c>
      <c r="C440" s="117" t="str">
        <f>IF(ISNA(VLOOKUP(Tableau13[[#This Row],[Code machine]],'CODE mchn'!$A$4:$C$170,2,0)),"",VLOOKUP(Tableau13[[#This Row],[Code machine]],'CODE mchn'!$A$4:$C$170,2,0))</f>
        <v>Acier</v>
      </c>
      <c r="D440" s="36" t="str">
        <f>IF(ISNA(VLOOKUP(Tableau13[[#This Row],[Code machine]],'CODE mchn'!$A$4:$C$170,3,0)),"",VLOOKUP(Tableau13[[#This Row],[Code machine]],'CODE mchn'!$A$4:$C$170,3,0))</f>
        <v>Teurema 2</v>
      </c>
      <c r="E440" s="105"/>
      <c r="F440" s="63"/>
      <c r="G440" s="63" t="s">
        <v>171</v>
      </c>
      <c r="H440" s="63" t="s">
        <v>907</v>
      </c>
      <c r="I440" s="63" t="s">
        <v>13</v>
      </c>
      <c r="J440" s="117" t="s">
        <v>908</v>
      </c>
      <c r="K440" s="124">
        <v>43760</v>
      </c>
      <c r="L440" s="63"/>
      <c r="M440" s="119">
        <v>30</v>
      </c>
      <c r="N440" s="120">
        <f>MONTH(Tableau13[[#This Row],[Date fin intervention]])</f>
        <v>10</v>
      </c>
      <c r="O440" s="120">
        <f>YEAR(Tableau13[[#This Row],[Date fin intervention]])</f>
        <v>2019</v>
      </c>
      <c r="P440" s="36"/>
    </row>
    <row r="441" spans="1:16" ht="28.5">
      <c r="A441" s="115">
        <v>43760</v>
      </c>
      <c r="B441" s="116">
        <v>571</v>
      </c>
      <c r="C441" s="117" t="str">
        <f>IF(ISNA(VLOOKUP(Tableau13[[#This Row],[Code machine]],'CODE mchn'!$A$4:$C$170,2,0)),"",VLOOKUP(Tableau13[[#This Row],[Code machine]],'CODE mchn'!$A$4:$C$170,2,0))</f>
        <v>Acier</v>
      </c>
      <c r="D441" s="36" t="str">
        <f>IF(ISNA(VLOOKUP(Tableau13[[#This Row],[Code machine]],'CODE mchn'!$A$4:$C$170,3,0)),"",VLOOKUP(Tableau13[[#This Row],[Code machine]],'CODE mchn'!$A$4:$C$170,3,0))</f>
        <v>EVG PN 1</v>
      </c>
      <c r="E441" s="105"/>
      <c r="F441" s="63"/>
      <c r="G441" s="63" t="s">
        <v>913</v>
      </c>
      <c r="H441" s="36" t="s">
        <v>613</v>
      </c>
      <c r="I441" s="63" t="s">
        <v>8</v>
      </c>
      <c r="J441" s="117" t="s">
        <v>914</v>
      </c>
      <c r="K441" s="124">
        <v>43760</v>
      </c>
      <c r="L441" s="63"/>
      <c r="M441" s="121"/>
      <c r="N441" s="120">
        <f>MONTH(Tableau13[[#This Row],[Date fin intervention]])</f>
        <v>10</v>
      </c>
      <c r="O441" s="120">
        <f>YEAR(Tableau13[[#This Row],[Date fin intervention]])</f>
        <v>2019</v>
      </c>
      <c r="P441" s="36"/>
    </row>
    <row r="442" spans="1:16">
      <c r="A442" s="115">
        <v>43761</v>
      </c>
      <c r="B442" s="116">
        <v>700</v>
      </c>
      <c r="C442" s="117" t="str">
        <f>IF(ISNA(VLOOKUP(Tableau13[[#This Row],[Code machine]],'CODE mchn'!$A$4:$C$170,2,0)),"",VLOOKUP(Tableau13[[#This Row],[Code machine]],'CODE mchn'!$A$4:$C$170,2,0))</f>
        <v>Béton</v>
      </c>
      <c r="D442" s="36" t="str">
        <f>IF(ISNA(VLOOKUP(Tableau13[[#This Row],[Code machine]],'CODE mchn'!$A$4:$C$170,3,0)),"",VLOOKUP(Tableau13[[#This Row],[Code machine]],'CODE mchn'!$A$4:$C$170,3,0))</f>
        <v>Poyatos 1</v>
      </c>
      <c r="E442" s="105"/>
      <c r="F442" s="63"/>
      <c r="G442" s="63" t="s">
        <v>902</v>
      </c>
      <c r="H442" s="63" t="s">
        <v>903</v>
      </c>
      <c r="I442" s="63" t="s">
        <v>125</v>
      </c>
      <c r="J442" s="117" t="s">
        <v>904</v>
      </c>
      <c r="K442" s="124">
        <v>43761</v>
      </c>
      <c r="L442" s="63"/>
      <c r="M442" s="128"/>
      <c r="N442" s="120">
        <f>MONTH(Tableau13[[#This Row],[Date fin intervention]])</f>
        <v>10</v>
      </c>
      <c r="O442" s="120">
        <f>YEAR(Tableau13[[#This Row],[Date fin intervention]])</f>
        <v>2019</v>
      </c>
      <c r="P442" s="36"/>
    </row>
    <row r="443" spans="1:16">
      <c r="A443" s="115">
        <v>43761</v>
      </c>
      <c r="B443" s="116">
        <v>607</v>
      </c>
      <c r="C443" s="117" t="str">
        <f>IF(ISNA(VLOOKUP(Tableau13[[#This Row],[Code machine]],'CODE mchn'!$A$4:$C$170,2,0)),"",VLOOKUP(Tableau13[[#This Row],[Code machine]],'CODE mchn'!$A$4:$C$170,2,0))</f>
        <v>Acier</v>
      </c>
      <c r="D443" s="36" t="str">
        <f>IF(ISNA(VLOOKUP(Tableau13[[#This Row],[Code machine]],'CODE mchn'!$A$4:$C$170,3,0)),"",VLOOKUP(Tableau13[[#This Row],[Code machine]],'CODE mchn'!$A$4:$C$170,3,0))</f>
        <v>Vitari 3</v>
      </c>
      <c r="E443" s="105"/>
      <c r="F443" s="63"/>
      <c r="G443" s="36" t="s">
        <v>929</v>
      </c>
      <c r="H443" s="36" t="s">
        <v>915</v>
      </c>
      <c r="I443" s="36" t="s">
        <v>107</v>
      </c>
      <c r="J443" s="106" t="s">
        <v>928</v>
      </c>
      <c r="K443" s="124">
        <v>43761</v>
      </c>
      <c r="L443" s="63"/>
      <c r="M443" s="107">
        <v>4</v>
      </c>
      <c r="N443" s="120">
        <f>MONTH(Tableau13[[#This Row],[Date fin intervention]])</f>
        <v>10</v>
      </c>
      <c r="O443" s="120">
        <f>YEAR(Tableau13[[#This Row],[Date fin intervention]])</f>
        <v>2019</v>
      </c>
      <c r="P443" s="36"/>
    </row>
    <row r="444" spans="1:16">
      <c r="A444" s="115">
        <v>43761</v>
      </c>
      <c r="B444" s="116">
        <v>800</v>
      </c>
      <c r="C444" s="117" t="str">
        <f>IF(ISNA(VLOOKUP(Tableau13[[#This Row],[Code machine]],'CODE mchn'!$A$4:$C$170,2,0)),"",VLOOKUP(Tableau13[[#This Row],[Code machine]],'CODE mchn'!$A$4:$C$170,2,0))</f>
        <v>Béton</v>
      </c>
      <c r="D444" s="36" t="str">
        <f>IF(ISNA(VLOOKUP(Tableau13[[#This Row],[Code machine]],'CODE mchn'!$A$4:$C$170,3,0)),"",VLOOKUP(Tableau13[[#This Row],[Code machine]],'CODE mchn'!$A$4:$C$170,3,0))</f>
        <v>Poyatos 2</v>
      </c>
      <c r="E444" s="105"/>
      <c r="F444" s="63"/>
      <c r="G444" s="36" t="s">
        <v>291</v>
      </c>
      <c r="H444" s="36" t="s">
        <v>782</v>
      </c>
      <c r="I444" s="36" t="s">
        <v>107</v>
      </c>
      <c r="J444" s="106" t="s">
        <v>930</v>
      </c>
      <c r="K444" s="124">
        <v>43761</v>
      </c>
      <c r="L444" s="63"/>
      <c r="M444" s="107">
        <v>2</v>
      </c>
      <c r="N444" s="120">
        <f>MONTH(Tableau13[[#This Row],[Date fin intervention]])</f>
        <v>10</v>
      </c>
      <c r="O444" s="120">
        <f>YEAR(Tableau13[[#This Row],[Date fin intervention]])</f>
        <v>2019</v>
      </c>
      <c r="P444" s="36"/>
    </row>
    <row r="445" spans="1:16">
      <c r="A445" s="115">
        <v>43762</v>
      </c>
      <c r="B445" s="116">
        <v>800</v>
      </c>
      <c r="C445" s="117" t="str">
        <f>IF(ISNA(VLOOKUP(Tableau13[[#This Row],[Code machine]],'CODE mchn'!$A$4:$C$170,2,0)),"",VLOOKUP(Tableau13[[#This Row],[Code machine]],'CODE mchn'!$A$4:$C$170,2,0))</f>
        <v>Béton</v>
      </c>
      <c r="D445" s="36" t="str">
        <f>IF(ISNA(VLOOKUP(Tableau13[[#This Row],[Code machine]],'CODE mchn'!$A$4:$C$170,3,0)),"",VLOOKUP(Tableau13[[#This Row],[Code machine]],'CODE mchn'!$A$4:$C$170,3,0))</f>
        <v>Poyatos 2</v>
      </c>
      <c r="E445" s="105"/>
      <c r="F445" s="63"/>
      <c r="G445" s="63" t="s">
        <v>188</v>
      </c>
      <c r="H445" s="63" t="s">
        <v>897</v>
      </c>
      <c r="I445" s="63" t="s">
        <v>13</v>
      </c>
      <c r="J445" s="117" t="s">
        <v>898</v>
      </c>
      <c r="K445" s="124">
        <v>43762</v>
      </c>
      <c r="L445" s="63" t="s">
        <v>899</v>
      </c>
      <c r="M445" s="119">
        <v>2</v>
      </c>
      <c r="N445" s="120">
        <f>MONTH(Tableau13[[#This Row],[Date fin intervention]])</f>
        <v>10</v>
      </c>
      <c r="O445" s="120">
        <f>YEAR(Tableau13[[#This Row],[Date fin intervention]])</f>
        <v>2019</v>
      </c>
      <c r="P445" s="36"/>
    </row>
    <row r="446" spans="1:16">
      <c r="A446" s="115">
        <v>43762</v>
      </c>
      <c r="B446" s="116">
        <v>800</v>
      </c>
      <c r="C446" s="117" t="str">
        <f>IF(ISNA(VLOOKUP(Tableau13[[#This Row],[Code machine]],'CODE mchn'!$A$4:$C$170,2,0)),"",VLOOKUP(Tableau13[[#This Row],[Code machine]],'CODE mchn'!$A$4:$C$170,2,0))</f>
        <v>Béton</v>
      </c>
      <c r="D446" s="36" t="str">
        <f>IF(ISNA(VLOOKUP(Tableau13[[#This Row],[Code machine]],'CODE mchn'!$A$4:$C$170,3,0)),"",VLOOKUP(Tableau13[[#This Row],[Code machine]],'CODE mchn'!$A$4:$C$170,3,0))</f>
        <v>Poyatos 2</v>
      </c>
      <c r="E446" s="105"/>
      <c r="F446" s="63"/>
      <c r="G446" s="63" t="s">
        <v>52</v>
      </c>
      <c r="H446" s="63" t="s">
        <v>900</v>
      </c>
      <c r="I446" s="63" t="s">
        <v>13</v>
      </c>
      <c r="J446" s="117" t="s">
        <v>901</v>
      </c>
      <c r="K446" s="124">
        <v>43762</v>
      </c>
      <c r="L446" s="63"/>
      <c r="M446" s="128"/>
      <c r="N446" s="120">
        <f>MONTH(Tableau13[[#This Row],[Date fin intervention]])</f>
        <v>10</v>
      </c>
      <c r="O446" s="120">
        <f>YEAR(Tableau13[[#This Row],[Date fin intervention]])</f>
        <v>2019</v>
      </c>
      <c r="P446" s="36"/>
    </row>
    <row r="447" spans="1:16">
      <c r="A447" s="115">
        <v>43762</v>
      </c>
      <c r="B447" s="116">
        <v>565</v>
      </c>
      <c r="C447" s="117" t="str">
        <f>IF(ISNA(VLOOKUP(Tableau13[[#This Row],[Code machine]],'CODE mchn'!$A$4:$C$170,2,0)),"",VLOOKUP(Tableau13[[#This Row],[Code machine]],'CODE mchn'!$A$4:$C$170,2,0))</f>
        <v>Acier</v>
      </c>
      <c r="D447" s="36" t="str">
        <f>IF(ISNA(VLOOKUP(Tableau13[[#This Row],[Code machine]],'CODE mchn'!$A$4:$C$170,3,0)),"",VLOOKUP(Tableau13[[#This Row],[Code machine]],'CODE mchn'!$A$4:$C$170,3,0))</f>
        <v>EVG GE12</v>
      </c>
      <c r="E447" s="105"/>
      <c r="F447" s="63"/>
      <c r="G447" s="36" t="s">
        <v>104</v>
      </c>
      <c r="H447" s="36" t="s">
        <v>730</v>
      </c>
      <c r="I447" s="63" t="s">
        <v>26</v>
      </c>
      <c r="J447" s="117" t="s">
        <v>905</v>
      </c>
      <c r="K447" s="124">
        <v>43762</v>
      </c>
      <c r="L447" s="63"/>
      <c r="M447" s="119">
        <v>30</v>
      </c>
      <c r="N447" s="120">
        <f>MONTH(Tableau13[[#This Row],[Date fin intervention]])</f>
        <v>10</v>
      </c>
      <c r="O447" s="120">
        <f>YEAR(Tableau13[[#This Row],[Date fin intervention]])</f>
        <v>2019</v>
      </c>
      <c r="P447" s="36"/>
    </row>
    <row r="448" spans="1:16">
      <c r="A448" s="115">
        <v>43762</v>
      </c>
      <c r="B448" s="116">
        <v>605</v>
      </c>
      <c r="C448" s="117" t="str">
        <f>IF(ISNA(VLOOKUP(Tableau13[[#This Row],[Code machine]],'CODE mchn'!$A$4:$C$170,2,0)),"",VLOOKUP(Tableau13[[#This Row],[Code machine]],'CODE mchn'!$A$4:$C$170,2,0))</f>
        <v>Acier</v>
      </c>
      <c r="D448" s="36" t="str">
        <f>IF(ISNA(VLOOKUP(Tableau13[[#This Row],[Code machine]],'CODE mchn'!$A$4:$C$170,3,0)),"",VLOOKUP(Tableau13[[#This Row],[Code machine]],'CODE mchn'!$A$4:$C$170,3,0))</f>
        <v>Vitari 1</v>
      </c>
      <c r="E448" s="105"/>
      <c r="F448" s="63"/>
      <c r="G448" s="63" t="s">
        <v>136</v>
      </c>
      <c r="H448" s="63" t="s">
        <v>776</v>
      </c>
      <c r="I448" s="63" t="s">
        <v>13</v>
      </c>
      <c r="J448" s="117" t="s">
        <v>906</v>
      </c>
      <c r="K448" s="124">
        <v>43762</v>
      </c>
      <c r="L448" s="63"/>
      <c r="M448" s="121"/>
      <c r="N448" s="120">
        <f>MONTH(Tableau13[[#This Row],[Date fin intervention]])</f>
        <v>10</v>
      </c>
      <c r="O448" s="120">
        <f>YEAR(Tableau13[[#This Row],[Date fin intervention]])</f>
        <v>2019</v>
      </c>
      <c r="P448" s="36"/>
    </row>
    <row r="449" spans="1:16" ht="28.5">
      <c r="A449" s="115">
        <v>43762</v>
      </c>
      <c r="B449" s="116">
        <v>583</v>
      </c>
      <c r="C449" s="117" t="str">
        <f>IF(ISNA(VLOOKUP(Tableau13[[#This Row],[Code machine]],'CODE mchn'!$A$4:$C$170,2,0)),"",VLOOKUP(Tableau13[[#This Row],[Code machine]],'CODE mchn'!$A$4:$C$170,2,0))</f>
        <v>Ponts roulants</v>
      </c>
      <c r="D449" s="36" t="str">
        <f>IF(ISNA(VLOOKUP(Tableau13[[#This Row],[Code machine]],'CODE mchn'!$A$4:$C$170,3,0)),"",VLOOKUP(Tableau13[[#This Row],[Code machine]],'CODE mchn'!$A$4:$C$170,3,0))</f>
        <v>Pont roulant Abus 5T (teurema1)</v>
      </c>
      <c r="E449" s="105"/>
      <c r="F449" s="63"/>
      <c r="G449" s="63" t="s">
        <v>667</v>
      </c>
      <c r="H449" s="63" t="s">
        <v>866</v>
      </c>
      <c r="I449" s="63" t="s">
        <v>13</v>
      </c>
      <c r="J449" s="117" t="s">
        <v>909</v>
      </c>
      <c r="K449" s="124">
        <v>43762</v>
      </c>
      <c r="L449" s="63"/>
      <c r="M449" s="119">
        <v>1</v>
      </c>
      <c r="N449" s="120">
        <f>MONTH(Tableau13[[#This Row],[Date fin intervention]])</f>
        <v>10</v>
      </c>
      <c r="O449" s="120">
        <f>YEAR(Tableau13[[#This Row],[Date fin intervention]])</f>
        <v>2019</v>
      </c>
      <c r="P449" s="36"/>
    </row>
    <row r="450" spans="1:16">
      <c r="A450" s="115">
        <v>43762</v>
      </c>
      <c r="B450" s="116">
        <v>582</v>
      </c>
      <c r="C450" s="117" t="str">
        <f>IF(ISNA(VLOOKUP(Tableau13[[#This Row],[Code machine]],'CODE mchn'!$A$4:$C$170,2,0)),"",VLOOKUP(Tableau13[[#This Row],[Code machine]],'CODE mchn'!$A$4:$C$170,2,0))</f>
        <v>Acier</v>
      </c>
      <c r="D450" s="36" t="str">
        <f>IF(ISNA(VLOOKUP(Tableau13[[#This Row],[Code machine]],'CODE mchn'!$A$4:$C$170,3,0)),"",VLOOKUP(Tableau13[[#This Row],[Code machine]],'CODE mchn'!$A$4:$C$170,3,0))</f>
        <v>Teurema 2</v>
      </c>
      <c r="E450" s="105"/>
      <c r="F450" s="63"/>
      <c r="G450" s="63" t="s">
        <v>910</v>
      </c>
      <c r="H450" s="63" t="s">
        <v>911</v>
      </c>
      <c r="I450" s="63" t="s">
        <v>13</v>
      </c>
      <c r="J450" s="117" t="s">
        <v>912</v>
      </c>
      <c r="K450" s="124">
        <v>43762</v>
      </c>
      <c r="L450" s="63"/>
      <c r="M450" s="119"/>
      <c r="N450" s="120">
        <f>MONTH(Tableau13[[#This Row],[Date fin intervention]])</f>
        <v>10</v>
      </c>
      <c r="O450" s="120">
        <f>YEAR(Tableau13[[#This Row],[Date fin intervention]])</f>
        <v>2019</v>
      </c>
      <c r="P450" s="36"/>
    </row>
    <row r="451" spans="1:16" ht="28.5">
      <c r="A451" s="115">
        <v>43762</v>
      </c>
      <c r="B451" s="116">
        <v>583</v>
      </c>
      <c r="C451" s="117" t="str">
        <f>IF(ISNA(VLOOKUP(Tableau13[[#This Row],[Code machine]],'CODE mchn'!$A$4:$C$170,2,0)),"",VLOOKUP(Tableau13[[#This Row],[Code machine]],'CODE mchn'!$A$4:$C$170,2,0))</f>
        <v>Ponts roulants</v>
      </c>
      <c r="D451" s="36" t="str">
        <f>IF(ISNA(VLOOKUP(Tableau13[[#This Row],[Code machine]],'CODE mchn'!$A$4:$C$170,3,0)),"",VLOOKUP(Tableau13[[#This Row],[Code machine]],'CODE mchn'!$A$4:$C$170,3,0))</f>
        <v>Pont roulant Abus 5T (teurema1)</v>
      </c>
      <c r="E451" s="105"/>
      <c r="F451" s="63"/>
      <c r="G451" s="36" t="s">
        <v>916</v>
      </c>
      <c r="H451" s="36" t="s">
        <v>482</v>
      </c>
      <c r="I451" s="36" t="s">
        <v>107</v>
      </c>
      <c r="J451" s="106" t="s">
        <v>867</v>
      </c>
      <c r="K451" s="124">
        <v>43762</v>
      </c>
      <c r="L451" s="63"/>
      <c r="M451" s="107">
        <v>1</v>
      </c>
      <c r="N451" s="120">
        <f>MONTH(Tableau13[[#This Row],[Date fin intervention]])</f>
        <v>10</v>
      </c>
      <c r="O451" s="120">
        <f>YEAR(Tableau13[[#This Row],[Date fin intervention]])</f>
        <v>2019</v>
      </c>
      <c r="P451" s="36"/>
    </row>
    <row r="452" spans="1:16">
      <c r="A452" s="115">
        <v>43762</v>
      </c>
      <c r="B452" s="116">
        <v>582</v>
      </c>
      <c r="C452" s="117" t="str">
        <f>IF(ISNA(VLOOKUP(Tableau13[[#This Row],[Code machine]],'CODE mchn'!$A$4:$C$170,2,0)),"",VLOOKUP(Tableau13[[#This Row],[Code machine]],'CODE mchn'!$A$4:$C$170,2,0))</f>
        <v>Acier</v>
      </c>
      <c r="D452" s="36" t="str">
        <f>IF(ISNA(VLOOKUP(Tableau13[[#This Row],[Code machine]],'CODE mchn'!$A$4:$C$170,3,0)),"",VLOOKUP(Tableau13[[#This Row],[Code machine]],'CODE mchn'!$A$4:$C$170,3,0))</f>
        <v>Teurema 2</v>
      </c>
      <c r="E452" s="105"/>
      <c r="F452" s="63"/>
      <c r="G452" s="36" t="s">
        <v>917</v>
      </c>
      <c r="H452" s="36" t="s">
        <v>911</v>
      </c>
      <c r="I452" s="36" t="s">
        <v>13</v>
      </c>
      <c r="J452" s="106" t="s">
        <v>912</v>
      </c>
      <c r="K452" s="124">
        <v>43762</v>
      </c>
      <c r="L452" s="63"/>
      <c r="M452" s="107">
        <v>28</v>
      </c>
      <c r="N452" s="120">
        <f>MONTH(Tableau13[[#This Row],[Date fin intervention]])</f>
        <v>10</v>
      </c>
      <c r="O452" s="120">
        <f>YEAR(Tableau13[[#This Row],[Date fin intervention]])</f>
        <v>2019</v>
      </c>
      <c r="P452" s="36"/>
    </row>
    <row r="453" spans="1:16">
      <c r="A453" s="104">
        <v>43762</v>
      </c>
      <c r="B453" s="116">
        <v>590</v>
      </c>
      <c r="C453" s="117" t="str">
        <f>IF(ISNA(VLOOKUP(Tableau13[[#This Row],[Code machine]],'CODE mchn'!$A$4:$C$170,2,0)),"",VLOOKUP(Tableau13[[#This Row],[Code machine]],'CODE mchn'!$A$4:$C$170,2,0))</f>
        <v>Acier</v>
      </c>
      <c r="D453" s="36" t="str">
        <f>IF(ISNA(VLOOKUP(Tableau13[[#This Row],[Code machine]],'CODE mchn'!$A$4:$C$170,3,0)),"",VLOOKUP(Tableau13[[#This Row],[Code machine]],'CODE mchn'!$A$4:$C$170,3,0))</f>
        <v>Teurema 3</v>
      </c>
      <c r="E453" s="105"/>
      <c r="F453" s="63"/>
      <c r="G453" s="36" t="s">
        <v>921</v>
      </c>
      <c r="H453" s="36" t="s">
        <v>922</v>
      </c>
      <c r="I453" s="36" t="s">
        <v>107</v>
      </c>
      <c r="J453" s="106" t="s">
        <v>943</v>
      </c>
      <c r="K453" s="124">
        <v>43763</v>
      </c>
      <c r="L453" s="63"/>
      <c r="M453" s="127"/>
      <c r="N453" s="120">
        <f>MONTH(Tableau13[[#This Row],[Date fin intervention]])</f>
        <v>10</v>
      </c>
      <c r="O453" s="120">
        <f>YEAR(Tableau13[[#This Row],[Date fin intervention]])</f>
        <v>2019</v>
      </c>
      <c r="P453" s="36"/>
    </row>
    <row r="454" spans="1:16">
      <c r="A454" s="115">
        <v>43762</v>
      </c>
      <c r="B454" s="116">
        <v>605</v>
      </c>
      <c r="C454" s="117" t="str">
        <f>IF(ISNA(VLOOKUP(Tableau13[[#This Row],[Code machine]],'CODE mchn'!$A$4:$C$170,2,0)),"",VLOOKUP(Tableau13[[#This Row],[Code machine]],'CODE mchn'!$A$4:$C$170,2,0))</f>
        <v>Acier</v>
      </c>
      <c r="D454" s="36" t="str">
        <f>IF(ISNA(VLOOKUP(Tableau13[[#This Row],[Code machine]],'CODE mchn'!$A$4:$C$170,3,0)),"",VLOOKUP(Tableau13[[#This Row],[Code machine]],'CODE mchn'!$A$4:$C$170,3,0))</f>
        <v>Vitari 1</v>
      </c>
      <c r="E454" s="105"/>
      <c r="F454" s="63"/>
      <c r="G454" s="36" t="s">
        <v>136</v>
      </c>
      <c r="H454" s="36" t="s">
        <v>923</v>
      </c>
      <c r="I454" s="36" t="s">
        <v>107</v>
      </c>
      <c r="J454" s="106" t="s">
        <v>924</v>
      </c>
      <c r="K454" s="124">
        <v>43762</v>
      </c>
      <c r="L454" s="63"/>
      <c r="M454" s="121"/>
      <c r="N454" s="120">
        <f>MONTH(Tableau13[[#This Row],[Date fin intervention]])</f>
        <v>10</v>
      </c>
      <c r="O454" s="120">
        <f>YEAR(Tableau13[[#This Row],[Date fin intervention]])</f>
        <v>2019</v>
      </c>
      <c r="P454" s="36"/>
    </row>
    <row r="455" spans="1:16">
      <c r="A455" s="115">
        <v>43762</v>
      </c>
      <c r="B455" s="116">
        <v>533</v>
      </c>
      <c r="C455" s="106" t="str">
        <f>IF(ISNA(VLOOKUP(Tableau13[[#This Row],[Code machine]],'CODE mchn'!$A$4:$C$170,2,0)),"",VLOOKUP(Tableau13[[#This Row],[Code machine]],'CODE mchn'!$A$4:$C$170,2,0))</f>
        <v>Enrobage</v>
      </c>
      <c r="D455" s="36" t="str">
        <f>IF(ISNA(VLOOKUP(Tableau13[[#This Row],[Code machine]],'CODE mchn'!$A$4:$C$170,3,0)),"",VLOOKUP(Tableau13[[#This Row],[Code machine]],'CODE mchn'!$A$4:$C$170,3,0))</f>
        <v>CAROSSEL</v>
      </c>
      <c r="E455" s="105"/>
      <c r="F455" s="36"/>
      <c r="G455" s="36" t="s">
        <v>95</v>
      </c>
      <c r="H455" s="36" t="s">
        <v>773</v>
      </c>
      <c r="I455" s="36" t="s">
        <v>13</v>
      </c>
      <c r="J455" s="106" t="s">
        <v>935</v>
      </c>
      <c r="K455" s="124">
        <v>43762</v>
      </c>
      <c r="L455" s="63"/>
      <c r="M455" s="121"/>
      <c r="N455" s="120">
        <f>MONTH(Tableau13[[#This Row],[Date fin intervention]])</f>
        <v>10</v>
      </c>
      <c r="O455" s="120">
        <f>YEAR(Tableau13[[#This Row],[Date fin intervention]])</f>
        <v>2019</v>
      </c>
      <c r="P455" s="36"/>
    </row>
    <row r="456" spans="1:16">
      <c r="A456" s="115">
        <v>43762</v>
      </c>
      <c r="B456" s="116">
        <v>590</v>
      </c>
      <c r="C456" s="117" t="str">
        <f>IF(ISNA(VLOOKUP(Tableau13[[#This Row],[Code machine]],'CODE mchn'!$A$4:$C$170,2,0)),"",VLOOKUP(Tableau13[[#This Row],[Code machine]],'CODE mchn'!$A$4:$C$170,2,0))</f>
        <v>Acier</v>
      </c>
      <c r="D456" s="36" t="str">
        <f>IF(ISNA(VLOOKUP(Tableau13[[#This Row],[Code machine]],'CODE mchn'!$A$4:$C$170,3,0)),"",VLOOKUP(Tableau13[[#This Row],[Code machine]],'CODE mchn'!$A$4:$C$170,3,0))</f>
        <v>Teurema 3</v>
      </c>
      <c r="E456" s="105"/>
      <c r="F456" s="63"/>
      <c r="G456" s="36" t="s">
        <v>921</v>
      </c>
      <c r="H456" s="36" t="s">
        <v>922</v>
      </c>
      <c r="I456" s="36" t="s">
        <v>107</v>
      </c>
      <c r="J456" s="106" t="s">
        <v>962</v>
      </c>
      <c r="K456" s="124">
        <v>43762</v>
      </c>
      <c r="L456" s="63"/>
      <c r="M456" s="107">
        <v>1</v>
      </c>
      <c r="N456" s="120">
        <f>MONTH(Tableau13[[#This Row],[Date fin intervention]])</f>
        <v>10</v>
      </c>
      <c r="O456" s="120">
        <f>YEAR(Tableau13[[#This Row],[Date fin intervention]])</f>
        <v>2019</v>
      </c>
      <c r="P456" s="36"/>
    </row>
    <row r="457" spans="1:16">
      <c r="A457" s="115">
        <v>43763</v>
      </c>
      <c r="B457" s="116">
        <v>582</v>
      </c>
      <c r="C457" s="117" t="str">
        <f>IF(ISNA(VLOOKUP(Tableau13[[#This Row],[Code machine]],'CODE mchn'!$A$4:$C$170,2,0)),"",VLOOKUP(Tableau13[[#This Row],[Code machine]],'CODE mchn'!$A$4:$C$170,2,0))</f>
        <v>Acier</v>
      </c>
      <c r="D457" s="36" t="str">
        <f>IF(ISNA(VLOOKUP(Tableau13[[#This Row],[Code machine]],'CODE mchn'!$A$4:$C$170,3,0)),"",VLOOKUP(Tableau13[[#This Row],[Code machine]],'CODE mchn'!$A$4:$C$170,3,0))</f>
        <v>Teurema 2</v>
      </c>
      <c r="E457" s="105"/>
      <c r="F457" s="63"/>
      <c r="G457" s="36" t="s">
        <v>161</v>
      </c>
      <c r="H457" s="36" t="s">
        <v>918</v>
      </c>
      <c r="I457" s="36" t="s">
        <v>107</v>
      </c>
      <c r="J457" s="106" t="s">
        <v>919</v>
      </c>
      <c r="K457" s="124">
        <v>43763</v>
      </c>
      <c r="L457" s="63"/>
      <c r="M457" s="107">
        <v>30</v>
      </c>
      <c r="N457" s="120">
        <f>MONTH(Tableau13[[#This Row],[Date fin intervention]])</f>
        <v>10</v>
      </c>
      <c r="O457" s="120">
        <f>YEAR(Tableau13[[#This Row],[Date fin intervention]])</f>
        <v>2019</v>
      </c>
      <c r="P457" s="36"/>
    </row>
    <row r="458" spans="1:16">
      <c r="A458" s="115">
        <v>43763</v>
      </c>
      <c r="B458" s="116">
        <v>590</v>
      </c>
      <c r="C458" s="117" t="str">
        <f>IF(ISNA(VLOOKUP(Tableau13[[#This Row],[Code machine]],'CODE mchn'!$A$4:$C$170,2,0)),"",VLOOKUP(Tableau13[[#This Row],[Code machine]],'CODE mchn'!$A$4:$C$170,2,0))</f>
        <v>Acier</v>
      </c>
      <c r="D458" s="36" t="str">
        <f>IF(ISNA(VLOOKUP(Tableau13[[#This Row],[Code machine]],'CODE mchn'!$A$4:$C$170,3,0)),"",VLOOKUP(Tableau13[[#This Row],[Code machine]],'CODE mchn'!$A$4:$C$170,3,0))</f>
        <v>Teurema 3</v>
      </c>
      <c r="E458" s="105"/>
      <c r="F458" s="63"/>
      <c r="G458" s="36" t="s">
        <v>171</v>
      </c>
      <c r="H458" s="36" t="s">
        <v>920</v>
      </c>
      <c r="I458" s="36" t="s">
        <v>107</v>
      </c>
      <c r="J458" s="106" t="s">
        <v>942</v>
      </c>
      <c r="K458" s="124">
        <v>43763</v>
      </c>
      <c r="L458" s="63"/>
      <c r="M458" s="107">
        <v>2</v>
      </c>
      <c r="N458" s="120">
        <f>MONTH(Tableau13[[#This Row],[Date fin intervention]])</f>
        <v>10</v>
      </c>
      <c r="O458" s="120">
        <f>YEAR(Tableau13[[#This Row],[Date fin intervention]])</f>
        <v>2019</v>
      </c>
      <c r="P458" s="36"/>
    </row>
    <row r="459" spans="1:16">
      <c r="A459" s="115">
        <v>43763</v>
      </c>
      <c r="B459" s="116">
        <v>607</v>
      </c>
      <c r="C459" s="117" t="str">
        <f>IF(ISNA(VLOOKUP(Tableau13[[#This Row],[Code machine]],'CODE mchn'!$A$4:$C$170,2,0)),"",VLOOKUP(Tableau13[[#This Row],[Code machine]],'CODE mchn'!$A$4:$C$170,2,0))</f>
        <v>Acier</v>
      </c>
      <c r="D459" s="36" t="str">
        <f>IF(ISNA(VLOOKUP(Tableau13[[#This Row],[Code machine]],'CODE mchn'!$A$4:$C$170,3,0)),"",VLOOKUP(Tableau13[[#This Row],[Code machine]],'CODE mchn'!$A$4:$C$170,3,0))</f>
        <v>Vitari 3</v>
      </c>
      <c r="E459" s="105"/>
      <c r="F459" s="63"/>
      <c r="G459" s="36" t="s">
        <v>136</v>
      </c>
      <c r="H459" s="36" t="s">
        <v>925</v>
      </c>
      <c r="I459" s="36" t="s">
        <v>107</v>
      </c>
      <c r="J459" s="106" t="s">
        <v>945</v>
      </c>
      <c r="K459" s="124">
        <v>43763</v>
      </c>
      <c r="L459" s="63"/>
      <c r="M459" s="127"/>
      <c r="N459" s="120">
        <f>MONTH(Tableau13[[#This Row],[Date fin intervention]])</f>
        <v>10</v>
      </c>
      <c r="O459" s="120">
        <f>YEAR(Tableau13[[#This Row],[Date fin intervention]])</f>
        <v>2019</v>
      </c>
      <c r="P459" s="36"/>
    </row>
    <row r="460" spans="1:16">
      <c r="A460" s="115">
        <v>43763</v>
      </c>
      <c r="B460" s="116">
        <v>800</v>
      </c>
      <c r="C460" s="117" t="str">
        <f>IF(ISNA(VLOOKUP(Tableau13[[#This Row],[Code machine]],'CODE mchn'!$A$4:$C$170,2,0)),"",VLOOKUP(Tableau13[[#This Row],[Code machine]],'CODE mchn'!$A$4:$C$170,2,0))</f>
        <v>Béton</v>
      </c>
      <c r="D460" s="36" t="str">
        <f>IF(ISNA(VLOOKUP(Tableau13[[#This Row],[Code machine]],'CODE mchn'!$A$4:$C$170,3,0)),"",VLOOKUP(Tableau13[[#This Row],[Code machine]],'CODE mchn'!$A$4:$C$170,3,0))</f>
        <v>Poyatos 2</v>
      </c>
      <c r="E460" s="105"/>
      <c r="F460" s="63"/>
      <c r="G460" s="36" t="s">
        <v>825</v>
      </c>
      <c r="H460" s="36" t="s">
        <v>931</v>
      </c>
      <c r="I460" s="36" t="s">
        <v>125</v>
      </c>
      <c r="J460" s="106" t="s">
        <v>932</v>
      </c>
      <c r="K460" s="124">
        <v>43763</v>
      </c>
      <c r="L460" s="63"/>
      <c r="M460" s="121"/>
      <c r="N460" s="120">
        <f>MONTH(Tableau13[[#This Row],[Date fin intervention]])</f>
        <v>10</v>
      </c>
      <c r="O460" s="120">
        <f>YEAR(Tableau13[[#This Row],[Date fin intervention]])</f>
        <v>2019</v>
      </c>
      <c r="P460" s="36"/>
    </row>
    <row r="461" spans="1:16">
      <c r="A461" s="115">
        <v>43763</v>
      </c>
      <c r="B461" s="116">
        <v>700</v>
      </c>
      <c r="C461" s="117" t="str">
        <f>IF(ISNA(VLOOKUP(Tableau13[[#This Row],[Code machine]],'CODE mchn'!$A$4:$C$170,2,0)),"",VLOOKUP(Tableau13[[#This Row],[Code machine]],'CODE mchn'!$A$4:$C$170,2,0))</f>
        <v>Béton</v>
      </c>
      <c r="D461" s="36" t="str">
        <f>IF(ISNA(VLOOKUP(Tableau13[[#This Row],[Code machine]],'CODE mchn'!$A$4:$C$170,3,0)),"",VLOOKUP(Tableau13[[#This Row],[Code machine]],'CODE mchn'!$A$4:$C$170,3,0))</f>
        <v>Poyatos 1</v>
      </c>
      <c r="E461" s="105"/>
      <c r="F461" s="63"/>
      <c r="G461" s="36" t="s">
        <v>828</v>
      </c>
      <c r="H461" s="36" t="s">
        <v>933</v>
      </c>
      <c r="I461" s="36" t="s">
        <v>13</v>
      </c>
      <c r="J461" s="106" t="s">
        <v>934</v>
      </c>
      <c r="K461" s="124">
        <v>43763</v>
      </c>
      <c r="L461" s="63"/>
      <c r="M461" s="107">
        <v>50</v>
      </c>
      <c r="N461" s="120">
        <f>MONTH(Tableau13[[#This Row],[Date fin intervention]])</f>
        <v>10</v>
      </c>
      <c r="O461" s="120">
        <f>YEAR(Tableau13[[#This Row],[Date fin intervention]])</f>
        <v>2019</v>
      </c>
      <c r="P461" s="36"/>
    </row>
    <row r="462" spans="1:16">
      <c r="A462" s="115">
        <v>43763</v>
      </c>
      <c r="B462" s="116">
        <v>533</v>
      </c>
      <c r="C462" s="106" t="str">
        <f>IF(ISNA(VLOOKUP(Tableau13[[#This Row],[Code machine]],'CODE mchn'!$A$4:$C$170,2,0)),"",VLOOKUP(Tableau13[[#This Row],[Code machine]],'CODE mchn'!$A$4:$C$170,2,0))</f>
        <v>Enrobage</v>
      </c>
      <c r="D462" s="36" t="str">
        <f>IF(ISNA(VLOOKUP(Tableau13[[#This Row],[Code machine]],'CODE mchn'!$A$4:$C$170,3,0)),"",VLOOKUP(Tableau13[[#This Row],[Code machine]],'CODE mchn'!$A$4:$C$170,3,0))</f>
        <v>CAROSSEL</v>
      </c>
      <c r="E462" s="105"/>
      <c r="F462" s="36"/>
      <c r="G462" s="36" t="s">
        <v>95</v>
      </c>
      <c r="H462" s="36" t="s">
        <v>936</v>
      </c>
      <c r="I462" s="36" t="s">
        <v>13</v>
      </c>
      <c r="J462" s="106" t="s">
        <v>862</v>
      </c>
      <c r="K462" s="124">
        <v>43763</v>
      </c>
      <c r="L462" s="63"/>
      <c r="M462" s="121"/>
      <c r="N462" s="120">
        <f>MONTH(Tableau13[[#This Row],[Date fin intervention]])</f>
        <v>10</v>
      </c>
      <c r="O462" s="120">
        <f>YEAR(Tableau13[[#This Row],[Date fin intervention]])</f>
        <v>2019</v>
      </c>
      <c r="P462" s="36"/>
    </row>
    <row r="463" spans="1:16">
      <c r="A463" s="104">
        <v>43763</v>
      </c>
      <c r="B463" s="116">
        <v>800</v>
      </c>
      <c r="C463" s="117" t="str">
        <f>IF(ISNA(VLOOKUP(Tableau13[[#This Row],[Code machine]],'CODE mchn'!$A$4:$C$170,2,0)),"",VLOOKUP(Tableau13[[#This Row],[Code machine]],'CODE mchn'!$A$4:$C$170,2,0))</f>
        <v>Béton</v>
      </c>
      <c r="D463" s="36" t="str">
        <f>IF(ISNA(VLOOKUP(Tableau13[[#This Row],[Code machine]],'CODE mchn'!$A$4:$C$170,3,0)),"",VLOOKUP(Tableau13[[#This Row],[Code machine]],'CODE mchn'!$A$4:$C$170,3,0))</f>
        <v>Poyatos 2</v>
      </c>
      <c r="E463" s="105"/>
      <c r="F463" s="63"/>
      <c r="G463" s="36" t="s">
        <v>43</v>
      </c>
      <c r="H463" s="36" t="s">
        <v>940</v>
      </c>
      <c r="I463" s="36" t="s">
        <v>107</v>
      </c>
      <c r="J463" s="106" t="s">
        <v>941</v>
      </c>
      <c r="K463" s="124">
        <v>43764</v>
      </c>
      <c r="L463" s="63"/>
      <c r="M463" s="121"/>
      <c r="N463" s="120">
        <f>MONTH(Tableau13[[#This Row],[Date fin intervention]])</f>
        <v>10</v>
      </c>
      <c r="O463" s="120">
        <f>YEAR(Tableau13[[#This Row],[Date fin intervention]])</f>
        <v>2019</v>
      </c>
      <c r="P463" s="36"/>
    </row>
    <row r="464" spans="1:16">
      <c r="A464" s="115">
        <v>43763</v>
      </c>
      <c r="B464" s="116">
        <v>573</v>
      </c>
      <c r="C464" s="106" t="s">
        <v>38</v>
      </c>
      <c r="D464" s="36" t="str">
        <f>IF(ISNA(VLOOKUP(Tableau13[[#This Row],[Code machine]],'CODE mchn'!$A$4:$C$170,3,0)),"",VLOOKUP(Tableau13[[#This Row],[Code machine]],'CODE mchn'!$A$4:$C$170,3,0))</f>
        <v xml:space="preserve">Pont roulant Demag 1 3,5T </v>
      </c>
      <c r="E464" s="105"/>
      <c r="F464" s="63"/>
      <c r="G464" s="36" t="s">
        <v>888</v>
      </c>
      <c r="H464" s="36" t="s">
        <v>974</v>
      </c>
      <c r="I464" s="36" t="s">
        <v>13</v>
      </c>
      <c r="J464" s="106" t="s">
        <v>975</v>
      </c>
      <c r="K464" s="124">
        <v>43763</v>
      </c>
      <c r="L464" s="63"/>
      <c r="M464" s="107">
        <v>1</v>
      </c>
      <c r="N464" s="120">
        <f>MONTH(Tableau13[[#This Row],[Date fin intervention]])</f>
        <v>10</v>
      </c>
      <c r="O464" s="120">
        <f>YEAR(Tableau13[[#This Row],[Date fin intervention]])</f>
        <v>2019</v>
      </c>
      <c r="P464" s="36"/>
    </row>
    <row r="465" spans="1:16">
      <c r="A465" s="115">
        <v>43763</v>
      </c>
      <c r="B465" s="116">
        <v>573</v>
      </c>
      <c r="C465" s="117" t="str">
        <f>IF(ISNA(VLOOKUP(Tableau13[[#This Row],[Code machine]],'CODE mchn'!$A$4:$C$170,2,0)),"",VLOOKUP(Tableau13[[#This Row],[Code machine]],'CODE mchn'!$A$4:$C$170,2,0))</f>
        <v>Ponts roulants</v>
      </c>
      <c r="D465" s="36" t="str">
        <f>IF(ISNA(VLOOKUP(Tableau13[[#This Row],[Code machine]],'CODE mchn'!$A$4:$C$170,3,0)),"",VLOOKUP(Tableau13[[#This Row],[Code machine]],'CODE mchn'!$A$4:$C$170,3,0))</f>
        <v xml:space="preserve">Pont roulant Demag 1 3,5T </v>
      </c>
      <c r="E465" s="105"/>
      <c r="F465" s="63"/>
      <c r="G465" s="36" t="s">
        <v>976</v>
      </c>
      <c r="H465" s="36" t="s">
        <v>977</v>
      </c>
      <c r="I465" s="36" t="s">
        <v>13</v>
      </c>
      <c r="J465" s="106" t="s">
        <v>978</v>
      </c>
      <c r="K465" s="124">
        <v>43763</v>
      </c>
      <c r="L465" s="63"/>
      <c r="M465" s="107">
        <v>4</v>
      </c>
      <c r="N465" s="120">
        <f>MONTH(Tableau13[[#This Row],[Date fin intervention]])</f>
        <v>10</v>
      </c>
      <c r="O465" s="120">
        <f>YEAR(Tableau13[[#This Row],[Date fin intervention]])</f>
        <v>2019</v>
      </c>
      <c r="P465" s="36"/>
    </row>
    <row r="466" spans="1:16">
      <c r="A466" s="115">
        <v>43764</v>
      </c>
      <c r="B466" s="116">
        <v>582</v>
      </c>
      <c r="C466" s="117" t="str">
        <f>IF(ISNA(VLOOKUP(Tableau13[[#This Row],[Code machine]],'CODE mchn'!$A$4:$C$170,2,0)),"",VLOOKUP(Tableau13[[#This Row],[Code machine]],'CODE mchn'!$A$4:$C$170,2,0))</f>
        <v>Acier</v>
      </c>
      <c r="D466" s="36" t="str">
        <f>IF(ISNA(VLOOKUP(Tableau13[[#This Row],[Code machine]],'CODE mchn'!$A$4:$C$170,3,0)),"",VLOOKUP(Tableau13[[#This Row],[Code machine]],'CODE mchn'!$A$4:$C$170,3,0))</f>
        <v>Teurema 2</v>
      </c>
      <c r="E466" s="105"/>
      <c r="F466" s="63"/>
      <c r="G466" s="36" t="s">
        <v>963</v>
      </c>
      <c r="H466" s="36" t="s">
        <v>968</v>
      </c>
      <c r="I466" s="36" t="s">
        <v>13</v>
      </c>
      <c r="J466" s="106" t="s">
        <v>969</v>
      </c>
      <c r="K466" s="124">
        <v>43764</v>
      </c>
      <c r="L466" s="63"/>
      <c r="M466" s="107">
        <v>2</v>
      </c>
      <c r="N466" s="120">
        <f>MONTH(Tableau13[[#This Row],[Date fin intervention]])</f>
        <v>10</v>
      </c>
      <c r="O466" s="120">
        <f>YEAR(Tableau13[[#This Row],[Date fin intervention]])</f>
        <v>2019</v>
      </c>
      <c r="P466" s="36"/>
    </row>
    <row r="467" spans="1:16">
      <c r="A467" s="115">
        <v>43764</v>
      </c>
      <c r="B467" s="116">
        <v>560</v>
      </c>
      <c r="C467" s="117" t="str">
        <f>IF(ISNA(VLOOKUP(Tableau13[[#This Row],[Code machine]],'CODE mchn'!$A$4:$C$170,2,0)),"",VLOOKUP(Tableau13[[#This Row],[Code machine]],'CODE mchn'!$A$4:$C$170,2,0))</f>
        <v>Acier</v>
      </c>
      <c r="D467" s="36" t="str">
        <f>IF(ISNA(VLOOKUP(Tableau13[[#This Row],[Code machine]],'CODE mchn'!$A$4:$C$170,3,0)),"",VLOOKUP(Tableau13[[#This Row],[Code machine]],'CODE mchn'!$A$4:$C$170,3,0))</f>
        <v>Schlatter</v>
      </c>
      <c r="E467" s="105"/>
      <c r="F467" s="63"/>
      <c r="G467" s="36" t="s">
        <v>560</v>
      </c>
      <c r="H467" s="36" t="s">
        <v>980</v>
      </c>
      <c r="I467" s="36" t="s">
        <v>107</v>
      </c>
      <c r="J467" s="106" t="s">
        <v>981</v>
      </c>
      <c r="K467" s="124">
        <v>43764</v>
      </c>
      <c r="L467" s="63"/>
      <c r="M467" s="107">
        <v>2</v>
      </c>
      <c r="N467" s="120">
        <f>MONTH(Tableau13[[#This Row],[Date fin intervention]])</f>
        <v>10</v>
      </c>
      <c r="O467" s="120">
        <f>YEAR(Tableau13[[#This Row],[Date fin intervention]])</f>
        <v>2019</v>
      </c>
      <c r="P467" s="36"/>
    </row>
    <row r="468" spans="1:16">
      <c r="A468" s="115">
        <v>43764</v>
      </c>
      <c r="B468" s="116">
        <v>570</v>
      </c>
      <c r="C468" s="117" t="str">
        <f>IF(ISNA(VLOOKUP(Tableau13[[#This Row],[Code machine]],'CODE mchn'!$A$4:$C$170,2,0)),"",VLOOKUP(Tableau13[[#This Row],[Code machine]],'CODE mchn'!$A$4:$C$170,2,0))</f>
        <v>Acier</v>
      </c>
      <c r="D468" s="36" t="str">
        <f>IF(ISNA(VLOOKUP(Tableau13[[#This Row],[Code machine]],'CODE mchn'!$A$4:$C$170,3,0)),"",VLOOKUP(Tableau13[[#This Row],[Code machine]],'CODE mchn'!$A$4:$C$170,3,0))</f>
        <v>Sigmatic</v>
      </c>
      <c r="E468" s="105"/>
      <c r="F468" s="63"/>
      <c r="G468" s="36" t="s">
        <v>982</v>
      </c>
      <c r="H468" s="36" t="s">
        <v>983</v>
      </c>
      <c r="I468" s="36" t="s">
        <v>107</v>
      </c>
      <c r="J468" s="106" t="s">
        <v>984</v>
      </c>
      <c r="K468" s="124">
        <v>43764</v>
      </c>
      <c r="L468" s="63"/>
      <c r="M468" s="107">
        <v>2</v>
      </c>
      <c r="N468" s="120">
        <f>MONTH(Tableau13[[#This Row],[Date fin intervention]])</f>
        <v>10</v>
      </c>
      <c r="O468" s="120">
        <f>YEAR(Tableau13[[#This Row],[Date fin intervention]])</f>
        <v>2019</v>
      </c>
      <c r="P468" s="36"/>
    </row>
    <row r="469" spans="1:16">
      <c r="A469" s="115">
        <v>43765</v>
      </c>
      <c r="B469" s="116">
        <v>800</v>
      </c>
      <c r="C469" s="117" t="str">
        <f>IF(ISNA(VLOOKUP(Tableau13[[#This Row],[Code machine]],'CODE mchn'!$A$4:$C$170,2,0)),"",VLOOKUP(Tableau13[[#This Row],[Code machine]],'CODE mchn'!$A$4:$C$170,2,0))</f>
        <v>Béton</v>
      </c>
      <c r="D469" s="36" t="str">
        <f>IF(ISNA(VLOOKUP(Tableau13[[#This Row],[Code machine]],'CODE mchn'!$A$4:$C$170,3,0)),"",VLOOKUP(Tableau13[[#This Row],[Code machine]],'CODE mchn'!$A$4:$C$170,3,0))</f>
        <v>Poyatos 2</v>
      </c>
      <c r="E469" s="105"/>
      <c r="F469" s="63"/>
      <c r="G469" s="36" t="s">
        <v>828</v>
      </c>
      <c r="H469" s="36" t="s">
        <v>999</v>
      </c>
      <c r="I469" s="36" t="s">
        <v>107</v>
      </c>
      <c r="J469" s="106" t="s">
        <v>1000</v>
      </c>
      <c r="K469" s="124">
        <v>43765</v>
      </c>
      <c r="L469" s="63"/>
      <c r="M469" s="107">
        <v>45</v>
      </c>
      <c r="N469" s="120">
        <f>MONTH(Tableau13[[#This Row],[Date fin intervention]])</f>
        <v>10</v>
      </c>
      <c r="O469" s="120">
        <f>YEAR(Tableau13[[#This Row],[Date fin intervention]])</f>
        <v>2019</v>
      </c>
      <c r="P469" s="36"/>
    </row>
    <row r="470" spans="1:16">
      <c r="A470" s="115">
        <v>43766</v>
      </c>
      <c r="B470" s="116">
        <v>605</v>
      </c>
      <c r="C470" s="117" t="str">
        <f>IF(ISNA(VLOOKUP(Tableau13[[#This Row],[Code machine]],'CODE mchn'!$A$4:$C$170,2,0)),"",VLOOKUP(Tableau13[[#This Row],[Code machine]],'CODE mchn'!$A$4:$C$170,2,0))</f>
        <v>Acier</v>
      </c>
      <c r="D470" s="36" t="str">
        <f>IF(ISNA(VLOOKUP(Tableau13[[#This Row],[Code machine]],'CODE mchn'!$A$4:$C$170,3,0)),"",VLOOKUP(Tableau13[[#This Row],[Code machine]],'CODE mchn'!$A$4:$C$170,3,0))</f>
        <v>Vitari 1</v>
      </c>
      <c r="E470" s="105"/>
      <c r="F470" s="63"/>
      <c r="G470" s="36" t="s">
        <v>10</v>
      </c>
      <c r="H470" s="36" t="s">
        <v>947</v>
      </c>
      <c r="I470" s="36" t="s">
        <v>13</v>
      </c>
      <c r="J470" s="106" t="s">
        <v>948</v>
      </c>
      <c r="K470" s="124">
        <v>43766</v>
      </c>
      <c r="L470" s="63"/>
      <c r="M470" s="127"/>
      <c r="N470" s="120">
        <f>MONTH(Tableau13[[#This Row],[Date fin intervention]])</f>
        <v>10</v>
      </c>
      <c r="O470" s="120">
        <f>YEAR(Tableau13[[#This Row],[Date fin intervention]])</f>
        <v>2019</v>
      </c>
      <c r="P470" s="36"/>
    </row>
    <row r="471" spans="1:16">
      <c r="A471" s="115">
        <v>43766</v>
      </c>
      <c r="B471" s="116">
        <v>560</v>
      </c>
      <c r="C471" s="117" t="str">
        <f>IF(ISNA(VLOOKUP(Tableau13[[#This Row],[Code machine]],'CODE mchn'!$A$4:$C$170,2,0)),"",VLOOKUP(Tableau13[[#This Row],[Code machine]],'CODE mchn'!$A$4:$C$170,2,0))</f>
        <v>Acier</v>
      </c>
      <c r="D471" s="36" t="str">
        <f>IF(ISNA(VLOOKUP(Tableau13[[#This Row],[Code machine]],'CODE mchn'!$A$4:$C$170,3,0)),"",VLOOKUP(Tableau13[[#This Row],[Code machine]],'CODE mchn'!$A$4:$C$170,3,0))</f>
        <v>Schlatter</v>
      </c>
      <c r="E471" s="105"/>
      <c r="F471" s="63"/>
      <c r="G471" s="36" t="s">
        <v>726</v>
      </c>
      <c r="H471" s="36" t="s">
        <v>972</v>
      </c>
      <c r="I471" s="36" t="s">
        <v>13</v>
      </c>
      <c r="J471" s="106" t="s">
        <v>949</v>
      </c>
      <c r="K471" s="124">
        <v>43766</v>
      </c>
      <c r="L471" s="63"/>
      <c r="M471" s="121"/>
      <c r="N471" s="120">
        <f>MONTH(Tableau13[[#This Row],[Date fin intervention]])</f>
        <v>10</v>
      </c>
      <c r="O471" s="120">
        <f>YEAR(Tableau13[[#This Row],[Date fin intervention]])</f>
        <v>2019</v>
      </c>
      <c r="P471" s="36"/>
    </row>
    <row r="472" spans="1:16">
      <c r="A472" s="115">
        <v>43766</v>
      </c>
      <c r="B472" s="116">
        <v>560</v>
      </c>
      <c r="C472" s="117" t="str">
        <f>IF(ISNA(VLOOKUP(Tableau13[[#This Row],[Code machine]],'CODE mchn'!$A$4:$C$170,2,0)),"",VLOOKUP(Tableau13[[#This Row],[Code machine]],'CODE mchn'!$A$4:$C$170,2,0))</f>
        <v>Acier</v>
      </c>
      <c r="D472" s="36" t="str">
        <f>IF(ISNA(VLOOKUP(Tableau13[[#This Row],[Code machine]],'CODE mchn'!$A$4:$C$170,3,0)),"",VLOOKUP(Tableau13[[#This Row],[Code machine]],'CODE mchn'!$A$4:$C$170,3,0))</f>
        <v>Schlatter</v>
      </c>
      <c r="E472" s="105"/>
      <c r="F472" s="63"/>
      <c r="G472" s="36" t="s">
        <v>421</v>
      </c>
      <c r="H472" s="36" t="s">
        <v>920</v>
      </c>
      <c r="I472" s="36" t="s">
        <v>13</v>
      </c>
      <c r="J472" s="106" t="s">
        <v>950</v>
      </c>
      <c r="K472" s="124">
        <v>43493</v>
      </c>
      <c r="L472" s="63"/>
      <c r="M472" s="107">
        <v>1</v>
      </c>
      <c r="N472" s="120">
        <f>MONTH(Tableau13[[#This Row],[Date fin intervention]])</f>
        <v>1</v>
      </c>
      <c r="O472" s="120">
        <f>YEAR(Tableau13[[#This Row],[Date fin intervention]])</f>
        <v>2019</v>
      </c>
      <c r="P472" s="36"/>
    </row>
    <row r="473" spans="1:16">
      <c r="A473" s="115">
        <v>43766</v>
      </c>
      <c r="B473" s="116">
        <v>533</v>
      </c>
      <c r="C473" s="117" t="str">
        <f>IF(ISNA(VLOOKUP(Tableau13[[#This Row],[Code machine]],'CODE mchn'!$A$4:$C$170,2,0)),"",VLOOKUP(Tableau13[[#This Row],[Code machine]],'CODE mchn'!$A$4:$C$170,2,0))</f>
        <v>Enrobage</v>
      </c>
      <c r="D473" s="36" t="str">
        <f>IF(ISNA(VLOOKUP(Tableau13[[#This Row],[Code machine]],'CODE mchn'!$A$4:$C$170,3,0)),"",VLOOKUP(Tableau13[[#This Row],[Code machine]],'CODE mchn'!$A$4:$C$170,3,0))</f>
        <v>CAROSSEL</v>
      </c>
      <c r="E473" s="105"/>
      <c r="F473" s="63"/>
      <c r="G473" s="36" t="s">
        <v>937</v>
      </c>
      <c r="H473" s="36" t="s">
        <v>951</v>
      </c>
      <c r="I473" s="36" t="s">
        <v>13</v>
      </c>
      <c r="J473" s="106" t="s">
        <v>952</v>
      </c>
      <c r="K473" s="124">
        <v>43766</v>
      </c>
      <c r="L473" s="63"/>
      <c r="M473" s="107">
        <v>1</v>
      </c>
      <c r="N473" s="120">
        <f>MONTH(Tableau13[[#This Row],[Date fin intervention]])</f>
        <v>10</v>
      </c>
      <c r="O473" s="120">
        <f>YEAR(Tableau13[[#This Row],[Date fin intervention]])</f>
        <v>2019</v>
      </c>
      <c r="P473" s="36"/>
    </row>
    <row r="474" spans="1:16" ht="28.5">
      <c r="A474" s="115">
        <v>43766</v>
      </c>
      <c r="B474" s="116">
        <v>572</v>
      </c>
      <c r="C474" s="117" t="str">
        <f>IF(ISNA(VLOOKUP(Tableau13[[#This Row],[Code machine]],'CODE mchn'!$A$4:$C$170,2,0)),"",VLOOKUP(Tableau13[[#This Row],[Code machine]],'CODE mchn'!$A$4:$C$170,2,0))</f>
        <v>Cisailles</v>
      </c>
      <c r="D474" s="36" t="str">
        <f>IF(ISNA(VLOOKUP(Tableau13[[#This Row],[Code machine]],'CODE mchn'!$A$4:$C$170,3,0)),"",VLOOKUP(Tableau13[[#This Row],[Code machine]],'CODE mchn'!$A$4:$C$170,3,0))</f>
        <v>Cisaille PN (GTA)</v>
      </c>
      <c r="E474" s="105"/>
      <c r="F474" s="63"/>
      <c r="G474" s="36" t="s">
        <v>958</v>
      </c>
      <c r="H474" s="36" t="s">
        <v>959</v>
      </c>
      <c r="I474" s="36" t="s">
        <v>125</v>
      </c>
      <c r="J474" s="106" t="s">
        <v>960</v>
      </c>
      <c r="K474" s="124">
        <v>43766</v>
      </c>
      <c r="L474" s="36" t="s">
        <v>961</v>
      </c>
      <c r="M474" s="107">
        <v>3</v>
      </c>
      <c r="N474" s="120">
        <f>MONTH(Tableau13[[#This Row],[Date fin intervention]])</f>
        <v>10</v>
      </c>
      <c r="O474" s="120">
        <f>YEAR(Tableau13[[#This Row],[Date fin intervention]])</f>
        <v>2019</v>
      </c>
      <c r="P474" s="36"/>
    </row>
    <row r="475" spans="1:16">
      <c r="A475" s="115">
        <v>43766</v>
      </c>
      <c r="B475" s="116">
        <v>590</v>
      </c>
      <c r="C475" s="117" t="str">
        <f>IF(ISNA(VLOOKUP(Tableau13[[#This Row],[Code machine]],'CODE mchn'!$A$4:$C$170,2,0)),"",VLOOKUP(Tableau13[[#This Row],[Code machine]],'CODE mchn'!$A$4:$C$170,2,0))</f>
        <v>Acier</v>
      </c>
      <c r="D475" s="36" t="str">
        <f>IF(ISNA(VLOOKUP(Tableau13[[#This Row],[Code machine]],'CODE mchn'!$A$4:$C$170,3,0)),"",VLOOKUP(Tableau13[[#This Row],[Code machine]],'CODE mchn'!$A$4:$C$170,3,0))</f>
        <v>Teurema 3</v>
      </c>
      <c r="E475" s="105"/>
      <c r="F475" s="63"/>
      <c r="G475" s="36" t="s">
        <v>964</v>
      </c>
      <c r="H475" s="36" t="s">
        <v>965</v>
      </c>
      <c r="I475" s="36" t="s">
        <v>107</v>
      </c>
      <c r="J475" s="106" t="s">
        <v>966</v>
      </c>
      <c r="K475" s="124">
        <v>43766</v>
      </c>
      <c r="L475" s="63"/>
      <c r="M475" s="107">
        <v>45</v>
      </c>
      <c r="N475" s="120">
        <f>MONTH(Tableau13[[#This Row],[Date fin intervention]])</f>
        <v>10</v>
      </c>
      <c r="O475" s="120">
        <f>YEAR(Tableau13[[#This Row],[Date fin intervention]])</f>
        <v>2019</v>
      </c>
      <c r="P475" s="36"/>
    </row>
    <row r="476" spans="1:16">
      <c r="A476" s="115">
        <v>43766</v>
      </c>
      <c r="B476" s="116">
        <v>590</v>
      </c>
      <c r="C476" s="117" t="str">
        <f>IF(ISNA(VLOOKUP(Tableau13[[#This Row],[Code machine]],'CODE mchn'!$A$4:$C$170,2,0)),"",VLOOKUP(Tableau13[[#This Row],[Code machine]],'CODE mchn'!$A$4:$C$170,2,0))</f>
        <v>Acier</v>
      </c>
      <c r="D476" s="36" t="str">
        <f>IF(ISNA(VLOOKUP(Tableau13[[#This Row],[Code machine]],'CODE mchn'!$A$4:$C$170,3,0)),"",VLOOKUP(Tableau13[[#This Row],[Code machine]],'CODE mchn'!$A$4:$C$170,3,0))</f>
        <v>Teurema 3</v>
      </c>
      <c r="E476" s="105"/>
      <c r="F476" s="63"/>
      <c r="G476" s="36" t="s">
        <v>963</v>
      </c>
      <c r="H476" s="36" t="s">
        <v>662</v>
      </c>
      <c r="I476" s="36" t="s">
        <v>107</v>
      </c>
      <c r="J476" s="106" t="s">
        <v>967</v>
      </c>
      <c r="K476" s="124">
        <v>43766</v>
      </c>
      <c r="L476" s="63"/>
      <c r="M476" s="107">
        <v>45</v>
      </c>
      <c r="N476" s="120">
        <f>MONTH(Tableau13[[#This Row],[Date fin intervention]])</f>
        <v>10</v>
      </c>
      <c r="O476" s="120">
        <f>YEAR(Tableau13[[#This Row],[Date fin intervention]])</f>
        <v>2019</v>
      </c>
      <c r="P476" s="36"/>
    </row>
    <row r="477" spans="1:16">
      <c r="A477" s="115">
        <v>43766</v>
      </c>
      <c r="B477" s="116">
        <v>580</v>
      </c>
      <c r="C477" s="106" t="str">
        <f>IF(ISNA(VLOOKUP(Tableau13[[#This Row],[Code machine]],'CODE mchn'!$A$4:$C$170,2,0)),"",VLOOKUP(Tableau13[[#This Row],[Code machine]],'CODE mchn'!$A$4:$C$170,2,0))</f>
        <v>Acier</v>
      </c>
      <c r="D477" s="36" t="str">
        <f>IF(ISNA(VLOOKUP(Tableau13[[#This Row],[Code machine]],'CODE mchn'!$A$4:$C$170,3,0)),"",VLOOKUP(Tableau13[[#This Row],[Code machine]],'CODE mchn'!$A$4:$C$170,3,0))</f>
        <v>Techno Impiante</v>
      </c>
      <c r="E477" s="105"/>
      <c r="F477" s="36"/>
      <c r="G477" s="36" t="s">
        <v>161</v>
      </c>
      <c r="H477" s="36" t="s">
        <v>973</v>
      </c>
      <c r="I477" s="36" t="s">
        <v>125</v>
      </c>
      <c r="J477" s="106" t="s">
        <v>932</v>
      </c>
      <c r="K477" s="124">
        <v>43766</v>
      </c>
      <c r="L477" s="63"/>
      <c r="M477" s="107">
        <v>45</v>
      </c>
      <c r="N477" s="120">
        <f>MONTH(Tableau13[[#This Row],[Date fin intervention]])</f>
        <v>10</v>
      </c>
      <c r="O477" s="120">
        <f>YEAR(Tableau13[[#This Row],[Date fin intervention]])</f>
        <v>2019</v>
      </c>
      <c r="P477" s="36"/>
    </row>
    <row r="478" spans="1:16">
      <c r="A478" s="115">
        <v>43766</v>
      </c>
      <c r="B478" s="116">
        <v>604</v>
      </c>
      <c r="C478" s="117" t="str">
        <f>IF(ISNA(VLOOKUP(Tableau13[[#This Row],[Code machine]],'CODE mchn'!$A$4:$C$170,2,0)),"",VLOOKUP(Tableau13[[#This Row],[Code machine]],'CODE mchn'!$A$4:$C$170,2,0))</f>
        <v>Acier</v>
      </c>
      <c r="D478" s="36" t="str">
        <f>IF(ISNA(VLOOKUP(Tableau13[[#This Row],[Code machine]],'CODE mchn'!$A$4:$C$170,3,0)),"",VLOOKUP(Tableau13[[#This Row],[Code machine]],'CODE mchn'!$A$4:$C$170,3,0))</f>
        <v>TI</v>
      </c>
      <c r="E478" s="105"/>
      <c r="F478" s="63"/>
      <c r="G478" s="36" t="s">
        <v>78</v>
      </c>
      <c r="H478" s="36" t="s">
        <v>985</v>
      </c>
      <c r="I478" s="36" t="s">
        <v>107</v>
      </c>
      <c r="J478" s="106" t="s">
        <v>986</v>
      </c>
      <c r="K478" s="124">
        <v>43766</v>
      </c>
      <c r="L478" s="63"/>
      <c r="M478" s="127"/>
      <c r="N478" s="120">
        <f>MONTH(Tableau13[[#This Row],[Date fin intervention]])</f>
        <v>10</v>
      </c>
      <c r="O478" s="120">
        <f>YEAR(Tableau13[[#This Row],[Date fin intervention]])</f>
        <v>2019</v>
      </c>
      <c r="P478" s="36"/>
    </row>
    <row r="479" spans="1:16" ht="28.5">
      <c r="A479" s="115">
        <v>43766</v>
      </c>
      <c r="B479" s="116">
        <v>584</v>
      </c>
      <c r="C479" s="117" t="str">
        <f>IF(ISNA(VLOOKUP(Tableau13[[#This Row],[Code machine]],'CODE mchn'!$A$4:$C$170,2,0)),"",VLOOKUP(Tableau13[[#This Row],[Code machine]],'CODE mchn'!$A$4:$C$170,2,0))</f>
        <v>Ponts roulants</v>
      </c>
      <c r="D479" s="36" t="str">
        <f>IF(ISNA(VLOOKUP(Tableau13[[#This Row],[Code machine]],'CODE mchn'!$A$4:$C$170,3,0)),"",VLOOKUP(Tableau13[[#This Row],[Code machine]],'CODE mchn'!$A$4:$C$170,3,0))</f>
        <v>Pont roulant Demag 3,2T (teurema2)</v>
      </c>
      <c r="E479" s="105"/>
      <c r="F479" s="63"/>
      <c r="G479" s="36" t="s">
        <v>996</v>
      </c>
      <c r="H479" s="36" t="s">
        <v>997</v>
      </c>
      <c r="I479" s="36" t="s">
        <v>13</v>
      </c>
      <c r="J479" s="106" t="s">
        <v>617</v>
      </c>
      <c r="K479" s="124">
        <v>43766</v>
      </c>
      <c r="L479" s="63"/>
      <c r="M479" s="107">
        <v>2</v>
      </c>
      <c r="N479" s="120">
        <f>MONTH(Tableau13[[#This Row],[Date fin intervention]])</f>
        <v>10</v>
      </c>
      <c r="O479" s="120">
        <f>YEAR(Tableau13[[#This Row],[Date fin intervention]])</f>
        <v>2019</v>
      </c>
      <c r="P479" s="36"/>
    </row>
    <row r="480" spans="1:16">
      <c r="A480" s="115">
        <v>43766</v>
      </c>
      <c r="B480" s="116">
        <v>700</v>
      </c>
      <c r="C480" s="117" t="str">
        <f>IF(ISNA(VLOOKUP(Tableau13[[#This Row],[Code machine]],'CODE mchn'!$A$4:$C$170,2,0)),"",VLOOKUP(Tableau13[[#This Row],[Code machine]],'CODE mchn'!$A$4:$C$170,2,0))</f>
        <v>Béton</v>
      </c>
      <c r="D480" s="36" t="str">
        <f>IF(ISNA(VLOOKUP(Tableau13[[#This Row],[Code machine]],'CODE mchn'!$A$4:$C$170,3,0)),"",VLOOKUP(Tableau13[[#This Row],[Code machine]],'CODE mchn'!$A$4:$C$170,3,0))</f>
        <v>Poyatos 1</v>
      </c>
      <c r="E480" s="105"/>
      <c r="F480" s="63"/>
      <c r="G480" s="36" t="s">
        <v>937</v>
      </c>
      <c r="H480" s="36" t="s">
        <v>1002</v>
      </c>
      <c r="I480" s="36" t="s">
        <v>13</v>
      </c>
      <c r="J480" s="106" t="s">
        <v>1003</v>
      </c>
      <c r="K480" s="124">
        <v>43766</v>
      </c>
      <c r="L480" s="63"/>
      <c r="M480" s="121"/>
      <c r="N480" s="120">
        <f>MONTH(Tableau13[[#This Row],[Date fin intervention]])</f>
        <v>10</v>
      </c>
      <c r="O480" s="120">
        <f>YEAR(Tableau13[[#This Row],[Date fin intervention]])</f>
        <v>2019</v>
      </c>
      <c r="P480" s="36"/>
    </row>
    <row r="481" spans="1:16">
      <c r="A481" s="115">
        <v>43767</v>
      </c>
      <c r="B481" s="116">
        <v>565</v>
      </c>
      <c r="C481" s="117" t="str">
        <f>IF(ISNA(VLOOKUP(Tableau13[[#This Row],[Code machine]],'CODE mchn'!$A$4:$C$170,2,0)),"",VLOOKUP(Tableau13[[#This Row],[Code machine]],'CODE mchn'!$A$4:$C$170,2,0))</f>
        <v>Acier</v>
      </c>
      <c r="D481" s="36" t="str">
        <f>IF(ISNA(VLOOKUP(Tableau13[[#This Row],[Code machine]],'CODE mchn'!$A$4:$C$170,3,0)),"",VLOOKUP(Tableau13[[#This Row],[Code machine]],'CODE mchn'!$A$4:$C$170,3,0))</f>
        <v>EVG GE12</v>
      </c>
      <c r="E481" s="105"/>
      <c r="F481" s="63"/>
      <c r="G481" s="36" t="s">
        <v>726</v>
      </c>
      <c r="H481" s="36" t="s">
        <v>953</v>
      </c>
      <c r="I481" s="36" t="s">
        <v>13</v>
      </c>
      <c r="J481" s="106" t="s">
        <v>954</v>
      </c>
      <c r="K481" s="124">
        <v>43767</v>
      </c>
      <c r="L481" s="63"/>
      <c r="M481" s="107">
        <v>40</v>
      </c>
      <c r="N481" s="120">
        <f>MONTH(Tableau13[[#This Row],[Date fin intervention]])</f>
        <v>10</v>
      </c>
      <c r="O481" s="120">
        <f>YEAR(Tableau13[[#This Row],[Date fin intervention]])</f>
        <v>2019</v>
      </c>
      <c r="P481" s="36"/>
    </row>
    <row r="482" spans="1:16">
      <c r="A482" s="115">
        <v>43767</v>
      </c>
      <c r="B482" s="116">
        <v>580</v>
      </c>
      <c r="C482" s="117" t="str">
        <f>IF(ISNA(VLOOKUP(Tableau13[[#This Row],[Code machine]],'CODE mchn'!$A$4:$C$170,2,0)),"",VLOOKUP(Tableau13[[#This Row],[Code machine]],'CODE mchn'!$A$4:$C$170,2,0))</f>
        <v>Acier</v>
      </c>
      <c r="D482" s="36" t="str">
        <f>IF(ISNA(VLOOKUP(Tableau13[[#This Row],[Code machine]],'CODE mchn'!$A$4:$C$170,3,0)),"",VLOOKUP(Tableau13[[#This Row],[Code machine]],'CODE mchn'!$A$4:$C$170,3,0))</f>
        <v>Techno Impiante</v>
      </c>
      <c r="E482" s="105"/>
      <c r="F482" s="63"/>
      <c r="G482" s="36" t="s">
        <v>970</v>
      </c>
      <c r="H482" s="36" t="s">
        <v>971</v>
      </c>
      <c r="I482" s="36" t="s">
        <v>13</v>
      </c>
      <c r="J482" s="106" t="s">
        <v>979</v>
      </c>
      <c r="K482" s="124">
        <v>43767</v>
      </c>
      <c r="L482" s="63"/>
      <c r="M482" s="107">
        <v>4</v>
      </c>
      <c r="N482" s="120">
        <f>MONTH(Tableau13[[#This Row],[Date fin intervention]])</f>
        <v>10</v>
      </c>
      <c r="O482" s="120">
        <f>YEAR(Tableau13[[#This Row],[Date fin intervention]])</f>
        <v>2019</v>
      </c>
      <c r="P482" s="36"/>
    </row>
    <row r="483" spans="1:16">
      <c r="A483" s="115">
        <v>43767</v>
      </c>
      <c r="B483" s="116">
        <v>604</v>
      </c>
      <c r="C483" s="117" t="str">
        <f>IF(ISNA(VLOOKUP(Tableau13[[#This Row],[Code machine]],'CODE mchn'!$A$4:$C$170,2,0)),"",VLOOKUP(Tableau13[[#This Row],[Code machine]],'CODE mchn'!$A$4:$C$170,2,0))</f>
        <v>Acier</v>
      </c>
      <c r="D483" s="36" t="str">
        <f>IF(ISNA(VLOOKUP(Tableau13[[#This Row],[Code machine]],'CODE mchn'!$A$4:$C$170,3,0)),"",VLOOKUP(Tableau13[[#This Row],[Code machine]],'CODE mchn'!$A$4:$C$170,3,0))</f>
        <v>TI</v>
      </c>
      <c r="E483" s="105"/>
      <c r="F483" s="63"/>
      <c r="G483" s="36" t="s">
        <v>926</v>
      </c>
      <c r="H483" s="36" t="s">
        <v>987</v>
      </c>
      <c r="I483" s="36" t="s">
        <v>107</v>
      </c>
      <c r="J483" s="106" t="s">
        <v>988</v>
      </c>
      <c r="K483" s="124">
        <v>43767</v>
      </c>
      <c r="L483" s="63"/>
      <c r="M483" s="127"/>
      <c r="N483" s="120">
        <f>MONTH(Tableau13[[#This Row],[Date fin intervention]])</f>
        <v>10</v>
      </c>
      <c r="O483" s="120">
        <f>YEAR(Tableau13[[#This Row],[Date fin intervention]])</f>
        <v>2019</v>
      </c>
      <c r="P483" s="36"/>
    </row>
    <row r="484" spans="1:16">
      <c r="A484" s="115">
        <v>43767</v>
      </c>
      <c r="B484" s="116">
        <v>605</v>
      </c>
      <c r="C484" s="117" t="str">
        <f>IF(ISNA(VLOOKUP(Tableau13[[#This Row],[Code machine]],'CODE mchn'!$A$4:$C$170,2,0)),"",VLOOKUP(Tableau13[[#This Row],[Code machine]],'CODE mchn'!$A$4:$C$170,2,0))</f>
        <v>Acier</v>
      </c>
      <c r="D484" s="36" t="str">
        <f>IF(ISNA(VLOOKUP(Tableau13[[#This Row],[Code machine]],'CODE mchn'!$A$4:$C$170,3,0)),"",VLOOKUP(Tableau13[[#This Row],[Code machine]],'CODE mchn'!$A$4:$C$170,3,0))</f>
        <v>Vitari 1</v>
      </c>
      <c r="E484" s="105"/>
      <c r="F484" s="63"/>
      <c r="G484" s="36" t="s">
        <v>78</v>
      </c>
      <c r="H484" s="36" t="s">
        <v>977</v>
      </c>
      <c r="I484" s="36" t="s">
        <v>107</v>
      </c>
      <c r="J484" s="106" t="s">
        <v>978</v>
      </c>
      <c r="K484" s="124">
        <v>43767</v>
      </c>
      <c r="L484" s="63"/>
      <c r="M484" s="127"/>
      <c r="N484" s="120">
        <f>MONTH(Tableau13[[#This Row],[Date fin intervention]])</f>
        <v>10</v>
      </c>
      <c r="O484" s="120">
        <f>YEAR(Tableau13[[#This Row],[Date fin intervention]])</f>
        <v>2019</v>
      </c>
      <c r="P484" s="36"/>
    </row>
    <row r="485" spans="1:16">
      <c r="A485" s="115">
        <v>43767</v>
      </c>
      <c r="B485" s="116">
        <v>800</v>
      </c>
      <c r="C485" s="117" t="str">
        <f>IF(ISNA(VLOOKUP(Tableau13[[#This Row],[Code machine]],'CODE mchn'!$A$4:$C$170,2,0)),"",VLOOKUP(Tableau13[[#This Row],[Code machine]],'CODE mchn'!$A$4:$C$170,2,0))</f>
        <v>Béton</v>
      </c>
      <c r="D485" s="36" t="str">
        <f>IF(ISNA(VLOOKUP(Tableau13[[#This Row],[Code machine]],'CODE mchn'!$A$4:$C$170,3,0)),"",VLOOKUP(Tableau13[[#This Row],[Code machine]],'CODE mchn'!$A$4:$C$170,3,0))</f>
        <v>Poyatos 2</v>
      </c>
      <c r="E485" s="105"/>
      <c r="F485" s="63"/>
      <c r="G485" s="36" t="s">
        <v>1001</v>
      </c>
      <c r="H485" s="36" t="s">
        <v>1002</v>
      </c>
      <c r="I485" s="36" t="s">
        <v>13</v>
      </c>
      <c r="J485" s="106" t="s">
        <v>1003</v>
      </c>
      <c r="K485" s="124">
        <v>43767</v>
      </c>
      <c r="L485" s="63"/>
      <c r="M485" s="121"/>
      <c r="N485" s="120">
        <f>MONTH(Tableau13[[#This Row],[Date fin intervention]])</f>
        <v>10</v>
      </c>
      <c r="O485" s="120">
        <f>YEAR(Tableau13[[#This Row],[Date fin intervention]])</f>
        <v>2019</v>
      </c>
      <c r="P485" s="36"/>
    </row>
    <row r="486" spans="1:16">
      <c r="A486" s="115">
        <v>43768</v>
      </c>
      <c r="B486" s="116">
        <v>565</v>
      </c>
      <c r="C486" s="117" t="str">
        <f>IF(ISNA(VLOOKUP(Tableau13[[#This Row],[Code machine]],'CODE mchn'!$A$4:$C$170,2,0)),"",VLOOKUP(Tableau13[[#This Row],[Code machine]],'CODE mchn'!$A$4:$C$170,2,0))</f>
        <v>Acier</v>
      </c>
      <c r="D486" s="36" t="str">
        <f>IF(ISNA(VLOOKUP(Tableau13[[#This Row],[Code machine]],'CODE mchn'!$A$4:$C$170,3,0)),"",VLOOKUP(Tableau13[[#This Row],[Code machine]],'CODE mchn'!$A$4:$C$170,3,0))</f>
        <v>EVG GE12</v>
      </c>
      <c r="E486" s="105"/>
      <c r="F486" s="63"/>
      <c r="G486" s="36" t="s">
        <v>955</v>
      </c>
      <c r="H486" s="36" t="s">
        <v>956</v>
      </c>
      <c r="I486" s="36" t="s">
        <v>13</v>
      </c>
      <c r="J486" s="106" t="s">
        <v>957</v>
      </c>
      <c r="K486" s="71">
        <v>43768</v>
      </c>
      <c r="L486" s="63"/>
      <c r="M486" s="121"/>
      <c r="N486" s="120">
        <f>MONTH(Tableau13[[#This Row],[Date fin intervention]])</f>
        <v>10</v>
      </c>
      <c r="O486" s="120">
        <f>YEAR(Tableau13[[#This Row],[Date fin intervention]])</f>
        <v>2019</v>
      </c>
      <c r="P486" s="36"/>
    </row>
    <row r="487" spans="1:16">
      <c r="A487" s="115">
        <v>43768</v>
      </c>
      <c r="B487" s="116">
        <v>533</v>
      </c>
      <c r="C487" s="117" t="str">
        <f>IF(ISNA(VLOOKUP(Tableau13[[#This Row],[Code machine]],'CODE mchn'!$A$4:$C$170,2,0)),"",VLOOKUP(Tableau13[[#This Row],[Code machine]],'CODE mchn'!$A$4:$C$170,2,0))</f>
        <v>Enrobage</v>
      </c>
      <c r="D487" s="36" t="str">
        <f>IF(ISNA(VLOOKUP(Tableau13[[#This Row],[Code machine]],'CODE mchn'!$A$4:$C$170,3,0)),"",VLOOKUP(Tableau13[[#This Row],[Code machine]],'CODE mchn'!$A$4:$C$170,3,0))</f>
        <v>CAROSSEL</v>
      </c>
      <c r="E487" s="105"/>
      <c r="F487" s="63"/>
      <c r="G487" s="36" t="s">
        <v>989</v>
      </c>
      <c r="H487" s="36" t="s">
        <v>990</v>
      </c>
      <c r="I487" s="36" t="s">
        <v>13</v>
      </c>
      <c r="J487" s="106" t="s">
        <v>991</v>
      </c>
      <c r="K487" s="124">
        <v>43768</v>
      </c>
      <c r="L487" s="63"/>
      <c r="M487" s="127"/>
      <c r="N487" s="120">
        <f>MONTH(Tableau13[[#This Row],[Date fin intervention]])</f>
        <v>10</v>
      </c>
      <c r="O487" s="120">
        <f>YEAR(Tableau13[[#This Row],[Date fin intervention]])</f>
        <v>2019</v>
      </c>
      <c r="P487" s="36"/>
    </row>
    <row r="488" spans="1:16">
      <c r="A488" s="115">
        <v>43768</v>
      </c>
      <c r="B488" s="116">
        <v>565</v>
      </c>
      <c r="C488" s="117" t="str">
        <f>IF(ISNA(VLOOKUP(Tableau13[[#This Row],[Code machine]],'CODE mchn'!$A$4:$C$170,2,0)),"",VLOOKUP(Tableau13[[#This Row],[Code machine]],'CODE mchn'!$A$4:$C$170,2,0))</f>
        <v>Acier</v>
      </c>
      <c r="D488" s="36" t="str">
        <f>IF(ISNA(VLOOKUP(Tableau13[[#This Row],[Code machine]],'CODE mchn'!$A$4:$C$170,3,0)),"",VLOOKUP(Tableau13[[#This Row],[Code machine]],'CODE mchn'!$A$4:$C$170,3,0))</f>
        <v>EVG GE12</v>
      </c>
      <c r="E488" s="105"/>
      <c r="F488" s="63"/>
      <c r="G488" s="63"/>
      <c r="H488" s="36" t="s">
        <v>990</v>
      </c>
      <c r="I488" s="36" t="s">
        <v>13</v>
      </c>
      <c r="J488" s="106" t="s">
        <v>992</v>
      </c>
      <c r="K488" s="124">
        <v>43768</v>
      </c>
      <c r="L488" s="63"/>
      <c r="M488" s="128"/>
      <c r="N488" s="120">
        <f>MONTH(Tableau13[[#This Row],[Date fin intervention]])</f>
        <v>10</v>
      </c>
      <c r="O488" s="120">
        <f>YEAR(Tableau13[[#This Row],[Date fin intervention]])</f>
        <v>2019</v>
      </c>
      <c r="P488" s="36"/>
    </row>
    <row r="489" spans="1:16" ht="28.5">
      <c r="A489" s="115">
        <v>43768</v>
      </c>
      <c r="B489" s="116">
        <v>583</v>
      </c>
      <c r="C489" s="117" t="str">
        <f>IF(ISNA(VLOOKUP(Tableau13[[#This Row],[Code machine]],'CODE mchn'!$A$4:$C$170,2,0)),"",VLOOKUP(Tableau13[[#This Row],[Code machine]],'CODE mchn'!$A$4:$C$170,2,0))</f>
        <v>Ponts roulants</v>
      </c>
      <c r="D489" s="36" t="str">
        <f>IF(ISNA(VLOOKUP(Tableau13[[#This Row],[Code machine]],'CODE mchn'!$A$4:$C$170,3,0)),"",VLOOKUP(Tableau13[[#This Row],[Code machine]],'CODE mchn'!$A$4:$C$170,3,0))</f>
        <v>Pont roulant Abus 5T (teurema1)</v>
      </c>
      <c r="E489" s="105"/>
      <c r="F489" s="63"/>
      <c r="G489" s="36" t="s">
        <v>888</v>
      </c>
      <c r="H489" s="36" t="s">
        <v>997</v>
      </c>
      <c r="I489" s="36" t="s">
        <v>107</v>
      </c>
      <c r="J489" s="106" t="s">
        <v>998</v>
      </c>
      <c r="K489" s="124">
        <v>43768</v>
      </c>
      <c r="L489" s="63"/>
      <c r="M489" s="107">
        <v>40</v>
      </c>
      <c r="N489" s="120">
        <f>MONTH(Tableau13[[#This Row],[Date fin intervention]])</f>
        <v>10</v>
      </c>
      <c r="O489" s="120">
        <f>YEAR(Tableau13[[#This Row],[Date fin intervention]])</f>
        <v>2019</v>
      </c>
      <c r="P489" s="36"/>
    </row>
    <row r="490" spans="1:16">
      <c r="A490" s="115">
        <v>43768</v>
      </c>
      <c r="B490" s="116">
        <v>700</v>
      </c>
      <c r="C490" s="117" t="str">
        <f>IF(ISNA(VLOOKUP(Tableau13[[#This Row],[Code machine]],'CODE mchn'!$A$4:$C$170,2,0)),"",VLOOKUP(Tableau13[[#This Row],[Code machine]],'CODE mchn'!$A$4:$C$170,2,0))</f>
        <v>Béton</v>
      </c>
      <c r="D490" s="36" t="str">
        <f>IF(ISNA(VLOOKUP(Tableau13[[#This Row],[Code machine]],'CODE mchn'!$A$4:$C$170,3,0)),"",VLOOKUP(Tableau13[[#This Row],[Code machine]],'CODE mchn'!$A$4:$C$170,3,0))</f>
        <v>Poyatos 1</v>
      </c>
      <c r="E490" s="105"/>
      <c r="F490" s="63"/>
      <c r="G490" s="36" t="s">
        <v>1004</v>
      </c>
      <c r="H490" s="36" t="s">
        <v>1005</v>
      </c>
      <c r="I490" s="36" t="s">
        <v>107</v>
      </c>
      <c r="J490" s="106" t="s">
        <v>1006</v>
      </c>
      <c r="K490" s="124">
        <v>43768</v>
      </c>
      <c r="L490" s="63"/>
      <c r="M490" s="107">
        <v>40</v>
      </c>
      <c r="N490" s="120">
        <f>MONTH(Tableau13[[#This Row],[Date fin intervention]])</f>
        <v>10</v>
      </c>
      <c r="O490" s="120">
        <f>YEAR(Tableau13[[#This Row],[Date fin intervention]])</f>
        <v>2019</v>
      </c>
      <c r="P490" s="36"/>
    </row>
    <row r="491" spans="1:16">
      <c r="A491" s="115">
        <v>43768</v>
      </c>
      <c r="B491" s="116">
        <v>800</v>
      </c>
      <c r="C491" s="117" t="str">
        <f>IF(ISNA(VLOOKUP(Tableau13[[#This Row],[Code machine]],'CODE mchn'!$A$4:$C$170,2,0)),"",VLOOKUP(Tableau13[[#This Row],[Code machine]],'CODE mchn'!$A$4:$C$170,2,0))</f>
        <v>Béton</v>
      </c>
      <c r="D491" s="36" t="str">
        <f>IF(ISNA(VLOOKUP(Tableau13[[#This Row],[Code machine]],'CODE mchn'!$A$4:$C$170,3,0)),"",VLOOKUP(Tableau13[[#This Row],[Code machine]],'CODE mchn'!$A$4:$C$170,3,0))</f>
        <v>Poyatos 2</v>
      </c>
      <c r="E491" s="105"/>
      <c r="F491" s="63"/>
      <c r="G491" s="36" t="s">
        <v>291</v>
      </c>
      <c r="H491" s="36" t="s">
        <v>1007</v>
      </c>
      <c r="I491" s="36" t="s">
        <v>107</v>
      </c>
      <c r="J491" s="106" t="s">
        <v>1008</v>
      </c>
      <c r="K491" s="124">
        <v>43768</v>
      </c>
      <c r="L491" s="63"/>
      <c r="M491" s="107">
        <v>2</v>
      </c>
      <c r="N491" s="120">
        <f>MONTH(Tableau13[[#This Row],[Date fin intervention]])</f>
        <v>10</v>
      </c>
      <c r="O491" s="120">
        <f>YEAR(Tableau13[[#This Row],[Date fin intervention]])</f>
        <v>2019</v>
      </c>
      <c r="P491" s="36"/>
    </row>
    <row r="492" spans="1:16">
      <c r="A492" s="115">
        <v>43769</v>
      </c>
      <c r="B492" s="116">
        <v>582</v>
      </c>
      <c r="C492" s="117" t="str">
        <f>IF(ISNA(VLOOKUP(Tableau13[[#This Row],[Code machine]],'CODE mchn'!$A$4:$C$170,2,0)),"",VLOOKUP(Tableau13[[#This Row],[Code machine]],'CODE mchn'!$A$4:$C$170,2,0))</f>
        <v>Acier</v>
      </c>
      <c r="D492" s="36" t="str">
        <f>IF(ISNA(VLOOKUP(Tableau13[[#This Row],[Code machine]],'CODE mchn'!$A$4:$C$170,3,0)),"",VLOOKUP(Tableau13[[#This Row],[Code machine]],'CODE mchn'!$A$4:$C$170,3,0))</f>
        <v>Teurema 2</v>
      </c>
      <c r="E492" s="105"/>
      <c r="F492" s="63"/>
      <c r="G492" s="36" t="s">
        <v>993</v>
      </c>
      <c r="H492" s="36" t="s">
        <v>994</v>
      </c>
      <c r="I492" s="36" t="s">
        <v>13</v>
      </c>
      <c r="J492" s="106" t="s">
        <v>995</v>
      </c>
      <c r="K492" s="124">
        <v>43769</v>
      </c>
      <c r="L492" s="63"/>
      <c r="M492" s="127"/>
      <c r="N492" s="120">
        <f>MONTH(Tableau13[[#This Row],[Date fin intervention]])</f>
        <v>10</v>
      </c>
      <c r="O492" s="120">
        <f>YEAR(Tableau13[[#This Row],[Date fin intervention]])</f>
        <v>2019</v>
      </c>
      <c r="P492" s="36"/>
    </row>
    <row r="493" spans="1:16">
      <c r="A493" s="115">
        <v>43769</v>
      </c>
      <c r="B493" s="116">
        <v>800</v>
      </c>
      <c r="C493" s="117" t="str">
        <f>IF(ISNA(VLOOKUP(Tableau13[[#This Row],[Code machine]],'CODE mchn'!$A$4:$C$170,2,0)),"",VLOOKUP(Tableau13[[#This Row],[Code machine]],'CODE mchn'!$A$4:$C$170,2,0))</f>
        <v>Béton</v>
      </c>
      <c r="D493" s="36" t="str">
        <f>IF(ISNA(VLOOKUP(Tableau13[[#This Row],[Code machine]],'CODE mchn'!$A$4:$C$170,3,0)),"",VLOOKUP(Tableau13[[#This Row],[Code machine]],'CODE mchn'!$A$4:$C$170,3,0))</f>
        <v>Poyatos 2</v>
      </c>
      <c r="E493" s="105"/>
      <c r="F493" s="63"/>
      <c r="G493" s="36" t="s">
        <v>306</v>
      </c>
      <c r="H493" s="36" t="s">
        <v>1009</v>
      </c>
      <c r="I493" s="36" t="s">
        <v>13</v>
      </c>
      <c r="J493" s="106" t="s">
        <v>1010</v>
      </c>
      <c r="K493" s="124">
        <v>43769</v>
      </c>
      <c r="L493" s="63"/>
      <c r="M493" s="107" t="s">
        <v>2264</v>
      </c>
      <c r="N493" s="120">
        <f>MONTH(Tableau13[[#This Row],[Date fin intervention]])</f>
        <v>10</v>
      </c>
      <c r="O493" s="120">
        <f>YEAR(Tableau13[[#This Row],[Date fin intervention]])</f>
        <v>2019</v>
      </c>
      <c r="P493" s="36"/>
    </row>
    <row r="494" spans="1:16">
      <c r="A494" s="115">
        <v>43770</v>
      </c>
      <c r="B494" s="116">
        <v>700</v>
      </c>
      <c r="C494" s="117" t="str">
        <f>IF(ISNA(VLOOKUP(Tableau13[[#This Row],[Code machine]],'CODE mchn'!$A$4:$C$170,2,0)),"",VLOOKUP(Tableau13[[#This Row],[Code machine]],'CODE mchn'!$A$4:$C$170,2,0))</f>
        <v>Béton</v>
      </c>
      <c r="D494" s="36" t="str">
        <f>IF(ISNA(VLOOKUP(Tableau13[[#This Row],[Code machine]],'CODE mchn'!$A$4:$C$170,3,0)),"",VLOOKUP(Tableau13[[#This Row],[Code machine]],'CODE mchn'!$A$4:$C$170,3,0))</f>
        <v>Poyatos 1</v>
      </c>
      <c r="E494" s="105"/>
      <c r="F494" s="63"/>
      <c r="G494" s="36" t="s">
        <v>289</v>
      </c>
      <c r="H494" s="36" t="s">
        <v>1011</v>
      </c>
      <c r="I494" s="36" t="s">
        <v>107</v>
      </c>
      <c r="J494" s="106" t="s">
        <v>818</v>
      </c>
      <c r="K494" s="124">
        <v>43770</v>
      </c>
      <c r="L494" s="63"/>
      <c r="M494" s="107">
        <v>30</v>
      </c>
      <c r="N494" s="120">
        <f>MONTH(Tableau13[[#This Row],[Date fin intervention]])</f>
        <v>11</v>
      </c>
      <c r="O494" s="120">
        <f>YEAR(Tableau13[[#This Row],[Date fin intervention]])</f>
        <v>2019</v>
      </c>
      <c r="P494" s="36"/>
    </row>
    <row r="495" spans="1:16">
      <c r="A495" s="115">
        <v>43770</v>
      </c>
      <c r="B495" s="116">
        <v>800</v>
      </c>
      <c r="C495" s="117" t="str">
        <f>IF(ISNA(VLOOKUP(Tableau13[[#This Row],[Code machine]],'CODE mchn'!$A$4:$C$170,2,0)),"",VLOOKUP(Tableau13[[#This Row],[Code machine]],'CODE mchn'!$A$4:$C$170,2,0))</f>
        <v>Béton</v>
      </c>
      <c r="D495" s="36" t="str">
        <f>IF(ISNA(VLOOKUP(Tableau13[[#This Row],[Code machine]],'CODE mchn'!$A$4:$C$170,3,0)),"",VLOOKUP(Tableau13[[#This Row],[Code machine]],'CODE mchn'!$A$4:$C$170,3,0))</f>
        <v>Poyatos 2</v>
      </c>
      <c r="E495" s="105"/>
      <c r="F495" s="63"/>
      <c r="G495" s="36" t="s">
        <v>118</v>
      </c>
      <c r="H495" s="36" t="s">
        <v>1012</v>
      </c>
      <c r="I495" s="36" t="s">
        <v>13</v>
      </c>
      <c r="J495" s="106" t="s">
        <v>1013</v>
      </c>
      <c r="K495" s="124">
        <v>43739</v>
      </c>
      <c r="L495" s="63"/>
      <c r="M495" s="107">
        <v>2</v>
      </c>
      <c r="N495" s="120">
        <f>MONTH(Tableau13[[#This Row],[Date fin intervention]])</f>
        <v>10</v>
      </c>
      <c r="O495" s="120">
        <f>YEAR(Tableau13[[#This Row],[Date fin intervention]])</f>
        <v>2019</v>
      </c>
      <c r="P495" s="36"/>
    </row>
    <row r="496" spans="1:16">
      <c r="A496" s="115">
        <v>43770</v>
      </c>
      <c r="B496" s="116">
        <v>582</v>
      </c>
      <c r="C496" s="117" t="str">
        <f>IF(ISNA(VLOOKUP(Tableau13[[#This Row],[Code machine]],'CODE mchn'!$A$4:$C$170,2,0)),"",VLOOKUP(Tableau13[[#This Row],[Code machine]],'CODE mchn'!$A$4:$C$170,2,0))</f>
        <v>Acier</v>
      </c>
      <c r="D496" s="36" t="str">
        <f>IF(ISNA(VLOOKUP(Tableau13[[#This Row],[Code machine]],'CODE mchn'!$A$4:$C$170,3,0)),"",VLOOKUP(Tableau13[[#This Row],[Code machine]],'CODE mchn'!$A$4:$C$170,3,0))</f>
        <v>Teurema 2</v>
      </c>
      <c r="E496" s="105"/>
      <c r="F496" s="63"/>
      <c r="G496" s="36" t="s">
        <v>171</v>
      </c>
      <c r="H496" s="36" t="s">
        <v>1052</v>
      </c>
      <c r="I496" s="36" t="s">
        <v>13</v>
      </c>
      <c r="J496" s="106" t="s">
        <v>1053</v>
      </c>
      <c r="K496" s="124">
        <v>43770</v>
      </c>
      <c r="L496" s="63"/>
      <c r="M496" s="107">
        <v>30</v>
      </c>
      <c r="N496" s="120">
        <f>MONTH(Tableau13[[#This Row],[Date fin intervention]])</f>
        <v>11</v>
      </c>
      <c r="O496" s="120">
        <f>YEAR(Tableau13[[#This Row],[Date fin intervention]])</f>
        <v>2019</v>
      </c>
      <c r="P496" s="36"/>
    </row>
    <row r="497" spans="1:16">
      <c r="A497" s="115">
        <v>43773</v>
      </c>
      <c r="B497" s="116">
        <v>800</v>
      </c>
      <c r="C497" s="117" t="str">
        <f>IF(ISNA(VLOOKUP(Tableau13[[#This Row],[Code machine]],'CODE mchn'!$A$4:$C$170,2,0)),"",VLOOKUP(Tableau13[[#This Row],[Code machine]],'CODE mchn'!$A$4:$C$170,2,0))</f>
        <v>Béton</v>
      </c>
      <c r="D497" s="36" t="str">
        <f>IF(ISNA(VLOOKUP(Tableau13[[#This Row],[Code machine]],'CODE mchn'!$A$4:$C$170,3,0)),"",VLOOKUP(Tableau13[[#This Row],[Code machine]],'CODE mchn'!$A$4:$C$170,3,0))</f>
        <v>Poyatos 2</v>
      </c>
      <c r="E497" s="105"/>
      <c r="F497" s="63"/>
      <c r="G497" s="36" t="s">
        <v>1021</v>
      </c>
      <c r="H497" s="36" t="s">
        <v>673</v>
      </c>
      <c r="I497" s="36" t="s">
        <v>107</v>
      </c>
      <c r="J497" s="106" t="s">
        <v>1014</v>
      </c>
      <c r="K497" s="124">
        <v>43773</v>
      </c>
      <c r="L497" s="63"/>
      <c r="M497" s="107">
        <v>30</v>
      </c>
      <c r="N497" s="120">
        <f>MONTH(Tableau13[[#This Row],[Date fin intervention]])</f>
        <v>11</v>
      </c>
      <c r="O497" s="120">
        <f>YEAR(Tableau13[[#This Row],[Date fin intervention]])</f>
        <v>2019</v>
      </c>
      <c r="P497" s="36"/>
    </row>
    <row r="498" spans="1:16">
      <c r="A498" s="115">
        <v>43773</v>
      </c>
      <c r="B498" s="116">
        <v>570</v>
      </c>
      <c r="C498" s="117" t="str">
        <f>IF(ISNA(VLOOKUP(Tableau13[[#This Row],[Code machine]],'CODE mchn'!$A$4:$C$170,2,0)),"",VLOOKUP(Tableau13[[#This Row],[Code machine]],'CODE mchn'!$A$4:$C$170,2,0))</f>
        <v>Acier</v>
      </c>
      <c r="D498" s="36" t="str">
        <f>IF(ISNA(VLOOKUP(Tableau13[[#This Row],[Code machine]],'CODE mchn'!$A$4:$C$170,3,0)),"",VLOOKUP(Tableau13[[#This Row],[Code machine]],'CODE mchn'!$A$4:$C$170,3,0))</f>
        <v>Sigmatic</v>
      </c>
      <c r="E498" s="105"/>
      <c r="F498" s="63"/>
      <c r="G498" s="36" t="s">
        <v>161</v>
      </c>
      <c r="H498" s="36" t="s">
        <v>1037</v>
      </c>
      <c r="I498" s="36" t="s">
        <v>13</v>
      </c>
      <c r="J498" s="106" t="s">
        <v>1038</v>
      </c>
      <c r="K498" s="124">
        <v>43773</v>
      </c>
      <c r="L498" s="63"/>
      <c r="M498" s="107">
        <v>30</v>
      </c>
      <c r="N498" s="120">
        <f>MONTH(Tableau13[[#This Row],[Date fin intervention]])</f>
        <v>11</v>
      </c>
      <c r="O498" s="120">
        <f>YEAR(Tableau13[[#This Row],[Date fin intervention]])</f>
        <v>2019</v>
      </c>
      <c r="P498" s="36"/>
    </row>
    <row r="499" spans="1:16">
      <c r="A499" s="115">
        <v>43773</v>
      </c>
      <c r="B499" s="116">
        <v>590</v>
      </c>
      <c r="C499" s="117" t="str">
        <f>IF(ISNA(VLOOKUP(Tableau13[[#This Row],[Code machine]],'CODE mchn'!$A$4:$C$170,2,0)),"",VLOOKUP(Tableau13[[#This Row],[Code machine]],'CODE mchn'!$A$4:$C$170,2,0))</f>
        <v>Acier</v>
      </c>
      <c r="D499" s="36" t="str">
        <f>IF(ISNA(VLOOKUP(Tableau13[[#This Row],[Code machine]],'CODE mchn'!$A$4:$C$170,3,0)),"",VLOOKUP(Tableau13[[#This Row],[Code machine]],'CODE mchn'!$A$4:$C$170,3,0))</f>
        <v>Teurema 3</v>
      </c>
      <c r="E499" s="105"/>
      <c r="F499" s="63"/>
      <c r="G499" s="36" t="s">
        <v>49</v>
      </c>
      <c r="H499" s="36" t="s">
        <v>1054</v>
      </c>
      <c r="I499" s="36" t="s">
        <v>13</v>
      </c>
      <c r="J499" s="106" t="s">
        <v>1055</v>
      </c>
      <c r="K499" s="124">
        <v>43773</v>
      </c>
      <c r="L499" s="63"/>
      <c r="M499" s="107">
        <v>1</v>
      </c>
      <c r="N499" s="120">
        <f>MONTH(Tableau13[[#This Row],[Date fin intervention]])</f>
        <v>11</v>
      </c>
      <c r="O499" s="120">
        <f>YEAR(Tableau13[[#This Row],[Date fin intervention]])</f>
        <v>2019</v>
      </c>
      <c r="P499" s="36"/>
    </row>
    <row r="500" spans="1:16">
      <c r="A500" s="115">
        <v>43773</v>
      </c>
      <c r="B500" s="116">
        <v>582</v>
      </c>
      <c r="C500" s="117" t="str">
        <f>IF(ISNA(VLOOKUP(Tableau13[[#This Row],[Code machine]],'CODE mchn'!$A$4:$C$170,2,0)),"",VLOOKUP(Tableau13[[#This Row],[Code machine]],'CODE mchn'!$A$4:$C$170,2,0))</f>
        <v>Acier</v>
      </c>
      <c r="D500" s="36" t="str">
        <f>IF(ISNA(VLOOKUP(Tableau13[[#This Row],[Code machine]],'CODE mchn'!$A$4:$C$170,3,0)),"",VLOOKUP(Tableau13[[#This Row],[Code machine]],'CODE mchn'!$A$4:$C$170,3,0))</f>
        <v>Teurema 2</v>
      </c>
      <c r="E500" s="105"/>
      <c r="F500" s="63"/>
      <c r="G500" s="36" t="s">
        <v>1056</v>
      </c>
      <c r="H500" s="36" t="s">
        <v>1057</v>
      </c>
      <c r="I500" s="36" t="s">
        <v>13</v>
      </c>
      <c r="J500" s="106" t="s">
        <v>1058</v>
      </c>
      <c r="K500" s="124">
        <v>43773</v>
      </c>
      <c r="L500" s="63"/>
      <c r="M500" s="127"/>
      <c r="N500" s="120">
        <f>MONTH(Tableau13[[#This Row],[Date fin intervention]])</f>
        <v>11</v>
      </c>
      <c r="O500" s="120">
        <f>YEAR(Tableau13[[#This Row],[Date fin intervention]])</f>
        <v>2019</v>
      </c>
      <c r="P500" s="36"/>
    </row>
    <row r="501" spans="1:16">
      <c r="A501" s="115">
        <v>43774</v>
      </c>
      <c r="B501" s="116">
        <v>800</v>
      </c>
      <c r="C501" s="117" t="str">
        <f>IF(ISNA(VLOOKUP(Tableau13[[#This Row],[Code machine]],'CODE mchn'!$A$4:$C$170,2,0)),"",VLOOKUP(Tableau13[[#This Row],[Code machine]],'CODE mchn'!$A$4:$C$170,2,0))</f>
        <v>Béton</v>
      </c>
      <c r="D501" s="36" t="str">
        <f>IF(ISNA(VLOOKUP(Tableau13[[#This Row],[Code machine]],'CODE mchn'!$A$4:$C$170,3,0)),"",VLOOKUP(Tableau13[[#This Row],[Code machine]],'CODE mchn'!$A$4:$C$170,3,0))</f>
        <v>Poyatos 2</v>
      </c>
      <c r="E501" s="105"/>
      <c r="F501" s="63"/>
      <c r="G501" s="36" t="s">
        <v>1015</v>
      </c>
      <c r="H501" s="36" t="s">
        <v>1016</v>
      </c>
      <c r="I501" s="36" t="s">
        <v>13</v>
      </c>
      <c r="J501" s="106" t="s">
        <v>1017</v>
      </c>
      <c r="K501" s="124">
        <v>43774</v>
      </c>
      <c r="L501" s="63"/>
      <c r="M501" s="107">
        <v>40</v>
      </c>
      <c r="N501" s="120">
        <f>MONTH(Tableau13[[#This Row],[Date fin intervention]])</f>
        <v>11</v>
      </c>
      <c r="O501" s="120">
        <f>YEAR(Tableau13[[#This Row],[Date fin intervention]])</f>
        <v>2019</v>
      </c>
      <c r="P501" s="36"/>
    </row>
    <row r="502" spans="1:16">
      <c r="A502" s="115">
        <v>43774</v>
      </c>
      <c r="B502" s="116">
        <v>582</v>
      </c>
      <c r="C502" s="117" t="str">
        <f>IF(ISNA(VLOOKUP(Tableau13[[#This Row],[Code machine]],'CODE mchn'!$A$4:$C$170,2,0)),"",VLOOKUP(Tableau13[[#This Row],[Code machine]],'CODE mchn'!$A$4:$C$170,2,0))</f>
        <v>Acier</v>
      </c>
      <c r="D502" s="36" t="str">
        <f>IF(ISNA(VLOOKUP(Tableau13[[#This Row],[Code machine]],'CODE mchn'!$A$4:$C$170,3,0)),"",VLOOKUP(Tableau13[[#This Row],[Code machine]],'CODE mchn'!$A$4:$C$170,3,0))</f>
        <v>Teurema 2</v>
      </c>
      <c r="E502" s="105"/>
      <c r="F502" s="63"/>
      <c r="G502" s="36" t="s">
        <v>1059</v>
      </c>
      <c r="H502" s="36" t="s">
        <v>352</v>
      </c>
      <c r="I502" s="36" t="s">
        <v>13</v>
      </c>
      <c r="J502" s="106" t="s">
        <v>450</v>
      </c>
      <c r="K502" s="124">
        <v>43774</v>
      </c>
      <c r="L502" s="63"/>
      <c r="M502" s="107">
        <v>1</v>
      </c>
      <c r="N502" s="120">
        <f>MONTH(Tableau13[[#This Row],[Date fin intervention]])</f>
        <v>11</v>
      </c>
      <c r="O502" s="120">
        <f>YEAR(Tableau13[[#This Row],[Date fin intervention]])</f>
        <v>2019</v>
      </c>
      <c r="P502" s="36"/>
    </row>
    <row r="503" spans="1:16">
      <c r="A503" s="115">
        <v>43774</v>
      </c>
      <c r="B503" s="116">
        <v>590</v>
      </c>
      <c r="C503" s="117" t="str">
        <f>IF(ISNA(VLOOKUP(Tableau13[[#This Row],[Code machine]],'CODE mchn'!$A$4:$C$170,2,0)),"",VLOOKUP(Tableau13[[#This Row],[Code machine]],'CODE mchn'!$A$4:$C$170,2,0))</f>
        <v>Acier</v>
      </c>
      <c r="D503" s="36" t="str">
        <f>IF(ISNA(VLOOKUP(Tableau13[[#This Row],[Code machine]],'CODE mchn'!$A$4:$C$170,3,0)),"",VLOOKUP(Tableau13[[#This Row],[Code machine]],'CODE mchn'!$A$4:$C$170,3,0))</f>
        <v>Teurema 3</v>
      </c>
      <c r="E503" s="105"/>
      <c r="F503" s="63"/>
      <c r="G503" s="36" t="s">
        <v>1060</v>
      </c>
      <c r="H503" s="36" t="s">
        <v>1061</v>
      </c>
      <c r="I503" s="36" t="s">
        <v>13</v>
      </c>
      <c r="J503" s="106" t="s">
        <v>1062</v>
      </c>
      <c r="K503" s="124">
        <v>43774</v>
      </c>
      <c r="L503" s="63"/>
      <c r="M503" s="107">
        <v>3</v>
      </c>
      <c r="N503" s="120">
        <f>MONTH(Tableau13[[#This Row],[Date fin intervention]])</f>
        <v>11</v>
      </c>
      <c r="O503" s="120">
        <f>YEAR(Tableau13[[#This Row],[Date fin intervention]])</f>
        <v>2019</v>
      </c>
      <c r="P503" s="36"/>
    </row>
    <row r="504" spans="1:16">
      <c r="A504" s="115">
        <v>43776</v>
      </c>
      <c r="B504" s="116">
        <v>700</v>
      </c>
      <c r="C504" s="117" t="str">
        <f>IF(ISNA(VLOOKUP(Tableau13[[#This Row],[Code machine]],'CODE mchn'!$A$4:$C$170,2,0)),"",VLOOKUP(Tableau13[[#This Row],[Code machine]],'CODE mchn'!$A$4:$C$170,2,0))</f>
        <v>Béton</v>
      </c>
      <c r="D504" s="36" t="str">
        <f>IF(ISNA(VLOOKUP(Tableau13[[#This Row],[Code machine]],'CODE mchn'!$A$4:$C$170,3,0)),"",VLOOKUP(Tableau13[[#This Row],[Code machine]],'CODE mchn'!$A$4:$C$170,3,0))</f>
        <v>Poyatos 1</v>
      </c>
      <c r="E504" s="105"/>
      <c r="F504" s="63"/>
      <c r="G504" s="36" t="s">
        <v>289</v>
      </c>
      <c r="H504" s="36" t="s">
        <v>1018</v>
      </c>
      <c r="I504" s="36" t="s">
        <v>107</v>
      </c>
      <c r="J504" s="106" t="s">
        <v>549</v>
      </c>
      <c r="K504" s="124">
        <v>43776</v>
      </c>
      <c r="L504" s="63"/>
      <c r="M504" s="107">
        <v>30</v>
      </c>
      <c r="N504" s="120">
        <f>MONTH(Tableau13[[#This Row],[Date fin intervention]])</f>
        <v>11</v>
      </c>
      <c r="O504" s="120">
        <f>YEAR(Tableau13[[#This Row],[Date fin intervention]])</f>
        <v>2019</v>
      </c>
      <c r="P504" s="36"/>
    </row>
    <row r="505" spans="1:16">
      <c r="A505" s="115">
        <v>43780</v>
      </c>
      <c r="B505" s="116">
        <v>800</v>
      </c>
      <c r="C505" s="117" t="str">
        <f>IF(ISNA(VLOOKUP(Tableau13[[#This Row],[Code machine]],'CODE mchn'!$A$4:$C$170,2,0)),"",VLOOKUP(Tableau13[[#This Row],[Code machine]],'CODE mchn'!$A$4:$C$170,2,0))</f>
        <v>Béton</v>
      </c>
      <c r="D505" s="36" t="str">
        <f>IF(ISNA(VLOOKUP(Tableau13[[#This Row],[Code machine]],'CODE mchn'!$A$4:$C$170,3,0)),"",VLOOKUP(Tableau13[[#This Row],[Code machine]],'CODE mchn'!$A$4:$C$170,3,0))</f>
        <v>Poyatos 2</v>
      </c>
      <c r="E505" s="105"/>
      <c r="F505" s="63"/>
      <c r="G505" s="36" t="s">
        <v>60</v>
      </c>
      <c r="H505" s="36" t="s">
        <v>1019</v>
      </c>
      <c r="I505" s="36" t="s">
        <v>13</v>
      </c>
      <c r="J505" s="106" t="s">
        <v>1020</v>
      </c>
      <c r="K505" s="124">
        <v>43780</v>
      </c>
      <c r="L505" s="63"/>
      <c r="M505" s="107">
        <v>40</v>
      </c>
      <c r="N505" s="120">
        <f>MONTH(Tableau13[[#This Row],[Date fin intervention]])</f>
        <v>11</v>
      </c>
      <c r="O505" s="120">
        <f>YEAR(Tableau13[[#This Row],[Date fin intervention]])</f>
        <v>2019</v>
      </c>
      <c r="P505" s="36"/>
    </row>
    <row r="506" spans="1:16">
      <c r="A506" s="115">
        <v>43781</v>
      </c>
      <c r="B506" s="116">
        <v>800</v>
      </c>
      <c r="C506" s="117" t="str">
        <f>IF(ISNA(VLOOKUP(Tableau13[[#This Row],[Code machine]],'CODE mchn'!$A$4:$C$170,2,0)),"",VLOOKUP(Tableau13[[#This Row],[Code machine]],'CODE mchn'!$A$4:$C$170,2,0))</f>
        <v>Béton</v>
      </c>
      <c r="D506" s="36" t="str">
        <f>IF(ISNA(VLOOKUP(Tableau13[[#This Row],[Code machine]],'CODE mchn'!$A$4:$C$170,3,0)),"",VLOOKUP(Tableau13[[#This Row],[Code machine]],'CODE mchn'!$A$4:$C$170,3,0))</f>
        <v>Poyatos 2</v>
      </c>
      <c r="E506" s="105"/>
      <c r="F506" s="63"/>
      <c r="G506" s="36" t="s">
        <v>118</v>
      </c>
      <c r="H506" s="36" t="s">
        <v>1025</v>
      </c>
      <c r="I506" s="36" t="s">
        <v>107</v>
      </c>
      <c r="J506" s="106" t="s">
        <v>1026</v>
      </c>
      <c r="K506" s="124">
        <v>43781</v>
      </c>
      <c r="L506" s="63"/>
      <c r="M506" s="127"/>
      <c r="N506" s="120">
        <f>MONTH(Tableau13[[#This Row],[Date fin intervention]])</f>
        <v>11</v>
      </c>
      <c r="O506" s="120">
        <f>YEAR(Tableau13[[#This Row],[Date fin intervention]])</f>
        <v>2019</v>
      </c>
      <c r="P506" s="36"/>
    </row>
    <row r="507" spans="1:16">
      <c r="A507" s="115">
        <v>43781</v>
      </c>
      <c r="B507" s="116">
        <v>800</v>
      </c>
      <c r="C507" s="117" t="str">
        <f>IF(ISNA(VLOOKUP(Tableau13[[#This Row],[Code machine]],'CODE mchn'!$A$4:$C$170,2,0)),"",VLOOKUP(Tableau13[[#This Row],[Code machine]],'CODE mchn'!$A$4:$C$170,2,0))</f>
        <v>Béton</v>
      </c>
      <c r="D507" s="36" t="str">
        <f>IF(ISNA(VLOOKUP(Tableau13[[#This Row],[Code machine]],'CODE mchn'!$A$4:$C$170,3,0)),"",VLOOKUP(Tableau13[[#This Row],[Code machine]],'CODE mchn'!$A$4:$C$170,3,0))</f>
        <v>Poyatos 2</v>
      </c>
      <c r="E507" s="105"/>
      <c r="F507" s="63"/>
      <c r="G507" s="36" t="s">
        <v>937</v>
      </c>
      <c r="H507" s="36" t="s">
        <v>1022</v>
      </c>
      <c r="I507" s="36" t="s">
        <v>13</v>
      </c>
      <c r="J507" s="106" t="s">
        <v>1023</v>
      </c>
      <c r="K507" s="71">
        <v>43781</v>
      </c>
      <c r="L507" s="63"/>
      <c r="M507" s="107">
        <v>30</v>
      </c>
      <c r="N507" s="120">
        <f>MONTH(Tableau13[[#This Row],[Date fin intervention]])</f>
        <v>11</v>
      </c>
      <c r="O507" s="120">
        <f>YEAR(Tableau13[[#This Row],[Date fin intervention]])</f>
        <v>2019</v>
      </c>
      <c r="P507" s="36"/>
    </row>
    <row r="508" spans="1:16">
      <c r="A508" s="115">
        <v>43781</v>
      </c>
      <c r="B508" s="116">
        <v>800</v>
      </c>
      <c r="C508" s="117" t="str">
        <f>IF(ISNA(VLOOKUP(Tableau13[[#This Row],[Code machine]],'CODE mchn'!$A$4:$C$170,2,0)),"",VLOOKUP(Tableau13[[#This Row],[Code machine]],'CODE mchn'!$A$4:$C$170,2,0))</f>
        <v>Béton</v>
      </c>
      <c r="D508" s="36" t="str">
        <f>IF(ISNA(VLOOKUP(Tableau13[[#This Row],[Code machine]],'CODE mchn'!$A$4:$C$170,3,0)),"",VLOOKUP(Tableau13[[#This Row],[Code machine]],'CODE mchn'!$A$4:$C$170,3,0))</f>
        <v>Poyatos 2</v>
      </c>
      <c r="E508" s="105"/>
      <c r="F508" s="63"/>
      <c r="G508" s="36" t="s">
        <v>1015</v>
      </c>
      <c r="H508" s="36" t="s">
        <v>1024</v>
      </c>
      <c r="I508" s="36" t="s">
        <v>13</v>
      </c>
      <c r="J508" s="106" t="s">
        <v>901</v>
      </c>
      <c r="K508" s="124">
        <v>43781</v>
      </c>
      <c r="L508" s="63"/>
      <c r="M508" s="107">
        <v>2</v>
      </c>
      <c r="N508" s="120">
        <f>MONTH(Tableau13[[#This Row],[Date fin intervention]])</f>
        <v>11</v>
      </c>
      <c r="O508" s="120">
        <f>YEAR(Tableau13[[#This Row],[Date fin intervention]])</f>
        <v>2019</v>
      </c>
      <c r="P508" s="36"/>
    </row>
    <row r="509" spans="1:16">
      <c r="A509" s="115">
        <v>43781</v>
      </c>
      <c r="B509" s="116">
        <v>700</v>
      </c>
      <c r="C509" s="117" t="str">
        <f>IF(ISNA(VLOOKUP(Tableau13[[#This Row],[Code machine]],'CODE mchn'!$A$4:$C$170,2,0)),"",VLOOKUP(Tableau13[[#This Row],[Code machine]],'CODE mchn'!$A$4:$C$170,2,0))</f>
        <v>Béton</v>
      </c>
      <c r="D509" s="36" t="str">
        <f>IF(ISNA(VLOOKUP(Tableau13[[#This Row],[Code machine]],'CODE mchn'!$A$4:$C$170,3,0)),"",VLOOKUP(Tableau13[[#This Row],[Code machine]],'CODE mchn'!$A$4:$C$170,3,0))</f>
        <v>Poyatos 1</v>
      </c>
      <c r="E509" s="105"/>
      <c r="F509" s="63"/>
      <c r="G509" s="36" t="s">
        <v>1015</v>
      </c>
      <c r="H509" s="36" t="s">
        <v>1027</v>
      </c>
      <c r="I509" s="36" t="s">
        <v>13</v>
      </c>
      <c r="J509" s="106" t="s">
        <v>1028</v>
      </c>
      <c r="K509" s="124">
        <v>43785</v>
      </c>
      <c r="L509" s="63"/>
      <c r="M509" s="107">
        <v>5</v>
      </c>
      <c r="N509" s="120">
        <f>MONTH(Tableau13[[#This Row],[Date fin intervention]])</f>
        <v>11</v>
      </c>
      <c r="O509" s="120">
        <f>YEAR(Tableau13[[#This Row],[Date fin intervention]])</f>
        <v>2019</v>
      </c>
      <c r="P509" s="36"/>
    </row>
    <row r="510" spans="1:16" ht="28.5">
      <c r="A510" s="115">
        <v>43781</v>
      </c>
      <c r="B510" s="116">
        <v>582</v>
      </c>
      <c r="C510" s="117" t="str">
        <f>IF(ISNA(VLOOKUP(Tableau13[[#This Row],[Code machine]],'CODE mchn'!$A$4:$C$170,2,0)),"",VLOOKUP(Tableau13[[#This Row],[Code machine]],'CODE mchn'!$A$4:$C$170,2,0))</f>
        <v>Acier</v>
      </c>
      <c r="D510" s="36" t="str">
        <f>IF(ISNA(VLOOKUP(Tableau13[[#This Row],[Code machine]],'CODE mchn'!$A$4:$C$170,3,0)),"",VLOOKUP(Tableau13[[#This Row],[Code machine]],'CODE mchn'!$A$4:$C$170,3,0))</f>
        <v>Teurema 2</v>
      </c>
      <c r="E510" s="105"/>
      <c r="F510" s="63"/>
      <c r="G510" s="36" t="s">
        <v>1063</v>
      </c>
      <c r="H510" s="36" t="s">
        <v>1064</v>
      </c>
      <c r="I510" s="36" t="s">
        <v>13</v>
      </c>
      <c r="J510" s="106" t="s">
        <v>1065</v>
      </c>
      <c r="K510" s="124">
        <v>43781</v>
      </c>
      <c r="L510" s="63"/>
      <c r="M510" s="107">
        <v>6</v>
      </c>
      <c r="N510" s="120">
        <f>MONTH(Tableau13[[#This Row],[Date fin intervention]])</f>
        <v>11</v>
      </c>
      <c r="O510" s="120">
        <f>YEAR(Tableau13[[#This Row],[Date fin intervention]])</f>
        <v>2019</v>
      </c>
      <c r="P510" s="36"/>
    </row>
    <row r="511" spans="1:16">
      <c r="A511" s="115">
        <v>43781</v>
      </c>
      <c r="B511" s="116">
        <v>582</v>
      </c>
      <c r="C511" s="117" t="str">
        <f>IF(ISNA(VLOOKUP(Tableau13[[#This Row],[Code machine]],'CODE mchn'!$A$4:$C$170,2,0)),"",VLOOKUP(Tableau13[[#This Row],[Code machine]],'CODE mchn'!$A$4:$C$170,2,0))</f>
        <v>Acier</v>
      </c>
      <c r="D511" s="36" t="str">
        <f>IF(ISNA(VLOOKUP(Tableau13[[#This Row],[Code machine]],'CODE mchn'!$A$4:$C$170,3,0)),"",VLOOKUP(Tableau13[[#This Row],[Code machine]],'CODE mchn'!$A$4:$C$170,3,0))</f>
        <v>Teurema 2</v>
      </c>
      <c r="E511" s="105"/>
      <c r="F511" s="63"/>
      <c r="G511" s="36" t="s">
        <v>49</v>
      </c>
      <c r="H511" s="36" t="s">
        <v>623</v>
      </c>
      <c r="I511" s="36" t="s">
        <v>13</v>
      </c>
      <c r="J511" s="106" t="s">
        <v>1066</v>
      </c>
      <c r="K511" s="124">
        <v>43781</v>
      </c>
      <c r="L511" s="63"/>
      <c r="M511" s="127"/>
      <c r="N511" s="120">
        <f>MONTH(Tableau13[[#This Row],[Date fin intervention]])</f>
        <v>11</v>
      </c>
      <c r="O511" s="120">
        <f>YEAR(Tableau13[[#This Row],[Date fin intervention]])</f>
        <v>2019</v>
      </c>
      <c r="P511" s="36"/>
    </row>
    <row r="512" spans="1:16">
      <c r="A512" s="115">
        <v>43782</v>
      </c>
      <c r="B512" s="116">
        <v>604</v>
      </c>
      <c r="C512" s="117" t="str">
        <f>IF(ISNA(VLOOKUP(Tableau13[[#This Row],[Code machine]],'CODE mchn'!$A$4:$C$170,2,0)),"",VLOOKUP(Tableau13[[#This Row],[Code machine]],'CODE mchn'!$A$4:$C$170,2,0))</f>
        <v>Acier</v>
      </c>
      <c r="D512" s="36" t="str">
        <f>IF(ISNA(VLOOKUP(Tableau13[[#This Row],[Code machine]],'CODE mchn'!$A$4:$C$170,3,0)),"",VLOOKUP(Tableau13[[#This Row],[Code machine]],'CODE mchn'!$A$4:$C$170,3,0))</f>
        <v>TI</v>
      </c>
      <c r="E512" s="105"/>
      <c r="F512" s="63"/>
      <c r="G512" s="36" t="s">
        <v>10</v>
      </c>
      <c r="H512" s="36" t="s">
        <v>927</v>
      </c>
      <c r="I512" s="36" t="s">
        <v>13</v>
      </c>
      <c r="J512" s="106" t="s">
        <v>1039</v>
      </c>
      <c r="K512" s="124">
        <v>43782</v>
      </c>
      <c r="L512" s="63"/>
      <c r="M512" s="107">
        <v>3</v>
      </c>
      <c r="N512" s="120">
        <f>MONTH(Tableau13[[#This Row],[Date fin intervention]])</f>
        <v>11</v>
      </c>
      <c r="O512" s="120">
        <f>YEAR(Tableau13[[#This Row],[Date fin intervention]])</f>
        <v>2019</v>
      </c>
      <c r="P512" s="36"/>
    </row>
    <row r="513" spans="1:16">
      <c r="A513" s="115">
        <v>43782</v>
      </c>
      <c r="B513" s="116">
        <v>560</v>
      </c>
      <c r="C513" s="117" t="str">
        <f>IF(ISNA(VLOOKUP(Tableau13[[#This Row],[Code machine]],'CODE mchn'!$A$4:$C$170,2,0)),"",VLOOKUP(Tableau13[[#This Row],[Code machine]],'CODE mchn'!$A$4:$C$170,2,0))</f>
        <v>Acier</v>
      </c>
      <c r="D513" s="36" t="str">
        <f>IF(ISNA(VLOOKUP(Tableau13[[#This Row],[Code machine]],'CODE mchn'!$A$4:$C$170,3,0)),"",VLOOKUP(Tableau13[[#This Row],[Code machine]],'CODE mchn'!$A$4:$C$170,3,0))</f>
        <v>Schlatter</v>
      </c>
      <c r="E513" s="105"/>
      <c r="F513" s="63"/>
      <c r="G513" s="36" t="s">
        <v>104</v>
      </c>
      <c r="H513" s="36" t="s">
        <v>1040</v>
      </c>
      <c r="I513" s="36" t="s">
        <v>13</v>
      </c>
      <c r="J513" s="106" t="s">
        <v>1041</v>
      </c>
      <c r="K513" s="124">
        <v>43782</v>
      </c>
      <c r="L513" s="63"/>
      <c r="M513" s="107">
        <v>30</v>
      </c>
      <c r="N513" s="120">
        <f>MONTH(Tableau13[[#This Row],[Date fin intervention]])</f>
        <v>11</v>
      </c>
      <c r="O513" s="120">
        <f>YEAR(Tableau13[[#This Row],[Date fin intervention]])</f>
        <v>2019</v>
      </c>
      <c r="P513" s="36"/>
    </row>
    <row r="514" spans="1:16">
      <c r="A514" s="115">
        <v>43782</v>
      </c>
      <c r="B514" s="116">
        <v>590</v>
      </c>
      <c r="C514" s="117" t="str">
        <f>IF(ISNA(VLOOKUP(Tableau13[[#This Row],[Code machine]],'CODE mchn'!$A$4:$C$170,2,0)),"",VLOOKUP(Tableau13[[#This Row],[Code machine]],'CODE mchn'!$A$4:$C$170,2,0))</f>
        <v>Acier</v>
      </c>
      <c r="D514" s="36" t="str">
        <f>IF(ISNA(VLOOKUP(Tableau13[[#This Row],[Code machine]],'CODE mchn'!$A$4:$C$170,3,0)),"",VLOOKUP(Tableau13[[#This Row],[Code machine]],'CODE mchn'!$A$4:$C$170,3,0))</f>
        <v>Teurema 3</v>
      </c>
      <c r="E514" s="105"/>
      <c r="F514" s="63"/>
      <c r="G514" s="36" t="s">
        <v>643</v>
      </c>
      <c r="H514" s="36" t="s">
        <v>352</v>
      </c>
      <c r="I514" s="36" t="s">
        <v>13</v>
      </c>
      <c r="J514" s="106" t="s">
        <v>1069</v>
      </c>
      <c r="K514" s="71">
        <v>43782</v>
      </c>
      <c r="L514" s="63"/>
      <c r="M514" s="107">
        <v>1</v>
      </c>
      <c r="N514" s="120">
        <f>MONTH(Tableau13[[#This Row],[Date fin intervention]])</f>
        <v>11</v>
      </c>
      <c r="O514" s="120">
        <f>YEAR(Tableau13[[#This Row],[Date fin intervention]])</f>
        <v>2019</v>
      </c>
      <c r="P514" s="36"/>
    </row>
    <row r="515" spans="1:16">
      <c r="A515" s="115">
        <v>43783</v>
      </c>
      <c r="B515" s="116">
        <v>606</v>
      </c>
      <c r="C515" s="117" t="str">
        <f>IF(ISNA(VLOOKUP(Tableau13[[#This Row],[Code machine]],'CODE mchn'!$A$4:$C$170,2,0)),"",VLOOKUP(Tableau13[[#This Row],[Code machine]],'CODE mchn'!$A$4:$C$170,2,0))</f>
        <v>Acier</v>
      </c>
      <c r="D515" s="36" t="str">
        <f>IF(ISNA(VLOOKUP(Tableau13[[#This Row],[Code machine]],'CODE mchn'!$A$4:$C$170,3,0)),"",VLOOKUP(Tableau13[[#This Row],[Code machine]],'CODE mchn'!$A$4:$C$170,3,0))</f>
        <v>Vitari 2</v>
      </c>
      <c r="E515" s="105"/>
      <c r="F515" s="63"/>
      <c r="G515" s="36" t="s">
        <v>10</v>
      </c>
      <c r="H515" s="36" t="s">
        <v>1042</v>
      </c>
      <c r="I515" s="36" t="s">
        <v>13</v>
      </c>
      <c r="J515" s="106" t="s">
        <v>1043</v>
      </c>
      <c r="K515" s="124">
        <v>43783</v>
      </c>
      <c r="L515" s="63"/>
      <c r="M515" s="127"/>
      <c r="N515" s="120">
        <f>MONTH(Tableau13[[#This Row],[Date fin intervention]])</f>
        <v>11</v>
      </c>
      <c r="O515" s="120">
        <f>YEAR(Tableau13[[#This Row],[Date fin intervention]])</f>
        <v>2019</v>
      </c>
      <c r="P515" s="36"/>
    </row>
    <row r="516" spans="1:16">
      <c r="A516" s="115">
        <v>43784</v>
      </c>
      <c r="B516" s="116">
        <v>700</v>
      </c>
      <c r="C516" s="117" t="str">
        <f>IF(ISNA(VLOOKUP(Tableau13[[#This Row],[Code machine]],'CODE mchn'!$A$4:$C$170,2,0)),"",VLOOKUP(Tableau13[[#This Row],[Code machine]],'CODE mchn'!$A$4:$C$170,2,0))</f>
        <v>Béton</v>
      </c>
      <c r="D516" s="36" t="str">
        <f>IF(ISNA(VLOOKUP(Tableau13[[#This Row],[Code machine]],'CODE mchn'!$A$4:$C$170,3,0)),"",VLOOKUP(Tableau13[[#This Row],[Code machine]],'CODE mchn'!$A$4:$C$170,3,0))</f>
        <v>Poyatos 1</v>
      </c>
      <c r="E516" s="105"/>
      <c r="F516" s="63"/>
      <c r="G516" s="36" t="s">
        <v>289</v>
      </c>
      <c r="H516" s="36" t="s">
        <v>1029</v>
      </c>
      <c r="I516" s="36" t="s">
        <v>8</v>
      </c>
      <c r="J516" s="106" t="s">
        <v>1030</v>
      </c>
      <c r="K516" s="124">
        <v>43784</v>
      </c>
      <c r="L516" s="63"/>
      <c r="M516" s="107">
        <v>30</v>
      </c>
      <c r="N516" s="120">
        <f>MONTH(Tableau13[[#This Row],[Date fin intervention]])</f>
        <v>11</v>
      </c>
      <c r="O516" s="120">
        <f>YEAR(Tableau13[[#This Row],[Date fin intervention]])</f>
        <v>2019</v>
      </c>
      <c r="P516" s="36"/>
    </row>
    <row r="517" spans="1:16">
      <c r="A517" s="115">
        <v>43785</v>
      </c>
      <c r="B517" s="116">
        <v>582</v>
      </c>
      <c r="C517" s="117" t="str">
        <f>IF(ISNA(VLOOKUP(Tableau13[[#This Row],[Code machine]],'CODE mchn'!$A$4:$C$170,2,0)),"",VLOOKUP(Tableau13[[#This Row],[Code machine]],'CODE mchn'!$A$4:$C$170,2,0))</f>
        <v>Acier</v>
      </c>
      <c r="D517" s="36" t="str">
        <f>IF(ISNA(VLOOKUP(Tableau13[[#This Row],[Code machine]],'CODE mchn'!$A$4:$C$170,3,0)),"",VLOOKUP(Tableau13[[#This Row],[Code machine]],'CODE mchn'!$A$4:$C$170,3,0))</f>
        <v>Teurema 2</v>
      </c>
      <c r="E517" s="105"/>
      <c r="F517" s="63"/>
      <c r="G517" s="36" t="s">
        <v>1067</v>
      </c>
      <c r="H517" s="36" t="s">
        <v>764</v>
      </c>
      <c r="I517" s="36" t="s">
        <v>13</v>
      </c>
      <c r="J517" s="106" t="s">
        <v>1068</v>
      </c>
      <c r="K517" s="124">
        <v>43785</v>
      </c>
      <c r="L517" s="63"/>
      <c r="M517" s="107">
        <v>2</v>
      </c>
      <c r="N517" s="120">
        <f>MONTH(Tableau13[[#This Row],[Date fin intervention]])</f>
        <v>11</v>
      </c>
      <c r="O517" s="120">
        <f>YEAR(Tableau13[[#This Row],[Date fin intervention]])</f>
        <v>2019</v>
      </c>
      <c r="P517" s="36"/>
    </row>
    <row r="518" spans="1:16">
      <c r="A518" s="115">
        <v>43787</v>
      </c>
      <c r="B518" s="116">
        <v>603</v>
      </c>
      <c r="C518" s="117" t="str">
        <f>IF(ISNA(VLOOKUP(Tableau13[[#This Row],[Code machine]],'CODE mchn'!$A$4:$C$170,2,0)),"",VLOOKUP(Tableau13[[#This Row],[Code machine]],'CODE mchn'!$A$4:$C$170,2,0))</f>
        <v>Acier</v>
      </c>
      <c r="D518" s="36" t="str">
        <f>IF(ISNA(VLOOKUP(Tableau13[[#This Row],[Code machine]],'CODE mchn'!$A$4:$C$170,3,0)),"",VLOOKUP(Tableau13[[#This Row],[Code machine]],'CODE mchn'!$A$4:$C$170,3,0))</f>
        <v>Wafios Reutlingen</v>
      </c>
      <c r="E518" s="105"/>
      <c r="F518" s="63"/>
      <c r="G518" s="36" t="s">
        <v>1044</v>
      </c>
      <c r="H518" s="36" t="s">
        <v>1045</v>
      </c>
      <c r="I518" s="36" t="s">
        <v>13</v>
      </c>
      <c r="J518" s="106" t="s">
        <v>1046</v>
      </c>
      <c r="K518" s="124">
        <v>43787</v>
      </c>
      <c r="L518" s="63"/>
      <c r="M518" s="107">
        <v>1</v>
      </c>
      <c r="N518" s="120">
        <f>MONTH(Tableau13[[#This Row],[Date fin intervention]])</f>
        <v>11</v>
      </c>
      <c r="O518" s="120">
        <f>YEAR(Tableau13[[#This Row],[Date fin intervention]])</f>
        <v>2019</v>
      </c>
      <c r="P518" s="36"/>
    </row>
    <row r="519" spans="1:16">
      <c r="A519" s="115">
        <v>43788</v>
      </c>
      <c r="B519" s="116">
        <v>700</v>
      </c>
      <c r="C519" s="117" t="str">
        <f>IF(ISNA(VLOOKUP(Tableau13[[#This Row],[Code machine]],'CODE mchn'!$A$4:$C$170,2,0)),"",VLOOKUP(Tableau13[[#This Row],[Code machine]],'CODE mchn'!$A$4:$C$170,2,0))</f>
        <v>Béton</v>
      </c>
      <c r="D519" s="36" t="str">
        <f>IF(ISNA(VLOOKUP(Tableau13[[#This Row],[Code machine]],'CODE mchn'!$A$4:$C$170,3,0)),"",VLOOKUP(Tableau13[[#This Row],[Code machine]],'CODE mchn'!$A$4:$C$170,3,0))</f>
        <v>Poyatos 1</v>
      </c>
      <c r="E519" s="105"/>
      <c r="F519" s="63"/>
      <c r="G519" s="36" t="s">
        <v>319</v>
      </c>
      <c r="H519" s="36" t="s">
        <v>1031</v>
      </c>
      <c r="I519" s="36" t="s">
        <v>13</v>
      </c>
      <c r="J519" s="106" t="s">
        <v>1032</v>
      </c>
      <c r="K519" s="124">
        <v>43788</v>
      </c>
      <c r="L519" s="63"/>
      <c r="M519" s="121"/>
      <c r="N519" s="120">
        <f>MONTH(Tableau13[[#This Row],[Date fin intervention]])</f>
        <v>11</v>
      </c>
      <c r="O519" s="120">
        <f>YEAR(Tableau13[[#This Row],[Date fin intervention]])</f>
        <v>2019</v>
      </c>
      <c r="P519" s="36"/>
    </row>
    <row r="520" spans="1:16">
      <c r="A520" s="115">
        <v>43788</v>
      </c>
      <c r="B520" s="116">
        <v>700</v>
      </c>
      <c r="C520" s="117" t="str">
        <f>IF(ISNA(VLOOKUP(Tableau13[[#This Row],[Code machine]],'CODE mchn'!$A$4:$C$170,2,0)),"",VLOOKUP(Tableau13[[#This Row],[Code machine]],'CODE mchn'!$A$4:$C$170,2,0))</f>
        <v>Béton</v>
      </c>
      <c r="D520" s="36" t="str">
        <f>IF(ISNA(VLOOKUP(Tableau13[[#This Row],[Code machine]],'CODE mchn'!$A$4:$C$170,3,0)),"",VLOOKUP(Tableau13[[#This Row],[Code machine]],'CODE mchn'!$A$4:$C$170,3,0))</f>
        <v>Poyatos 1</v>
      </c>
      <c r="E520" s="105"/>
      <c r="F520" s="63"/>
      <c r="G520" s="36" t="s">
        <v>809</v>
      </c>
      <c r="H520" s="36" t="s">
        <v>1033</v>
      </c>
      <c r="I520" s="36" t="s">
        <v>13</v>
      </c>
      <c r="J520" s="106" t="s">
        <v>1034</v>
      </c>
      <c r="K520" s="124">
        <v>43788</v>
      </c>
      <c r="L520" s="63"/>
      <c r="M520" s="121"/>
      <c r="N520" s="120">
        <f>MONTH(Tableau13[[#This Row],[Date fin intervention]])</f>
        <v>11</v>
      </c>
      <c r="O520" s="120">
        <f>YEAR(Tableau13[[#This Row],[Date fin intervention]])</f>
        <v>2019</v>
      </c>
      <c r="P520" s="36"/>
    </row>
    <row r="521" spans="1:16">
      <c r="A521" s="115">
        <v>43789</v>
      </c>
      <c r="B521" s="116">
        <v>700</v>
      </c>
      <c r="C521" s="117" t="str">
        <f>IF(ISNA(VLOOKUP(Tableau13[[#This Row],[Code machine]],'CODE mchn'!$A$4:$C$170,2,0)),"",VLOOKUP(Tableau13[[#This Row],[Code machine]],'CODE mchn'!$A$4:$C$170,2,0))</f>
        <v>Béton</v>
      </c>
      <c r="D521" s="36" t="str">
        <f>IF(ISNA(VLOOKUP(Tableau13[[#This Row],[Code machine]],'CODE mchn'!$A$4:$C$170,3,0)),"",VLOOKUP(Tableau13[[#This Row],[Code machine]],'CODE mchn'!$A$4:$C$170,3,0))</f>
        <v>Poyatos 1</v>
      </c>
      <c r="E521" s="105"/>
      <c r="F521" s="63"/>
      <c r="G521" s="36" t="s">
        <v>306</v>
      </c>
      <c r="H521" s="36" t="s">
        <v>1035</v>
      </c>
      <c r="I521" s="36" t="s">
        <v>13</v>
      </c>
      <c r="J521" s="106" t="s">
        <v>1036</v>
      </c>
      <c r="K521" s="124">
        <v>43789</v>
      </c>
      <c r="L521" s="63"/>
      <c r="M521" s="121"/>
      <c r="N521" s="120">
        <f>MONTH(Tableau13[[#This Row],[Date fin intervention]])</f>
        <v>11</v>
      </c>
      <c r="O521" s="120">
        <f>YEAR(Tableau13[[#This Row],[Date fin intervention]])</f>
        <v>2019</v>
      </c>
      <c r="P521" s="36"/>
    </row>
    <row r="522" spans="1:16">
      <c r="A522" s="115">
        <v>43790</v>
      </c>
      <c r="B522" s="116">
        <v>590</v>
      </c>
      <c r="C522" s="117" t="str">
        <f>IF(ISNA(VLOOKUP(Tableau13[[#This Row],[Code machine]],'CODE mchn'!$A$4:$C$170,2,0)),"",VLOOKUP(Tableau13[[#This Row],[Code machine]],'CODE mchn'!$A$4:$C$170,2,0))</f>
        <v>Acier</v>
      </c>
      <c r="D522" s="36" t="str">
        <f>IF(ISNA(VLOOKUP(Tableau13[[#This Row],[Code machine]],'CODE mchn'!$A$4:$C$170,3,0)),"",VLOOKUP(Tableau13[[#This Row],[Code machine]],'CODE mchn'!$A$4:$C$170,3,0))</f>
        <v>Teurema 3</v>
      </c>
      <c r="E522" s="105"/>
      <c r="F522" s="63"/>
      <c r="G522" s="36" t="s">
        <v>274</v>
      </c>
      <c r="H522" s="36" t="s">
        <v>1070</v>
      </c>
      <c r="I522" s="36" t="s">
        <v>13</v>
      </c>
      <c r="J522" s="106" t="s">
        <v>1071</v>
      </c>
      <c r="K522" s="124">
        <v>43790</v>
      </c>
      <c r="L522" s="63"/>
      <c r="M522" s="107">
        <v>1</v>
      </c>
      <c r="N522" s="120">
        <f>MONTH(Tableau13[[#This Row],[Date fin intervention]])</f>
        <v>11</v>
      </c>
      <c r="O522" s="120">
        <f>YEAR(Tableau13[[#This Row],[Date fin intervention]])</f>
        <v>2019</v>
      </c>
      <c r="P522" s="36"/>
    </row>
    <row r="523" spans="1:16">
      <c r="A523" s="104">
        <v>43791</v>
      </c>
      <c r="B523" s="116">
        <v>571</v>
      </c>
      <c r="C523" s="117" t="str">
        <f>IF(ISNA(VLOOKUP(Tableau13[[#This Row],[Code machine]],'CODE mchn'!$A$4:$C$170,2,0)),"",VLOOKUP(Tableau13[[#This Row],[Code machine]],'CODE mchn'!$A$4:$C$170,2,0))</f>
        <v>Acier</v>
      </c>
      <c r="D523" s="36" t="str">
        <f>IF(ISNA(VLOOKUP(Tableau13[[#This Row],[Code machine]],'CODE mchn'!$A$4:$C$170,3,0)),"",VLOOKUP(Tableau13[[#This Row],[Code machine]],'CODE mchn'!$A$4:$C$170,3,0))</f>
        <v>EVG PN 1</v>
      </c>
      <c r="E523" s="105"/>
      <c r="F523" s="63"/>
      <c r="G523" s="36" t="s">
        <v>10</v>
      </c>
      <c r="H523" s="36" t="s">
        <v>520</v>
      </c>
      <c r="I523" s="36" t="s">
        <v>13</v>
      </c>
      <c r="J523" s="106" t="s">
        <v>601</v>
      </c>
      <c r="K523" s="124">
        <v>43791</v>
      </c>
      <c r="L523" s="63"/>
      <c r="M523" s="127"/>
      <c r="N523" s="120">
        <f>MONTH(Tableau13[[#This Row],[Date fin intervention]])</f>
        <v>11</v>
      </c>
      <c r="O523" s="120">
        <f>YEAR(Tableau13[[#This Row],[Date fin intervention]])</f>
        <v>2019</v>
      </c>
      <c r="P523" s="36"/>
    </row>
    <row r="524" spans="1:16">
      <c r="A524" s="115">
        <v>43791</v>
      </c>
      <c r="B524" s="116">
        <v>590</v>
      </c>
      <c r="C524" s="117" t="str">
        <f>IF(ISNA(VLOOKUP(Tableau13[[#This Row],[Code machine]],'CODE mchn'!$A$4:$C$170,2,0)),"",VLOOKUP(Tableau13[[#This Row],[Code machine]],'CODE mchn'!$A$4:$C$170,2,0))</f>
        <v>Acier</v>
      </c>
      <c r="D524" s="36" t="str">
        <f>IF(ISNA(VLOOKUP(Tableau13[[#This Row],[Code machine]],'CODE mchn'!$A$4:$C$170,3,0)),"",VLOOKUP(Tableau13[[#This Row],[Code machine]],'CODE mchn'!$A$4:$C$170,3,0))</f>
        <v>Teurema 3</v>
      </c>
      <c r="E524" s="105"/>
      <c r="F524" s="63"/>
      <c r="G524" s="36" t="s">
        <v>49</v>
      </c>
      <c r="H524" s="36" t="s">
        <v>1072</v>
      </c>
      <c r="I524" s="36" t="s">
        <v>13</v>
      </c>
      <c r="J524" s="106" t="s">
        <v>1073</v>
      </c>
      <c r="K524" s="124">
        <v>43791</v>
      </c>
      <c r="L524" s="63"/>
      <c r="M524" s="107">
        <v>45</v>
      </c>
      <c r="N524" s="120">
        <f>MONTH(Tableau13[[#This Row],[Date fin intervention]])</f>
        <v>11</v>
      </c>
      <c r="O524" s="120">
        <f>YEAR(Tableau13[[#This Row],[Date fin intervention]])</f>
        <v>2019</v>
      </c>
      <c r="P524" s="36"/>
    </row>
    <row r="525" spans="1:16">
      <c r="A525" s="115">
        <v>43791</v>
      </c>
      <c r="B525" s="116">
        <v>590</v>
      </c>
      <c r="C525" s="117" t="str">
        <f>IF(ISNA(VLOOKUP(Tableau13[[#This Row],[Code machine]],'CODE mchn'!$A$4:$C$170,2,0)),"",VLOOKUP(Tableau13[[#This Row],[Code machine]],'CODE mchn'!$A$4:$C$170,2,0))</f>
        <v>Acier</v>
      </c>
      <c r="D525" s="36" t="str">
        <f>IF(ISNA(VLOOKUP(Tableau13[[#This Row],[Code machine]],'CODE mchn'!$A$4:$C$170,3,0)),"",VLOOKUP(Tableau13[[#This Row],[Code machine]],'CODE mchn'!$A$4:$C$170,3,0))</f>
        <v>Teurema 3</v>
      </c>
      <c r="E525" s="105"/>
      <c r="F525" s="63"/>
      <c r="G525" s="36" t="s">
        <v>274</v>
      </c>
      <c r="H525" s="36" t="s">
        <v>922</v>
      </c>
      <c r="I525" s="36" t="s">
        <v>13</v>
      </c>
      <c r="J525" s="106" t="s">
        <v>599</v>
      </c>
      <c r="K525" s="124">
        <v>43791</v>
      </c>
      <c r="L525" s="63"/>
      <c r="M525" s="107">
        <v>3</v>
      </c>
      <c r="N525" s="120">
        <f>MONTH(Tableau13[[#This Row],[Date fin intervention]])</f>
        <v>11</v>
      </c>
      <c r="O525" s="120">
        <f>YEAR(Tableau13[[#This Row],[Date fin intervention]])</f>
        <v>2019</v>
      </c>
      <c r="P525" s="36"/>
    </row>
    <row r="526" spans="1:16">
      <c r="A526" s="115">
        <v>43792</v>
      </c>
      <c r="B526" s="116">
        <v>582</v>
      </c>
      <c r="C526" s="117" t="str">
        <f>IF(ISNA(VLOOKUP(Tableau13[[#This Row],[Code machine]],'CODE mchn'!$A$4:$C$170,2,0)),"",VLOOKUP(Tableau13[[#This Row],[Code machine]],'CODE mchn'!$A$4:$C$170,2,0))</f>
        <v>Acier</v>
      </c>
      <c r="D526" s="36" t="str">
        <f>IF(ISNA(VLOOKUP(Tableau13[[#This Row],[Code machine]],'CODE mchn'!$A$4:$C$170,3,0)),"",VLOOKUP(Tableau13[[#This Row],[Code machine]],'CODE mchn'!$A$4:$C$170,3,0))</f>
        <v>Teurema 2</v>
      </c>
      <c r="E526" s="105"/>
      <c r="F526" s="63"/>
      <c r="G526" s="36" t="s">
        <v>49</v>
      </c>
      <c r="H526" s="36" t="s">
        <v>1074</v>
      </c>
      <c r="I526" s="36" t="s">
        <v>13</v>
      </c>
      <c r="J526" s="106" t="s">
        <v>1075</v>
      </c>
      <c r="K526" s="124">
        <v>43792</v>
      </c>
      <c r="L526" s="63"/>
      <c r="M526" s="107">
        <v>30</v>
      </c>
      <c r="N526" s="120">
        <f>MONTH(Tableau13[[#This Row],[Date fin intervention]])</f>
        <v>11</v>
      </c>
      <c r="O526" s="120">
        <f>YEAR(Tableau13[[#This Row],[Date fin intervention]])</f>
        <v>2019</v>
      </c>
      <c r="P526" s="36"/>
    </row>
    <row r="527" spans="1:16">
      <c r="A527" s="115">
        <v>43792</v>
      </c>
      <c r="B527" s="116">
        <v>582</v>
      </c>
      <c r="C527" s="117" t="str">
        <f>IF(ISNA(VLOOKUP(Tableau13[[#This Row],[Code machine]],'CODE mchn'!$A$4:$C$170,2,0)),"",VLOOKUP(Tableau13[[#This Row],[Code machine]],'CODE mchn'!$A$4:$C$170,2,0))</f>
        <v>Acier</v>
      </c>
      <c r="D527" s="36" t="str">
        <f>IF(ISNA(VLOOKUP(Tableau13[[#This Row],[Code machine]],'CODE mchn'!$A$4:$C$170,3,0)),"",VLOOKUP(Tableau13[[#This Row],[Code machine]],'CODE mchn'!$A$4:$C$170,3,0))</f>
        <v>Teurema 2</v>
      </c>
      <c r="E527" s="105"/>
      <c r="F527" s="63"/>
      <c r="G527" s="36" t="s">
        <v>171</v>
      </c>
      <c r="H527" s="36" t="s">
        <v>439</v>
      </c>
      <c r="I527" s="36" t="s">
        <v>13</v>
      </c>
      <c r="J527" s="106" t="s">
        <v>1076</v>
      </c>
      <c r="K527" s="124">
        <v>43792</v>
      </c>
      <c r="L527" s="63"/>
      <c r="M527" s="107">
        <v>30</v>
      </c>
      <c r="N527" s="120">
        <f>MONTH(Tableau13[[#This Row],[Date fin intervention]])</f>
        <v>11</v>
      </c>
      <c r="O527" s="120">
        <f>YEAR(Tableau13[[#This Row],[Date fin intervention]])</f>
        <v>2019</v>
      </c>
      <c r="P527" s="36"/>
    </row>
    <row r="528" spans="1:16">
      <c r="A528" s="115">
        <v>43792</v>
      </c>
      <c r="B528" s="116">
        <v>561</v>
      </c>
      <c r="C528" s="117" t="str">
        <f>IF(ISNA(VLOOKUP(Tableau13[[#This Row],[Code machine]],'CODE mchn'!$A$4:$C$170,2,0)),"",VLOOKUP(Tableau13[[#This Row],[Code machine]],'CODE mchn'!$A$4:$C$170,2,0))</f>
        <v>Ponts roulants</v>
      </c>
      <c r="D528" s="36" t="str">
        <f>IF(ISNA(VLOOKUP(Tableau13[[#This Row],[Code machine]],'CODE mchn'!$A$4:$C$170,3,0)),"",VLOOKUP(Tableau13[[#This Row],[Code machine]],'CODE mchn'!$A$4:$C$170,3,0))</f>
        <v>Pont roulant Demag 5T TS</v>
      </c>
      <c r="E528" s="105"/>
      <c r="F528" s="63"/>
      <c r="G528" s="36" t="s">
        <v>52</v>
      </c>
      <c r="H528" s="36" t="s">
        <v>376</v>
      </c>
      <c r="I528" s="36" t="s">
        <v>13</v>
      </c>
      <c r="J528" s="106" t="s">
        <v>1087</v>
      </c>
      <c r="K528" s="124">
        <v>43792</v>
      </c>
      <c r="L528" s="63"/>
      <c r="M528" s="107">
        <v>3</v>
      </c>
      <c r="N528" s="120">
        <f>MONTH(Tableau13[[#This Row],[Date fin intervention]])</f>
        <v>11</v>
      </c>
      <c r="O528" s="120">
        <f>YEAR(Tableau13[[#This Row],[Date fin intervention]])</f>
        <v>2019</v>
      </c>
      <c r="P528" s="36"/>
    </row>
    <row r="529" spans="1:16">
      <c r="A529" s="115">
        <v>43792</v>
      </c>
      <c r="B529" s="116">
        <v>560</v>
      </c>
      <c r="C529" s="117" t="str">
        <f>IF(ISNA(VLOOKUP(Tableau13[[#This Row],[Code machine]],'CODE mchn'!$A$4:$C$170,2,0)),"",VLOOKUP(Tableau13[[#This Row],[Code machine]],'CODE mchn'!$A$4:$C$170,2,0))</f>
        <v>Acier</v>
      </c>
      <c r="D529" s="36" t="str">
        <f>IF(ISNA(VLOOKUP(Tableau13[[#This Row],[Code machine]],'CODE mchn'!$A$4:$C$170,3,0)),"",VLOOKUP(Tableau13[[#This Row],[Code machine]],'CODE mchn'!$A$4:$C$170,3,0))</f>
        <v>Schlatter</v>
      </c>
      <c r="E529" s="105"/>
      <c r="F529" s="63"/>
      <c r="G529" s="36" t="s">
        <v>784</v>
      </c>
      <c r="H529" s="36" t="s">
        <v>1092</v>
      </c>
      <c r="I529" s="36" t="s">
        <v>13</v>
      </c>
      <c r="J529" s="106" t="s">
        <v>1093</v>
      </c>
      <c r="K529" s="124">
        <v>43792</v>
      </c>
      <c r="L529" s="63"/>
      <c r="M529" s="121"/>
      <c r="N529" s="120">
        <f>MONTH(Tableau13[[#This Row],[Date fin intervention]])</f>
        <v>11</v>
      </c>
      <c r="O529" s="120">
        <f>YEAR(Tableau13[[#This Row],[Date fin intervention]])</f>
        <v>2019</v>
      </c>
      <c r="P529" s="36"/>
    </row>
    <row r="530" spans="1:16" ht="28.5">
      <c r="A530" s="115">
        <v>43793</v>
      </c>
      <c r="B530" s="116">
        <v>700</v>
      </c>
      <c r="C530" s="117" t="str">
        <f>IF(ISNA(VLOOKUP(Tableau13[[#This Row],[Code machine]],'CODE mchn'!$A$4:$C$170,2,0)),"",VLOOKUP(Tableau13[[#This Row],[Code machine]],'CODE mchn'!$A$4:$C$170,2,0))</f>
        <v>Béton</v>
      </c>
      <c r="D530" s="36" t="str">
        <f>IF(ISNA(VLOOKUP(Tableau13[[#This Row],[Code machine]],'CODE mchn'!$A$4:$C$170,3,0)),"",VLOOKUP(Tableau13[[#This Row],[Code machine]],'CODE mchn'!$A$4:$C$170,3,0))</f>
        <v>Poyatos 1</v>
      </c>
      <c r="E530" s="105"/>
      <c r="F530" s="63"/>
      <c r="G530" s="36" t="s">
        <v>306</v>
      </c>
      <c r="H530" s="36" t="s">
        <v>1047</v>
      </c>
      <c r="I530" s="36" t="s">
        <v>13</v>
      </c>
      <c r="J530" s="106" t="s">
        <v>579</v>
      </c>
      <c r="K530" s="124">
        <v>43793</v>
      </c>
      <c r="L530" s="36" t="s">
        <v>1123</v>
      </c>
      <c r="M530" s="107"/>
      <c r="N530" s="120">
        <f>MONTH(Tableau13[[#This Row],[Date fin intervention]])</f>
        <v>11</v>
      </c>
      <c r="O530" s="120">
        <f>YEAR(Tableau13[[#This Row],[Date fin intervention]])</f>
        <v>2019</v>
      </c>
      <c r="P530" s="36"/>
    </row>
    <row r="531" spans="1:16" ht="28.5">
      <c r="A531" s="115">
        <v>43794</v>
      </c>
      <c r="B531" s="116">
        <v>574</v>
      </c>
      <c r="C531" s="117" t="str">
        <f>IF(ISNA(VLOOKUP(Tableau13[[#This Row],[Code machine]],'CODE mchn'!$A$4:$C$170,2,0)),"",VLOOKUP(Tableau13[[#This Row],[Code machine]],'CODE mchn'!$A$4:$C$170,2,0))</f>
        <v>Ponts roulants</v>
      </c>
      <c r="D531" s="36" t="str">
        <f>IF(ISNA(VLOOKUP(Tableau13[[#This Row],[Code machine]],'CODE mchn'!$A$4:$C$170,3,0)),"",VLOOKUP(Tableau13[[#This Row],[Code machine]],'CODE mchn'!$A$4:$C$170,3,0))</f>
        <v>Pont roulant Demag 2 3,2T (Charge)</v>
      </c>
      <c r="E531" s="105"/>
      <c r="F531" s="63"/>
      <c r="G531" s="36" t="s">
        <v>667</v>
      </c>
      <c r="H531" s="36" t="s">
        <v>1050</v>
      </c>
      <c r="I531" s="36" t="s">
        <v>13</v>
      </c>
      <c r="J531" s="106" t="s">
        <v>1051</v>
      </c>
      <c r="K531" s="124">
        <v>43795</v>
      </c>
      <c r="L531" s="63"/>
      <c r="M531" s="107">
        <v>3</v>
      </c>
      <c r="N531" s="120">
        <f>MONTH(Tableau13[[#This Row],[Date fin intervention]])</f>
        <v>11</v>
      </c>
      <c r="O531" s="120">
        <f>YEAR(Tableau13[[#This Row],[Date fin intervention]])</f>
        <v>2019</v>
      </c>
      <c r="P531" s="36"/>
    </row>
    <row r="532" spans="1:16">
      <c r="A532" s="115">
        <v>43794</v>
      </c>
      <c r="B532" s="116">
        <v>590</v>
      </c>
      <c r="C532" s="117" t="str">
        <f>IF(ISNA(VLOOKUP(Tableau13[[#This Row],[Code machine]],'CODE mchn'!$A$4:$C$170,2,0)),"",VLOOKUP(Tableau13[[#This Row],[Code machine]],'CODE mchn'!$A$4:$C$170,2,0))</f>
        <v>Acier</v>
      </c>
      <c r="D532" s="36" t="str">
        <f>IF(ISNA(VLOOKUP(Tableau13[[#This Row],[Code machine]],'CODE mchn'!$A$4:$C$170,3,0)),"",VLOOKUP(Tableau13[[#This Row],[Code machine]],'CODE mchn'!$A$4:$C$170,3,0))</f>
        <v>Teurema 3</v>
      </c>
      <c r="E532" s="105"/>
      <c r="F532" s="63"/>
      <c r="G532" s="36" t="s">
        <v>274</v>
      </c>
      <c r="H532" s="36" t="s">
        <v>1077</v>
      </c>
      <c r="I532" s="36" t="s">
        <v>13</v>
      </c>
      <c r="J532" s="106" t="s">
        <v>896</v>
      </c>
      <c r="K532" s="124">
        <v>43794</v>
      </c>
      <c r="L532" s="63"/>
      <c r="M532" s="107">
        <v>30</v>
      </c>
      <c r="N532" s="120">
        <f>MONTH(Tableau13[[#This Row],[Date fin intervention]])</f>
        <v>11</v>
      </c>
      <c r="O532" s="120">
        <f>YEAR(Tableau13[[#This Row],[Date fin intervention]])</f>
        <v>2019</v>
      </c>
      <c r="P532" s="36"/>
    </row>
    <row r="533" spans="1:16">
      <c r="A533" s="129">
        <v>43794</v>
      </c>
      <c r="B533" s="116">
        <v>565</v>
      </c>
      <c r="C533" s="130" t="str">
        <f>IF(ISNA(VLOOKUP(Tableau13[[#This Row],[Code machine]],'CODE mchn'!$A$4:$C$170,2,0)),"",VLOOKUP(Tableau13[[#This Row],[Code machine]],'CODE mchn'!$A$4:$C$170,2,0))</f>
        <v>Acier</v>
      </c>
      <c r="D533" s="36" t="str">
        <f>IF(ISNA(VLOOKUP(Tableau13[[#This Row],[Code machine]],'CODE mchn'!$A$4:$C$170,3,0)),"",VLOOKUP(Tableau13[[#This Row],[Code machine]],'CODE mchn'!$A$4:$C$170,3,0))</f>
        <v>EVG GE12</v>
      </c>
      <c r="E533" s="105"/>
      <c r="F533" s="64"/>
      <c r="G533" s="64" t="s">
        <v>869</v>
      </c>
      <c r="H533" s="64" t="s">
        <v>1094</v>
      </c>
      <c r="I533" s="64" t="s">
        <v>13</v>
      </c>
      <c r="J533" s="130" t="s">
        <v>1095</v>
      </c>
      <c r="K533" s="124">
        <v>43794</v>
      </c>
      <c r="L533" s="64"/>
      <c r="M533" s="131">
        <v>45</v>
      </c>
      <c r="N533" s="132">
        <f>MONTH(Tableau13[[#This Row],[Date fin intervention]])</f>
        <v>11</v>
      </c>
      <c r="O533" s="132">
        <f>YEAR(Tableau13[[#This Row],[Date fin intervention]])</f>
        <v>2019</v>
      </c>
      <c r="P533" s="36"/>
    </row>
    <row r="534" spans="1:16">
      <c r="A534" s="115">
        <v>43795</v>
      </c>
      <c r="B534" s="116">
        <v>571</v>
      </c>
      <c r="C534" s="117" t="str">
        <f>IF(ISNA(VLOOKUP(Tableau13[[#This Row],[Code machine]],'CODE mchn'!$A$4:$C$170,2,0)),"",VLOOKUP(Tableau13[[#This Row],[Code machine]],'CODE mchn'!$A$4:$C$170,2,0))</f>
        <v>Acier</v>
      </c>
      <c r="D534" s="36" t="str">
        <f>IF(ISNA(VLOOKUP(Tableau13[[#This Row],[Code machine]],'CODE mchn'!$A$4:$C$170,3,0)),"",VLOOKUP(Tableau13[[#This Row],[Code machine]],'CODE mchn'!$A$4:$C$170,3,0))</f>
        <v>EVG PN 1</v>
      </c>
      <c r="E534" s="105"/>
      <c r="F534" s="63"/>
      <c r="G534" s="36" t="s">
        <v>1048</v>
      </c>
      <c r="H534" s="36" t="s">
        <v>439</v>
      </c>
      <c r="I534" s="36" t="s">
        <v>13</v>
      </c>
      <c r="J534" s="106" t="s">
        <v>1049</v>
      </c>
      <c r="K534" s="124">
        <v>43795</v>
      </c>
      <c r="L534" s="63"/>
      <c r="M534" s="107">
        <v>2</v>
      </c>
      <c r="N534" s="120">
        <f>MONTH(Tableau13[[#This Row],[Date fin intervention]])</f>
        <v>11</v>
      </c>
      <c r="O534" s="120">
        <f>YEAR(Tableau13[[#This Row],[Date fin intervention]])</f>
        <v>2019</v>
      </c>
      <c r="P534" s="36"/>
    </row>
    <row r="535" spans="1:16" ht="42.75">
      <c r="A535" s="115">
        <v>43795</v>
      </c>
      <c r="B535" s="116">
        <v>700</v>
      </c>
      <c r="C535" s="117" t="str">
        <f>IF(ISNA(VLOOKUP(Tableau13[[#This Row],[Code machine]],'CODE mchn'!$A$4:$C$170,2,0)),"",VLOOKUP(Tableau13[[#This Row],[Code machine]],'CODE mchn'!$A$4:$C$170,2,0))</f>
        <v>Béton</v>
      </c>
      <c r="D535" s="36" t="str">
        <f>IF(ISNA(VLOOKUP(Tableau13[[#This Row],[Code machine]],'CODE mchn'!$A$4:$C$170,3,0)),"",VLOOKUP(Tableau13[[#This Row],[Code machine]],'CODE mchn'!$A$4:$C$170,3,0))</f>
        <v>Poyatos 1</v>
      </c>
      <c r="E535" s="105"/>
      <c r="F535" s="63"/>
      <c r="G535" s="36" t="s">
        <v>20</v>
      </c>
      <c r="H535" s="36" t="s">
        <v>1088</v>
      </c>
      <c r="I535" s="36" t="s">
        <v>13</v>
      </c>
      <c r="J535" s="106" t="s">
        <v>1089</v>
      </c>
      <c r="K535" s="124">
        <v>43796</v>
      </c>
      <c r="L535" s="63"/>
      <c r="M535" s="119" t="s">
        <v>2259</v>
      </c>
      <c r="N535" s="120">
        <f>MONTH(Tableau13[[#This Row],[Date fin intervention]])</f>
        <v>11</v>
      </c>
      <c r="O535" s="120">
        <f>YEAR(Tableau13[[#This Row],[Date fin intervention]])</f>
        <v>2019</v>
      </c>
      <c r="P535" s="36"/>
    </row>
    <row r="536" spans="1:16">
      <c r="A536" s="115">
        <v>43796</v>
      </c>
      <c r="B536" s="116">
        <v>610</v>
      </c>
      <c r="C536" s="117" t="str">
        <f>IF(ISNA(VLOOKUP(Tableau13[[#This Row],[Code machine]],'CODE mchn'!$A$4:$C$170,2,0)),"",VLOOKUP(Tableau13[[#This Row],[Code machine]],'CODE mchn'!$A$4:$C$170,2,0))</f>
        <v>Acier</v>
      </c>
      <c r="D536" s="36" t="str">
        <f>IF(ISNA(VLOOKUP(Tableau13[[#This Row],[Code machine]],'CODE mchn'!$A$4:$C$170,3,0)),"",VLOOKUP(Tableau13[[#This Row],[Code machine]],'CODE mchn'!$A$4:$C$170,3,0))</f>
        <v>MEP91</v>
      </c>
      <c r="E536" s="105"/>
      <c r="F536" s="63"/>
      <c r="G536" s="36" t="s">
        <v>664</v>
      </c>
      <c r="H536" s="36" t="s">
        <v>1078</v>
      </c>
      <c r="I536" s="36" t="s">
        <v>13</v>
      </c>
      <c r="J536" s="106" t="s">
        <v>1079</v>
      </c>
      <c r="K536" s="124">
        <v>43796</v>
      </c>
      <c r="L536" s="63"/>
      <c r="M536" s="107">
        <v>45</v>
      </c>
      <c r="N536" s="120">
        <f>MONTH(Tableau13[[#This Row],[Date fin intervention]])</f>
        <v>11</v>
      </c>
      <c r="O536" s="120">
        <f>YEAR(Tableau13[[#This Row],[Date fin intervention]])</f>
        <v>2019</v>
      </c>
      <c r="P536" s="36"/>
    </row>
    <row r="537" spans="1:16" ht="42.75">
      <c r="A537" s="115">
        <v>43796</v>
      </c>
      <c r="B537" s="116">
        <v>800</v>
      </c>
      <c r="C537" s="117" t="str">
        <f>IF(ISNA(VLOOKUP(Tableau13[[#This Row],[Code machine]],'CODE mchn'!$A$4:$C$170,2,0)),"",VLOOKUP(Tableau13[[#This Row],[Code machine]],'CODE mchn'!$A$4:$C$170,2,0))</f>
        <v>Béton</v>
      </c>
      <c r="D537" s="36" t="str">
        <f>IF(ISNA(VLOOKUP(Tableau13[[#This Row],[Code machine]],'CODE mchn'!$A$4:$C$170,3,0)),"",VLOOKUP(Tableau13[[#This Row],[Code machine]],'CODE mchn'!$A$4:$C$170,3,0))</f>
        <v>Poyatos 2</v>
      </c>
      <c r="E537" s="105"/>
      <c r="F537" s="63"/>
      <c r="G537" s="36" t="s">
        <v>306</v>
      </c>
      <c r="H537" s="36" t="s">
        <v>1084</v>
      </c>
      <c r="I537" s="36" t="s">
        <v>13</v>
      </c>
      <c r="J537" s="106" t="s">
        <v>1180</v>
      </c>
      <c r="K537" s="124">
        <v>43808</v>
      </c>
      <c r="L537" s="36" t="s">
        <v>1183</v>
      </c>
      <c r="M537" s="119" t="s">
        <v>2259</v>
      </c>
      <c r="N537" s="120">
        <f>MONTH(Tableau13[[#This Row],[Date fin intervention]])</f>
        <v>12</v>
      </c>
      <c r="O537" s="120">
        <f>YEAR(Tableau13[[#This Row],[Date fin intervention]])</f>
        <v>2019</v>
      </c>
      <c r="P537" s="36"/>
    </row>
    <row r="538" spans="1:16" ht="42.75">
      <c r="A538" s="115">
        <v>43796</v>
      </c>
      <c r="B538" s="105" t="s">
        <v>1426</v>
      </c>
      <c r="C538" s="106" t="str">
        <f>IF(ISNA(VLOOKUP(Tableau13[[#This Row],[Code machine]],'CODE mchn'!$A$4:$C$170,2,0)),"",VLOOKUP(Tableau13[[#This Row],[Code machine]],'CODE mchn'!$A$4:$C$170,2,0))</f>
        <v>Gestion de stock</v>
      </c>
      <c r="D538" s="36" t="str">
        <f>IF(ISNA(VLOOKUP(Tableau13[[#This Row],[Code machine]],'CODE mchn'!$A$4:$C$170,3,0)),"",VLOOKUP(Tableau13[[#This Row],[Code machine]],'CODE mchn'!$A$4:$C$170,3,0))</f>
        <v>Balance bal 03</v>
      </c>
      <c r="E538" s="105"/>
      <c r="F538" s="63"/>
      <c r="G538" s="36" t="s">
        <v>1085</v>
      </c>
      <c r="H538" s="36" t="s">
        <v>376</v>
      </c>
      <c r="I538" s="36" t="s">
        <v>13</v>
      </c>
      <c r="J538" s="106" t="s">
        <v>1096</v>
      </c>
      <c r="K538" s="124">
        <v>43813</v>
      </c>
      <c r="L538" s="36" t="s">
        <v>1086</v>
      </c>
      <c r="M538" s="119" t="s">
        <v>2259</v>
      </c>
      <c r="N538" s="120">
        <f>MONTH(Tableau13[[#This Row],[Date fin intervention]])</f>
        <v>12</v>
      </c>
      <c r="O538" s="120">
        <f>YEAR(Tableau13[[#This Row],[Date fin intervention]])</f>
        <v>2019</v>
      </c>
      <c r="P538" s="36"/>
    </row>
    <row r="539" spans="1:16" ht="42.75">
      <c r="A539" s="115">
        <v>43797</v>
      </c>
      <c r="B539" s="116">
        <v>700</v>
      </c>
      <c r="C539" s="117" t="str">
        <f>IF(ISNA(VLOOKUP(Tableau13[[#This Row],[Code machine]],'CODE mchn'!$A$4:$C$170,2,0)),"",VLOOKUP(Tableau13[[#This Row],[Code machine]],'CODE mchn'!$A$4:$C$170,2,0))</f>
        <v>Béton</v>
      </c>
      <c r="D539" s="36" t="str">
        <f>IF(ISNA(VLOOKUP(Tableau13[[#This Row],[Code machine]],'CODE mchn'!$A$4:$C$170,3,0)),"",VLOOKUP(Tableau13[[#This Row],[Code machine]],'CODE mchn'!$A$4:$C$170,3,0))</f>
        <v>Poyatos 1</v>
      </c>
      <c r="E539" s="105"/>
      <c r="F539" s="63"/>
      <c r="G539" s="36" t="s">
        <v>20</v>
      </c>
      <c r="H539" s="36" t="s">
        <v>1091</v>
      </c>
      <c r="I539" s="36" t="s">
        <v>13</v>
      </c>
      <c r="J539" s="106" t="s">
        <v>1090</v>
      </c>
      <c r="K539" s="124">
        <v>43801</v>
      </c>
      <c r="L539" s="36" t="s">
        <v>1112</v>
      </c>
      <c r="M539" s="107" t="s">
        <v>2259</v>
      </c>
      <c r="N539" s="120">
        <f>MONTH(Tableau13[[#This Row],[Date fin intervention]])</f>
        <v>12</v>
      </c>
      <c r="O539" s="120">
        <f>YEAR(Tableau13[[#This Row],[Date fin intervention]])</f>
        <v>2019</v>
      </c>
      <c r="P539" s="36"/>
    </row>
    <row r="540" spans="1:16">
      <c r="A540" s="115">
        <v>43798</v>
      </c>
      <c r="B540" s="116">
        <v>580</v>
      </c>
      <c r="C540" s="117" t="str">
        <f>IF(ISNA(VLOOKUP(Tableau13[[#This Row],[Code machine]],'CODE mchn'!$A$4:$C$170,2,0)),"",VLOOKUP(Tableau13[[#This Row],[Code machine]],'CODE mchn'!$A$4:$C$170,2,0))</f>
        <v>Acier</v>
      </c>
      <c r="D540" s="36" t="str">
        <f>IF(ISNA(VLOOKUP(Tableau13[[#This Row],[Code machine]],'CODE mchn'!$A$4:$C$170,3,0)),"",VLOOKUP(Tableau13[[#This Row],[Code machine]],'CODE mchn'!$A$4:$C$170,3,0))</f>
        <v>Techno Impiante</v>
      </c>
      <c r="E540" s="105"/>
      <c r="F540" s="63"/>
      <c r="G540" s="36" t="s">
        <v>20</v>
      </c>
      <c r="H540" s="36" t="s">
        <v>613</v>
      </c>
      <c r="I540" s="36" t="s">
        <v>8</v>
      </c>
      <c r="J540" s="106" t="s">
        <v>1080</v>
      </c>
      <c r="K540" s="124">
        <v>43798</v>
      </c>
      <c r="L540" s="63"/>
      <c r="M540" s="121"/>
      <c r="N540" s="120">
        <f>MONTH(Tableau13[[#This Row],[Date fin intervention]])</f>
        <v>11</v>
      </c>
      <c r="O540" s="120">
        <f>YEAR(Tableau13[[#This Row],[Date fin intervention]])</f>
        <v>2019</v>
      </c>
      <c r="P540" s="36"/>
    </row>
    <row r="541" spans="1:16">
      <c r="A541" s="115">
        <v>43798</v>
      </c>
      <c r="B541" s="116">
        <v>570</v>
      </c>
      <c r="C541" s="117" t="str">
        <f>IF(ISNA(VLOOKUP(Tableau13[[#This Row],[Code machine]],'CODE mchn'!$A$4:$C$170,2,0)),"",VLOOKUP(Tableau13[[#This Row],[Code machine]],'CODE mchn'!$A$4:$C$170,2,0))</f>
        <v>Acier</v>
      </c>
      <c r="D541" s="36" t="str">
        <f>IF(ISNA(VLOOKUP(Tableau13[[#This Row],[Code machine]],'CODE mchn'!$A$4:$C$170,3,0)),"",VLOOKUP(Tableau13[[#This Row],[Code machine]],'CODE mchn'!$A$4:$C$170,3,0))</f>
        <v>Sigmatic</v>
      </c>
      <c r="E541" s="105"/>
      <c r="F541" s="63"/>
      <c r="G541" s="36" t="s">
        <v>104</v>
      </c>
      <c r="H541" s="36" t="s">
        <v>1081</v>
      </c>
      <c r="I541" s="36" t="s">
        <v>13</v>
      </c>
      <c r="J541" s="106" t="s">
        <v>1104</v>
      </c>
      <c r="K541" s="124">
        <v>43801</v>
      </c>
      <c r="L541" s="36" t="s">
        <v>1082</v>
      </c>
      <c r="M541" s="107">
        <v>40</v>
      </c>
      <c r="N541" s="120">
        <f>MONTH(Tableau13[[#This Row],[Date fin intervention]])</f>
        <v>12</v>
      </c>
      <c r="O541" s="120">
        <f>YEAR(Tableau13[[#This Row],[Date fin intervention]])</f>
        <v>2019</v>
      </c>
      <c r="P541" s="36"/>
    </row>
    <row r="542" spans="1:16" ht="42.75">
      <c r="A542" s="115">
        <v>43798</v>
      </c>
      <c r="B542" s="116">
        <v>560</v>
      </c>
      <c r="C542" s="117" t="str">
        <f>IF(ISNA(VLOOKUP(Tableau13[[#This Row],[Code machine]],'CODE mchn'!$A$4:$C$170,2,0)),"",VLOOKUP(Tableau13[[#This Row],[Code machine]],'CODE mchn'!$A$4:$C$170,2,0))</f>
        <v>Acier</v>
      </c>
      <c r="D542" s="36" t="str">
        <f>IF(ISNA(VLOOKUP(Tableau13[[#This Row],[Code machine]],'CODE mchn'!$A$4:$C$170,3,0)),"",VLOOKUP(Tableau13[[#This Row],[Code machine]],'CODE mchn'!$A$4:$C$170,3,0))</f>
        <v>Schlatter</v>
      </c>
      <c r="E542" s="105"/>
      <c r="F542" s="63"/>
      <c r="G542" s="36" t="s">
        <v>463</v>
      </c>
      <c r="H542" s="36" t="s">
        <v>1083</v>
      </c>
      <c r="I542" s="36" t="s">
        <v>13</v>
      </c>
      <c r="J542" s="106" t="s">
        <v>1108</v>
      </c>
      <c r="K542" s="124">
        <v>43801</v>
      </c>
      <c r="L542" s="36" t="s">
        <v>1109</v>
      </c>
      <c r="M542" s="119" t="s">
        <v>2259</v>
      </c>
      <c r="N542" s="120">
        <f>MONTH(Tableau13[[#This Row],[Date fin intervention]])</f>
        <v>12</v>
      </c>
      <c r="O542" s="120">
        <f>YEAR(Tableau13[[#This Row],[Date fin intervention]])</f>
        <v>2019</v>
      </c>
      <c r="P542" s="36"/>
    </row>
    <row r="543" spans="1:16">
      <c r="A543" s="129">
        <v>43798</v>
      </c>
      <c r="B543" s="116">
        <v>571</v>
      </c>
      <c r="C543" s="130" t="str">
        <f>IF(ISNA(VLOOKUP(Tableau13[[#This Row],[Code machine]],'CODE mchn'!$A$4:$C$170,2,0)),"",VLOOKUP(Tableau13[[#This Row],[Code machine]],'CODE mchn'!$A$4:$C$170,2,0))</f>
        <v>Acier</v>
      </c>
      <c r="D543" s="36" t="str">
        <f>IF(ISNA(VLOOKUP(Tableau13[[#This Row],[Code machine]],'CODE mchn'!$A$4:$C$170,3,0)),"",VLOOKUP(Tableau13[[#This Row],[Code machine]],'CODE mchn'!$A$4:$C$170,3,0))</f>
        <v>EVG PN 1</v>
      </c>
      <c r="E543" s="105"/>
      <c r="F543" s="64"/>
      <c r="G543" s="64" t="s">
        <v>319</v>
      </c>
      <c r="H543" s="64" t="s">
        <v>1097</v>
      </c>
      <c r="I543" s="64" t="s">
        <v>13</v>
      </c>
      <c r="J543" s="130" t="s">
        <v>1098</v>
      </c>
      <c r="K543" s="124">
        <v>43798</v>
      </c>
      <c r="L543" s="64"/>
      <c r="M543" s="131">
        <v>30</v>
      </c>
      <c r="N543" s="132">
        <f>MONTH(Tableau13[[#This Row],[Date fin intervention]])</f>
        <v>11</v>
      </c>
      <c r="O543" s="132">
        <f>YEAR(Tableau13[[#This Row],[Date fin intervention]])</f>
        <v>2019</v>
      </c>
      <c r="P543" s="36"/>
    </row>
    <row r="544" spans="1:16">
      <c r="A544" s="129">
        <v>43799</v>
      </c>
      <c r="B544" s="116">
        <v>565</v>
      </c>
      <c r="C544" s="130" t="str">
        <f>IF(ISNA(VLOOKUP(Tableau13[[#This Row],[Code machine]],'CODE mchn'!$A$4:$C$170,2,0)),"",VLOOKUP(Tableau13[[#This Row],[Code machine]],'CODE mchn'!$A$4:$C$170,2,0))</f>
        <v>Acier</v>
      </c>
      <c r="D544" s="36" t="str">
        <f>IF(ISNA(VLOOKUP(Tableau13[[#This Row],[Code machine]],'CODE mchn'!$A$4:$C$170,3,0)),"",VLOOKUP(Tableau13[[#This Row],[Code machine]],'CODE mchn'!$A$4:$C$170,3,0))</f>
        <v>EVG GE12</v>
      </c>
      <c r="E544" s="105"/>
      <c r="F544" s="64"/>
      <c r="G544" s="64" t="s">
        <v>712</v>
      </c>
      <c r="H544" s="64" t="s">
        <v>1099</v>
      </c>
      <c r="I544" s="64" t="s">
        <v>13</v>
      </c>
      <c r="J544" s="130" t="s">
        <v>1100</v>
      </c>
      <c r="K544" s="124">
        <v>43799</v>
      </c>
      <c r="L544" s="64"/>
      <c r="M544" s="121"/>
      <c r="N544" s="132">
        <f>MONTH(Tableau13[[#This Row],[Date fin intervention]])</f>
        <v>11</v>
      </c>
      <c r="O544" s="132">
        <f>YEAR(Tableau13[[#This Row],[Date fin intervention]])</f>
        <v>2019</v>
      </c>
      <c r="P544" s="36"/>
    </row>
    <row r="545" spans="1:16">
      <c r="A545" s="129">
        <v>43799</v>
      </c>
      <c r="B545" s="133">
        <v>565</v>
      </c>
      <c r="C545" s="130" t="str">
        <f>IF(ISNA(VLOOKUP(Tableau13[[#This Row],[Code machine]],'CODE mchn'!$A$4:$C$170,2,0)),"",VLOOKUP(Tableau13[[#This Row],[Code machine]],'CODE mchn'!$A$4:$C$170,2,0))</f>
        <v>Acier</v>
      </c>
      <c r="D545" s="36" t="str">
        <f>IF(ISNA(VLOOKUP(Tableau13[[#This Row],[Code machine]],'CODE mchn'!$A$4:$C$170,3,0)),"",VLOOKUP(Tableau13[[#This Row],[Code machine]],'CODE mchn'!$A$4:$C$170,3,0))</f>
        <v>EVG GE12</v>
      </c>
      <c r="E545" s="105"/>
      <c r="F545" s="64"/>
      <c r="G545" s="64" t="s">
        <v>1101</v>
      </c>
      <c r="H545" s="64" t="s">
        <v>1102</v>
      </c>
      <c r="I545" s="64" t="s">
        <v>13</v>
      </c>
      <c r="J545" s="130" t="s">
        <v>1103</v>
      </c>
      <c r="K545" s="134">
        <v>43799</v>
      </c>
      <c r="L545" s="64"/>
      <c r="M545" s="131">
        <v>1</v>
      </c>
      <c r="N545" s="132">
        <f>MONTH(Tableau13[[#This Row],[Date fin intervention]])</f>
        <v>11</v>
      </c>
      <c r="O545" s="132">
        <f>YEAR(Tableau13[[#This Row],[Date fin intervention]])</f>
        <v>2019</v>
      </c>
      <c r="P545" s="36"/>
    </row>
    <row r="546" spans="1:16">
      <c r="A546" s="129">
        <v>43799</v>
      </c>
      <c r="B546" s="133">
        <v>800</v>
      </c>
      <c r="C546" s="130" t="str">
        <f>IF(ISNA(VLOOKUP(Tableau13[[#This Row],[Code machine]],'CODE mchn'!$A$4:$C$170,2,0)),"",VLOOKUP(Tableau13[[#This Row],[Code machine]],'CODE mchn'!$A$4:$C$170,2,0))</f>
        <v>Béton</v>
      </c>
      <c r="D546" s="36" t="str">
        <f>IF(ISNA(VLOOKUP(Tableau13[[#This Row],[Code machine]],'CODE mchn'!$A$4:$C$170,3,0)),"",VLOOKUP(Tableau13[[#This Row],[Code machine]],'CODE mchn'!$A$4:$C$170,3,0))</f>
        <v>Poyatos 2</v>
      </c>
      <c r="E546" s="105"/>
      <c r="F546" s="64"/>
      <c r="G546" s="64" t="s">
        <v>1105</v>
      </c>
      <c r="H546" s="64" t="s">
        <v>1106</v>
      </c>
      <c r="I546" s="64" t="s">
        <v>13</v>
      </c>
      <c r="J546" s="106" t="s">
        <v>1184</v>
      </c>
      <c r="K546" s="134">
        <v>43803</v>
      </c>
      <c r="L546" s="64" t="s">
        <v>1107</v>
      </c>
      <c r="M546" s="107">
        <v>1</v>
      </c>
      <c r="N546" s="132">
        <f>MONTH(Tableau13[[#This Row],[Date fin intervention]])</f>
        <v>12</v>
      </c>
      <c r="O546" s="132">
        <f>YEAR(Tableau13[[#This Row],[Date fin intervention]])</f>
        <v>2019</v>
      </c>
      <c r="P546" s="36"/>
    </row>
    <row r="547" spans="1:16">
      <c r="A547" s="129">
        <v>43799</v>
      </c>
      <c r="B547" s="133">
        <v>700</v>
      </c>
      <c r="C547" s="130" t="str">
        <f>IF(ISNA(VLOOKUP(Tableau13[[#This Row],[Code machine]],'CODE mchn'!$A$4:$C$170,2,0)),"",VLOOKUP(Tableau13[[#This Row],[Code machine]],'CODE mchn'!$A$4:$C$170,2,0))</f>
        <v>Béton</v>
      </c>
      <c r="D547" s="36" t="str">
        <f>IF(ISNA(VLOOKUP(Tableau13[[#This Row],[Code machine]],'CODE mchn'!$A$4:$C$170,3,0)),"",VLOOKUP(Tableau13[[#This Row],[Code machine]],'CODE mchn'!$A$4:$C$170,3,0))</f>
        <v>Poyatos 1</v>
      </c>
      <c r="E547" s="105"/>
      <c r="F547" s="64"/>
      <c r="G547" s="64" t="s">
        <v>128</v>
      </c>
      <c r="H547" s="64" t="s">
        <v>1110</v>
      </c>
      <c r="I547" s="64" t="s">
        <v>13</v>
      </c>
      <c r="J547" s="130" t="s">
        <v>1111</v>
      </c>
      <c r="K547" s="134">
        <v>43799</v>
      </c>
      <c r="L547" s="64"/>
      <c r="M547" s="121"/>
      <c r="N547" s="132">
        <f>MONTH(Tableau13[[#This Row],[Date fin intervention]])</f>
        <v>11</v>
      </c>
      <c r="O547" s="132">
        <f>YEAR(Tableau13[[#This Row],[Date fin intervention]])</f>
        <v>2019</v>
      </c>
      <c r="P547" s="36"/>
    </row>
    <row r="548" spans="1:16">
      <c r="A548" s="129">
        <v>43801</v>
      </c>
      <c r="B548" s="133">
        <v>800</v>
      </c>
      <c r="C548" s="130" t="str">
        <f>IF(ISNA(VLOOKUP(Tableau13[[#This Row],[Code machine]],'CODE mchn'!$A$4:$C$170,2,0)),"",VLOOKUP(Tableau13[[#This Row],[Code machine]],'CODE mchn'!$A$4:$C$170,2,0))</f>
        <v>Béton</v>
      </c>
      <c r="D548" s="36" t="str">
        <f>IF(ISNA(VLOOKUP(Tableau13[[#This Row],[Code machine]],'CODE mchn'!$A$4:$C$170,3,0)),"",VLOOKUP(Tableau13[[#This Row],[Code machine]],'CODE mchn'!$A$4:$C$170,3,0))</f>
        <v>Poyatos 2</v>
      </c>
      <c r="E548" s="105"/>
      <c r="F548" s="64"/>
      <c r="G548" s="64" t="s">
        <v>1113</v>
      </c>
      <c r="H548" s="64" t="s">
        <v>1114</v>
      </c>
      <c r="I548" s="64" t="s">
        <v>13</v>
      </c>
      <c r="J548" s="130" t="s">
        <v>1115</v>
      </c>
      <c r="K548" s="134">
        <v>43771</v>
      </c>
      <c r="L548" s="64"/>
      <c r="M548" s="131">
        <v>30</v>
      </c>
      <c r="N548" s="132">
        <f>MONTH(Tableau13[[#This Row],[Date fin intervention]])</f>
        <v>11</v>
      </c>
      <c r="O548" s="132">
        <f>YEAR(Tableau13[[#This Row],[Date fin intervention]])</f>
        <v>2019</v>
      </c>
      <c r="P548" s="36"/>
    </row>
    <row r="549" spans="1:16">
      <c r="A549" s="129">
        <v>43801</v>
      </c>
      <c r="B549" s="133">
        <v>560</v>
      </c>
      <c r="C549" s="130" t="str">
        <f>IF(ISNA(VLOOKUP(Tableau13[[#This Row],[Code machine]],'CODE mchn'!$A$4:$C$170,2,0)),"",VLOOKUP(Tableau13[[#This Row],[Code machine]],'CODE mchn'!$A$4:$C$170,2,0))</f>
        <v>Acier</v>
      </c>
      <c r="D549" s="36" t="str">
        <f>IF(ISNA(VLOOKUP(Tableau13[[#This Row],[Code machine]],'CODE mchn'!$A$4:$C$170,3,0)),"",VLOOKUP(Tableau13[[#This Row],[Code machine]],'CODE mchn'!$A$4:$C$170,3,0))</f>
        <v>Schlatter</v>
      </c>
      <c r="E549" s="105"/>
      <c r="F549" s="64"/>
      <c r="G549" s="64" t="s">
        <v>1116</v>
      </c>
      <c r="H549" s="64" t="s">
        <v>1117</v>
      </c>
      <c r="I549" s="64" t="s">
        <v>13</v>
      </c>
      <c r="J549" s="130" t="s">
        <v>1118</v>
      </c>
      <c r="K549" s="134">
        <v>43801</v>
      </c>
      <c r="L549" s="64"/>
      <c r="M549" s="131"/>
      <c r="N549" s="132">
        <f>MONTH(Tableau13[[#This Row],[Date fin intervention]])</f>
        <v>12</v>
      </c>
      <c r="O549" s="132">
        <f>YEAR(Tableau13[[#This Row],[Date fin intervention]])</f>
        <v>2019</v>
      </c>
      <c r="P549" s="36"/>
    </row>
    <row r="550" spans="1:16">
      <c r="A550" s="129">
        <v>43801</v>
      </c>
      <c r="B550" s="133">
        <v>606</v>
      </c>
      <c r="C550" s="130" t="str">
        <f>IF(ISNA(VLOOKUP(Tableau13[[#This Row],[Code machine]],'CODE mchn'!$A$4:$C$170,2,0)),"",VLOOKUP(Tableau13[[#This Row],[Code machine]],'CODE mchn'!$A$4:$C$170,2,0))</f>
        <v>Acier</v>
      </c>
      <c r="D550" s="36" t="str">
        <f>IF(ISNA(VLOOKUP(Tableau13[[#This Row],[Code machine]],'CODE mchn'!$A$4:$C$170,3,0)),"",VLOOKUP(Tableau13[[#This Row],[Code machine]],'CODE mchn'!$A$4:$C$170,3,0))</f>
        <v>Vitari 2</v>
      </c>
      <c r="E550" s="105"/>
      <c r="F550" s="64"/>
      <c r="G550" s="64" t="s">
        <v>10</v>
      </c>
      <c r="H550" s="64" t="s">
        <v>1119</v>
      </c>
      <c r="I550" s="64" t="s">
        <v>13</v>
      </c>
      <c r="J550" s="130" t="s">
        <v>567</v>
      </c>
      <c r="K550" s="134">
        <v>43801</v>
      </c>
      <c r="L550" s="64"/>
      <c r="M550" s="131"/>
      <c r="N550" s="132">
        <f>MONTH(Tableau13[[#This Row],[Date fin intervention]])</f>
        <v>12</v>
      </c>
      <c r="O550" s="132">
        <f>YEAR(Tableau13[[#This Row],[Date fin intervention]])</f>
        <v>2019</v>
      </c>
      <c r="P550" s="36"/>
    </row>
    <row r="551" spans="1:16">
      <c r="A551" s="135">
        <v>43802</v>
      </c>
      <c r="B551" s="136">
        <v>582</v>
      </c>
      <c r="C551" s="137" t="str">
        <f>IF(ISNA(VLOOKUP(Tableau13[[#This Row],[Code machine]],'CODE mchn'!$A$4:$C$170,2,0)),"",VLOOKUP(Tableau13[[#This Row],[Code machine]],'CODE mchn'!$A$4:$C$170,2,0))</f>
        <v>Acier</v>
      </c>
      <c r="D551" s="36" t="str">
        <f>IF(ISNA(VLOOKUP(Tableau13[[#This Row],[Code machine]],'CODE mchn'!$A$4:$C$170,3,0)),"",VLOOKUP(Tableau13[[#This Row],[Code machine]],'CODE mchn'!$A$4:$C$170,3,0))</f>
        <v>Teurema 2</v>
      </c>
      <c r="E551" s="105"/>
      <c r="F551" s="65"/>
      <c r="G551" s="65" t="s">
        <v>1142</v>
      </c>
      <c r="H551" s="65" t="s">
        <v>686</v>
      </c>
      <c r="I551" s="64" t="s">
        <v>13</v>
      </c>
      <c r="J551" s="137" t="s">
        <v>1143</v>
      </c>
      <c r="K551" s="138">
        <v>43802</v>
      </c>
      <c r="L551" s="65"/>
      <c r="M551" s="139">
        <v>4</v>
      </c>
      <c r="N551" s="140">
        <f>MONTH(Tableau13[[#This Row],[Date fin intervention]])</f>
        <v>12</v>
      </c>
      <c r="O551" s="140">
        <f>YEAR(Tableau13[[#This Row],[Date fin intervention]])</f>
        <v>2019</v>
      </c>
      <c r="P551" s="65"/>
    </row>
    <row r="552" spans="1:16">
      <c r="A552" s="135">
        <v>43803</v>
      </c>
      <c r="B552" s="136">
        <v>573</v>
      </c>
      <c r="C552" s="137" t="str">
        <f>IF(ISNA(VLOOKUP(Tableau13[[#This Row],[Code machine]],'CODE mchn'!$A$4:$C$170,2,0)),"",VLOOKUP(Tableau13[[#This Row],[Code machine]],'CODE mchn'!$A$4:$C$170,2,0))</f>
        <v>Ponts roulants</v>
      </c>
      <c r="D552" s="36" t="str">
        <f>IF(ISNA(VLOOKUP(Tableau13[[#This Row],[Code machine]],'CODE mchn'!$A$4:$C$170,3,0)),"",VLOOKUP(Tableau13[[#This Row],[Code machine]],'CODE mchn'!$A$4:$C$170,3,0))</f>
        <v xml:space="preserve">Pont roulant Demag 1 3,5T </v>
      </c>
      <c r="E552" s="105"/>
      <c r="F552" s="65"/>
      <c r="G552" s="65" t="s">
        <v>1159</v>
      </c>
      <c r="H552" s="65" t="s">
        <v>350</v>
      </c>
      <c r="I552" s="65" t="s">
        <v>13</v>
      </c>
      <c r="J552" s="137" t="s">
        <v>811</v>
      </c>
      <c r="K552" s="138">
        <v>43803</v>
      </c>
      <c r="L552" s="65"/>
      <c r="M552" s="139">
        <v>6</v>
      </c>
      <c r="N552" s="140">
        <f>MONTH(Tableau13[[#This Row],[Date fin intervention]])</f>
        <v>12</v>
      </c>
      <c r="O552" s="140">
        <f>YEAR(Tableau13[[#This Row],[Date fin intervention]])</f>
        <v>2019</v>
      </c>
      <c r="P552" s="65"/>
    </row>
    <row r="553" spans="1:16">
      <c r="A553" s="135">
        <v>43803</v>
      </c>
      <c r="B553" s="136">
        <v>605</v>
      </c>
      <c r="C553" s="137" t="str">
        <f>IF(ISNA(VLOOKUP(Tableau13[[#This Row],[Code machine]],'CODE mchn'!$A$4:$C$170,2,0)),"",VLOOKUP(Tableau13[[#This Row],[Code machine]],'CODE mchn'!$A$4:$C$170,2,0))</f>
        <v>Acier</v>
      </c>
      <c r="D553" s="36" t="str">
        <f>IF(ISNA(VLOOKUP(Tableau13[[#This Row],[Code machine]],'CODE mchn'!$A$4:$C$170,3,0)),"",VLOOKUP(Tableau13[[#This Row],[Code machine]],'CODE mchn'!$A$4:$C$170,3,0))</f>
        <v>Vitari 1</v>
      </c>
      <c r="E553" s="105"/>
      <c r="F553" s="65"/>
      <c r="G553" s="65" t="s">
        <v>10</v>
      </c>
      <c r="H553" s="65" t="s">
        <v>1160</v>
      </c>
      <c r="I553" s="65" t="s">
        <v>13</v>
      </c>
      <c r="J553" s="137" t="s">
        <v>1161</v>
      </c>
      <c r="K553" s="138">
        <v>43803</v>
      </c>
      <c r="L553" s="65"/>
      <c r="M553" s="139">
        <v>2</v>
      </c>
      <c r="N553" s="140">
        <f>MONTH(Tableau13[[#This Row],[Date fin intervention]])</f>
        <v>12</v>
      </c>
      <c r="O553" s="140">
        <f>YEAR(Tableau13[[#This Row],[Date fin intervention]])</f>
        <v>2019</v>
      </c>
      <c r="P553" s="65"/>
    </row>
    <row r="554" spans="1:16">
      <c r="A554" s="135">
        <v>43803</v>
      </c>
      <c r="B554" s="136">
        <v>580</v>
      </c>
      <c r="C554" s="137" t="str">
        <f>IF(ISNA(VLOOKUP(Tableau13[[#This Row],[Code machine]],'CODE mchn'!$A$4:$C$170,2,0)),"",VLOOKUP(Tableau13[[#This Row],[Code machine]],'CODE mchn'!$A$4:$C$170,2,0))</f>
        <v>Acier</v>
      </c>
      <c r="D554" s="36" t="str">
        <f>IF(ISNA(VLOOKUP(Tableau13[[#This Row],[Code machine]],'CODE mchn'!$A$4:$C$170,3,0)),"",VLOOKUP(Tableau13[[#This Row],[Code machine]],'CODE mchn'!$A$4:$C$170,3,0))</f>
        <v>Techno Impiante</v>
      </c>
      <c r="E554" s="105"/>
      <c r="F554" s="65"/>
      <c r="G554" s="65" t="s">
        <v>612</v>
      </c>
      <c r="H554" s="65" t="s">
        <v>686</v>
      </c>
      <c r="I554" s="65" t="s">
        <v>13</v>
      </c>
      <c r="J554" s="137" t="s">
        <v>1143</v>
      </c>
      <c r="K554" s="138">
        <v>43803</v>
      </c>
      <c r="L554" s="65"/>
      <c r="M554" s="139">
        <v>2</v>
      </c>
      <c r="N554" s="140">
        <f>MONTH(Tableau13[[#This Row],[Date fin intervention]])</f>
        <v>12</v>
      </c>
      <c r="O554" s="140">
        <f>YEAR(Tableau13[[#This Row],[Date fin intervention]])</f>
        <v>2019</v>
      </c>
      <c r="P554" s="65"/>
    </row>
    <row r="555" spans="1:16">
      <c r="A555" s="135">
        <v>43805</v>
      </c>
      <c r="B555" s="136">
        <v>700</v>
      </c>
      <c r="C555" s="137" t="str">
        <f>IF(ISNA(VLOOKUP(Tableau13[[#This Row],[Code machine]],'CODE mchn'!$A$4:$C$170,2,0)),"",VLOOKUP(Tableau13[[#This Row],[Code machine]],'CODE mchn'!$A$4:$C$170,2,0))</f>
        <v>Béton</v>
      </c>
      <c r="D555" s="36" t="str">
        <f>IF(ISNA(VLOOKUP(Tableau13[[#This Row],[Code machine]],'CODE mchn'!$A$4:$C$170,3,0)),"",VLOOKUP(Tableau13[[#This Row],[Code machine]],'CODE mchn'!$A$4:$C$170,3,0))</f>
        <v>Poyatos 1</v>
      </c>
      <c r="E555" s="105"/>
      <c r="F555" s="65"/>
      <c r="G555" s="65" t="s">
        <v>1124</v>
      </c>
      <c r="H555" s="65" t="s">
        <v>776</v>
      </c>
      <c r="I555" s="64" t="s">
        <v>13</v>
      </c>
      <c r="J555" s="137" t="s">
        <v>1125</v>
      </c>
      <c r="K555" s="138">
        <v>43805</v>
      </c>
      <c r="L555" s="65"/>
      <c r="M555" s="121"/>
      <c r="N555" s="140">
        <f>MONTH(Tableau13[[#This Row],[Date fin intervention]])</f>
        <v>12</v>
      </c>
      <c r="O555" s="140">
        <f>YEAR(Tableau13[[#This Row],[Date fin intervention]])</f>
        <v>2019</v>
      </c>
      <c r="P555" s="65"/>
    </row>
    <row r="556" spans="1:16">
      <c r="A556" s="135">
        <v>43805</v>
      </c>
      <c r="B556" s="136">
        <v>700</v>
      </c>
      <c r="C556" s="137" t="str">
        <f>IF(ISNA(VLOOKUP(Tableau13[[#This Row],[Code machine]],'CODE mchn'!$A$4:$C$170,2,0)),"",VLOOKUP(Tableau13[[#This Row],[Code machine]],'CODE mchn'!$A$4:$C$170,2,0))</f>
        <v>Béton</v>
      </c>
      <c r="D556" s="36" t="str">
        <f>IF(ISNA(VLOOKUP(Tableau13[[#This Row],[Code machine]],'CODE mchn'!$A$4:$C$170,3,0)),"",VLOOKUP(Tableau13[[#This Row],[Code machine]],'CODE mchn'!$A$4:$C$170,3,0))</f>
        <v>Poyatos 1</v>
      </c>
      <c r="E556" s="105"/>
      <c r="F556" s="65"/>
      <c r="G556" s="65" t="s">
        <v>306</v>
      </c>
      <c r="H556" s="65" t="s">
        <v>1126</v>
      </c>
      <c r="I556" s="64" t="s">
        <v>13</v>
      </c>
      <c r="J556" s="137" t="s">
        <v>867</v>
      </c>
      <c r="K556" s="138">
        <v>43810</v>
      </c>
      <c r="L556" s="65"/>
      <c r="M556" s="139">
        <v>1</v>
      </c>
      <c r="N556" s="140">
        <f>MONTH(Tableau13[[#This Row],[Date fin intervention]])</f>
        <v>12</v>
      </c>
      <c r="O556" s="140">
        <f>YEAR(Tableau13[[#This Row],[Date fin intervention]])</f>
        <v>2019</v>
      </c>
      <c r="P556" s="65"/>
    </row>
    <row r="557" spans="1:16">
      <c r="A557" s="135">
        <v>43805</v>
      </c>
      <c r="B557" s="136">
        <v>560</v>
      </c>
      <c r="C557" s="137" t="str">
        <f>IF(ISNA(VLOOKUP(Tableau13[[#This Row],[Code machine]],'CODE mchn'!$A$4:$C$170,2,0)),"",VLOOKUP(Tableau13[[#This Row],[Code machine]],'CODE mchn'!$A$4:$C$170,2,0))</f>
        <v>Acier</v>
      </c>
      <c r="D557" s="36" t="str">
        <f>IF(ISNA(VLOOKUP(Tableau13[[#This Row],[Code machine]],'CODE mchn'!$A$4:$C$170,3,0)),"",VLOOKUP(Tableau13[[#This Row],[Code machine]],'CODE mchn'!$A$4:$C$170,3,0))</f>
        <v>Schlatter</v>
      </c>
      <c r="E557" s="105"/>
      <c r="F557" s="65"/>
      <c r="G557" s="65" t="s">
        <v>23</v>
      </c>
      <c r="H557" s="65" t="s">
        <v>1162</v>
      </c>
      <c r="I557" s="65" t="s">
        <v>13</v>
      </c>
      <c r="J557" s="137" t="s">
        <v>1163</v>
      </c>
      <c r="K557" s="138">
        <v>43805</v>
      </c>
      <c r="L557" s="65"/>
      <c r="M557" s="121"/>
      <c r="N557" s="140">
        <f>MONTH(Tableau13[[#This Row],[Date fin intervention]])</f>
        <v>12</v>
      </c>
      <c r="O557" s="140">
        <f>YEAR(Tableau13[[#This Row],[Date fin intervention]])</f>
        <v>2019</v>
      </c>
      <c r="P557" s="65"/>
    </row>
    <row r="558" spans="1:16">
      <c r="A558" s="135">
        <v>43805</v>
      </c>
      <c r="B558" s="136">
        <v>560</v>
      </c>
      <c r="C558" s="137" t="str">
        <f>IF(ISNA(VLOOKUP(Tableau13[[#This Row],[Code machine]],'CODE mchn'!$A$4:$C$170,2,0)),"",VLOOKUP(Tableau13[[#This Row],[Code machine]],'CODE mchn'!$A$4:$C$170,2,0))</f>
        <v>Acier</v>
      </c>
      <c r="D558" s="36" t="str">
        <f>IF(ISNA(VLOOKUP(Tableau13[[#This Row],[Code machine]],'CODE mchn'!$A$4:$C$170,3,0)),"",VLOOKUP(Tableau13[[#This Row],[Code machine]],'CODE mchn'!$A$4:$C$170,3,0))</f>
        <v>Schlatter</v>
      </c>
      <c r="E558" s="105"/>
      <c r="F558" s="65"/>
      <c r="G558" s="65" t="s">
        <v>463</v>
      </c>
      <c r="H558" s="65" t="s">
        <v>1164</v>
      </c>
      <c r="I558" s="65" t="s">
        <v>13</v>
      </c>
      <c r="J558" s="137" t="s">
        <v>1165</v>
      </c>
      <c r="K558" s="138">
        <v>43805</v>
      </c>
      <c r="L558" s="65"/>
      <c r="M558" s="139">
        <v>30</v>
      </c>
      <c r="N558" s="140">
        <f>MONTH(Tableau13[[#This Row],[Date fin intervention]])</f>
        <v>12</v>
      </c>
      <c r="O558" s="140">
        <f>YEAR(Tableau13[[#This Row],[Date fin intervention]])</f>
        <v>2019</v>
      </c>
      <c r="P558" s="65"/>
    </row>
    <row r="559" spans="1:16" ht="42.75">
      <c r="A559" s="135">
        <v>43805</v>
      </c>
      <c r="B559" s="136">
        <v>700</v>
      </c>
      <c r="C559" s="137" t="str">
        <f>IF(ISNA(VLOOKUP(Tableau13[[#This Row],[Code machine]],'CODE mchn'!$A$4:$C$170,2,0)),"",VLOOKUP(Tableau13[[#This Row],[Code machine]],'CODE mchn'!$A$4:$C$170,2,0))</f>
        <v>Béton</v>
      </c>
      <c r="D559" s="36" t="str">
        <f>IF(ISNA(VLOOKUP(Tableau13[[#This Row],[Code machine]],'CODE mchn'!$A$4:$C$170,3,0)),"",VLOOKUP(Tableau13[[#This Row],[Code machine]],'CODE mchn'!$A$4:$C$170,3,0))</f>
        <v>Poyatos 1</v>
      </c>
      <c r="E559" s="105"/>
      <c r="F559" s="65"/>
      <c r="G559" s="65" t="s">
        <v>20</v>
      </c>
      <c r="H559" s="65" t="s">
        <v>1185</v>
      </c>
      <c r="I559" s="65" t="s">
        <v>13</v>
      </c>
      <c r="J559" s="137" t="s">
        <v>1186</v>
      </c>
      <c r="K559" s="138">
        <v>43809</v>
      </c>
      <c r="L559" s="65" t="s">
        <v>1187</v>
      </c>
      <c r="M559" s="139" t="s">
        <v>2259</v>
      </c>
      <c r="N559" s="140">
        <f>MONTH(Tableau13[[#This Row],[Date fin intervention]])</f>
        <v>12</v>
      </c>
      <c r="O559" s="140">
        <f>YEAR(Tableau13[[#This Row],[Date fin intervention]])</f>
        <v>2019</v>
      </c>
      <c r="P559" s="65"/>
    </row>
    <row r="560" spans="1:16" ht="28.5">
      <c r="A560" s="135">
        <v>43808</v>
      </c>
      <c r="B560" s="136">
        <v>584</v>
      </c>
      <c r="C560" s="137" t="str">
        <f>IF(ISNA(VLOOKUP(Tableau13[[#This Row],[Code machine]],'CODE mchn'!$A$4:$C$170,2,0)),"",VLOOKUP(Tableau13[[#This Row],[Code machine]],'CODE mchn'!$A$4:$C$170,2,0))</f>
        <v>Ponts roulants</v>
      </c>
      <c r="D560" s="36" t="str">
        <f>IF(ISNA(VLOOKUP(Tableau13[[#This Row],[Code machine]],'CODE mchn'!$A$4:$C$170,3,0)),"",VLOOKUP(Tableau13[[#This Row],[Code machine]],'CODE mchn'!$A$4:$C$170,3,0))</f>
        <v>Pont roulant Demag 3,2T (teurema2)</v>
      </c>
      <c r="E560" s="105"/>
      <c r="F560" s="65"/>
      <c r="G560" s="65" t="s">
        <v>52</v>
      </c>
      <c r="H560" s="65" t="s">
        <v>761</v>
      </c>
      <c r="I560" s="64" t="s">
        <v>13</v>
      </c>
      <c r="J560" s="137" t="s">
        <v>1144</v>
      </c>
      <c r="K560" s="138">
        <v>43808</v>
      </c>
      <c r="L560" s="65"/>
      <c r="M560" s="139">
        <v>30</v>
      </c>
      <c r="N560" s="140">
        <f>MONTH(Tableau13[[#This Row],[Date fin intervention]])</f>
        <v>12</v>
      </c>
      <c r="O560" s="140">
        <f>YEAR(Tableau13[[#This Row],[Date fin intervention]])</f>
        <v>2019</v>
      </c>
      <c r="P560" s="65"/>
    </row>
    <row r="561" spans="1:16">
      <c r="A561" s="135">
        <v>43808</v>
      </c>
      <c r="B561" s="136">
        <v>590</v>
      </c>
      <c r="C561" s="137" t="str">
        <f>IF(ISNA(VLOOKUP(Tableau13[[#This Row],[Code machine]],'CODE mchn'!$A$4:$C$170,2,0)),"",VLOOKUP(Tableau13[[#This Row],[Code machine]],'CODE mchn'!$A$4:$C$170,2,0))</f>
        <v>Acier</v>
      </c>
      <c r="D561" s="36" t="str">
        <f>IF(ISNA(VLOOKUP(Tableau13[[#This Row],[Code machine]],'CODE mchn'!$A$4:$C$170,3,0)),"",VLOOKUP(Tableau13[[#This Row],[Code machine]],'CODE mchn'!$A$4:$C$170,3,0))</f>
        <v>Teurema 3</v>
      </c>
      <c r="E561" s="105"/>
      <c r="F561" s="65"/>
      <c r="G561" s="65" t="s">
        <v>1170</v>
      </c>
      <c r="H561" s="65" t="s">
        <v>922</v>
      </c>
      <c r="I561" s="65" t="s">
        <v>13</v>
      </c>
      <c r="J561" s="137" t="s">
        <v>1171</v>
      </c>
      <c r="K561" s="138">
        <v>43808</v>
      </c>
      <c r="L561" s="65"/>
      <c r="M561" s="127"/>
      <c r="N561" s="140">
        <f>MONTH(Tableau13[[#This Row],[Date fin intervention]])</f>
        <v>12</v>
      </c>
      <c r="O561" s="140">
        <f>YEAR(Tableau13[[#This Row],[Date fin intervention]])</f>
        <v>2019</v>
      </c>
      <c r="P561" s="65"/>
    </row>
    <row r="562" spans="1:16">
      <c r="A562" s="135">
        <v>43808</v>
      </c>
      <c r="B562" s="136">
        <v>800</v>
      </c>
      <c r="C562" s="137" t="str">
        <f>IF(ISNA(VLOOKUP(Tableau13[[#This Row],[Code machine]],'CODE mchn'!$A$4:$C$170,2,0)),"",VLOOKUP(Tableau13[[#This Row],[Code machine]],'CODE mchn'!$A$4:$C$170,2,0))</f>
        <v>Béton</v>
      </c>
      <c r="D562" s="36" t="str">
        <f>IF(ISNA(VLOOKUP(Tableau13[[#This Row],[Code machine]],'CODE mchn'!$A$4:$C$170,3,0)),"",VLOOKUP(Tableau13[[#This Row],[Code machine]],'CODE mchn'!$A$4:$C$170,3,0))</f>
        <v>Poyatos 2</v>
      </c>
      <c r="E562" s="105"/>
      <c r="F562" s="65"/>
      <c r="G562" s="65" t="s">
        <v>118</v>
      </c>
      <c r="H562" s="65" t="s">
        <v>1181</v>
      </c>
      <c r="I562" s="65" t="s">
        <v>13</v>
      </c>
      <c r="J562" s="137" t="s">
        <v>1182</v>
      </c>
      <c r="K562" s="138">
        <v>43808</v>
      </c>
      <c r="L562" s="65"/>
      <c r="M562" s="139">
        <v>4</v>
      </c>
      <c r="N562" s="140">
        <f>MONTH(Tableau13[[#This Row],[Date fin intervention]])</f>
        <v>12</v>
      </c>
      <c r="O562" s="140">
        <f>YEAR(Tableau13[[#This Row],[Date fin intervention]])</f>
        <v>2019</v>
      </c>
      <c r="P562" s="65"/>
    </row>
    <row r="563" spans="1:16" ht="28.5">
      <c r="A563" s="135">
        <v>43809</v>
      </c>
      <c r="B563" s="136">
        <v>583</v>
      </c>
      <c r="C563" s="137" t="str">
        <f>IF(ISNA(VLOOKUP(Tableau13[[#This Row],[Code machine]],'CODE mchn'!$A$4:$C$170,2,0)),"",VLOOKUP(Tableau13[[#This Row],[Code machine]],'CODE mchn'!$A$4:$C$170,2,0))</f>
        <v>Ponts roulants</v>
      </c>
      <c r="D563" s="36" t="str">
        <f>IF(ISNA(VLOOKUP(Tableau13[[#This Row],[Code machine]],'CODE mchn'!$A$4:$C$170,3,0)),"",VLOOKUP(Tableau13[[#This Row],[Code machine]],'CODE mchn'!$A$4:$C$170,3,0))</f>
        <v>Pont roulant Abus 5T (teurema1)</v>
      </c>
      <c r="E563" s="105"/>
      <c r="F563" s="65"/>
      <c r="G563" s="65" t="s">
        <v>35</v>
      </c>
      <c r="H563" s="65" t="s">
        <v>866</v>
      </c>
      <c r="I563" s="64" t="s">
        <v>13</v>
      </c>
      <c r="J563" s="137" t="s">
        <v>867</v>
      </c>
      <c r="K563" s="138">
        <v>43809</v>
      </c>
      <c r="L563" s="65"/>
      <c r="M563" s="139">
        <v>2</v>
      </c>
      <c r="N563" s="140">
        <f>MONTH(Tableau13[[#This Row],[Date fin intervention]])</f>
        <v>12</v>
      </c>
      <c r="O563" s="140">
        <f>YEAR(Tableau13[[#This Row],[Date fin intervention]])</f>
        <v>2019</v>
      </c>
      <c r="P563" s="65"/>
    </row>
    <row r="564" spans="1:16">
      <c r="A564" s="135">
        <v>43809</v>
      </c>
      <c r="B564" s="136">
        <v>560</v>
      </c>
      <c r="C564" s="137" t="str">
        <f>IF(ISNA(VLOOKUP(Tableau13[[#This Row],[Code machine]],'CODE mchn'!$A$4:$C$170,2,0)),"",VLOOKUP(Tableau13[[#This Row],[Code machine]],'CODE mchn'!$A$4:$C$170,2,0))</f>
        <v>Acier</v>
      </c>
      <c r="D564" s="36" t="str">
        <f>IF(ISNA(VLOOKUP(Tableau13[[#This Row],[Code machine]],'CODE mchn'!$A$4:$C$170,3,0)),"",VLOOKUP(Tableau13[[#This Row],[Code machine]],'CODE mchn'!$A$4:$C$170,3,0))</f>
        <v>Schlatter</v>
      </c>
      <c r="E564" s="105"/>
      <c r="F564" s="65"/>
      <c r="G564" s="65" t="s">
        <v>104</v>
      </c>
      <c r="H564" s="65" t="s">
        <v>850</v>
      </c>
      <c r="I564" s="65" t="s">
        <v>13</v>
      </c>
      <c r="J564" s="137" t="s">
        <v>1166</v>
      </c>
      <c r="K564" s="138">
        <v>43809</v>
      </c>
      <c r="L564" s="65"/>
      <c r="M564" s="139">
        <v>40</v>
      </c>
      <c r="N564" s="140">
        <f>MONTH(Tableau13[[#This Row],[Date fin intervention]])</f>
        <v>12</v>
      </c>
      <c r="O564" s="140">
        <f>YEAR(Tableau13[[#This Row],[Date fin intervention]])</f>
        <v>2019</v>
      </c>
      <c r="P564" s="65"/>
    </row>
    <row r="565" spans="1:16">
      <c r="A565" s="135">
        <v>43810</v>
      </c>
      <c r="B565" s="136">
        <v>590</v>
      </c>
      <c r="C565" s="137" t="str">
        <f>IF(ISNA(VLOOKUP(Tableau13[[#This Row],[Code machine]],'CODE mchn'!$A$4:$C$170,2,0)),"",VLOOKUP(Tableau13[[#This Row],[Code machine]],'CODE mchn'!$A$4:$C$170,2,0))</f>
        <v>Acier</v>
      </c>
      <c r="D565" s="36" t="str">
        <f>IF(ISNA(VLOOKUP(Tableau13[[#This Row],[Code machine]],'CODE mchn'!$A$4:$C$170,3,0)),"",VLOOKUP(Tableau13[[#This Row],[Code machine]],'CODE mchn'!$A$4:$C$170,3,0))</f>
        <v>Teurema 3</v>
      </c>
      <c r="E565" s="105"/>
      <c r="F565" s="65"/>
      <c r="G565" s="65" t="s">
        <v>1167</v>
      </c>
      <c r="H565" s="65" t="s">
        <v>1168</v>
      </c>
      <c r="I565" s="65" t="s">
        <v>13</v>
      </c>
      <c r="J565" s="137" t="s">
        <v>1169</v>
      </c>
      <c r="K565" s="138">
        <v>43810</v>
      </c>
      <c r="L565" s="65"/>
      <c r="M565" s="139">
        <v>2</v>
      </c>
      <c r="N565" s="140">
        <f>MONTH(Tableau13[[#This Row],[Date fin intervention]])</f>
        <v>12</v>
      </c>
      <c r="O565" s="140">
        <f>YEAR(Tableau13[[#This Row],[Date fin intervention]])</f>
        <v>2019</v>
      </c>
      <c r="P565" s="65"/>
    </row>
    <row r="566" spans="1:16">
      <c r="A566" s="135">
        <v>43810</v>
      </c>
      <c r="B566" s="136">
        <v>582</v>
      </c>
      <c r="C566" s="137" t="str">
        <f>IF(ISNA(VLOOKUP(Tableau13[[#This Row],[Code machine]],'CODE mchn'!$A$4:$C$170,2,0)),"",VLOOKUP(Tableau13[[#This Row],[Code machine]],'CODE mchn'!$A$4:$C$170,2,0))</f>
        <v>Acier</v>
      </c>
      <c r="D566" s="36" t="str">
        <f>IF(ISNA(VLOOKUP(Tableau13[[#This Row],[Code machine]],'CODE mchn'!$A$4:$C$170,3,0)),"",VLOOKUP(Tableau13[[#This Row],[Code machine]],'CODE mchn'!$A$4:$C$170,3,0))</f>
        <v>Teurema 2</v>
      </c>
      <c r="E566" s="105"/>
      <c r="F566" s="65"/>
      <c r="G566" s="65" t="s">
        <v>1148</v>
      </c>
      <c r="H566" s="65" t="s">
        <v>1172</v>
      </c>
      <c r="I566" s="65" t="s">
        <v>13</v>
      </c>
      <c r="J566" s="137" t="s">
        <v>744</v>
      </c>
      <c r="K566" s="138">
        <v>43810</v>
      </c>
      <c r="L566" s="65"/>
      <c r="M566" s="139">
        <v>1</v>
      </c>
      <c r="N566" s="140">
        <f>MONTH(Tableau13[[#This Row],[Date fin intervention]])</f>
        <v>12</v>
      </c>
      <c r="O566" s="140">
        <f>YEAR(Tableau13[[#This Row],[Date fin intervention]])</f>
        <v>2019</v>
      </c>
      <c r="P566" s="65"/>
    </row>
    <row r="567" spans="1:16">
      <c r="A567" s="135">
        <v>43811</v>
      </c>
      <c r="B567" s="136">
        <v>800</v>
      </c>
      <c r="C567" s="137" t="str">
        <f>IF(ISNA(VLOOKUP(Tableau13[[#This Row],[Code machine]],'CODE mchn'!$A$4:$C$170,2,0)),"",VLOOKUP(Tableau13[[#This Row],[Code machine]],'CODE mchn'!$A$4:$C$170,2,0))</f>
        <v>Béton</v>
      </c>
      <c r="D567" s="36" t="str">
        <f>IF(ISNA(VLOOKUP(Tableau13[[#This Row],[Code machine]],'CODE mchn'!$A$4:$C$170,3,0)),"",VLOOKUP(Tableau13[[#This Row],[Code machine]],'CODE mchn'!$A$4:$C$170,3,0))</f>
        <v>Poyatos 2</v>
      </c>
      <c r="E567" s="105"/>
      <c r="F567" s="65"/>
      <c r="G567" s="65" t="s">
        <v>291</v>
      </c>
      <c r="H567" s="65" t="s">
        <v>764</v>
      </c>
      <c r="I567" s="64" t="s">
        <v>13</v>
      </c>
      <c r="J567" s="137" t="s">
        <v>585</v>
      </c>
      <c r="K567" s="138">
        <v>43811</v>
      </c>
      <c r="L567" s="65"/>
      <c r="M567" s="139">
        <v>40</v>
      </c>
      <c r="N567" s="140">
        <f>MONTH(Tableau13[[#This Row],[Date fin intervention]])</f>
        <v>12</v>
      </c>
      <c r="O567" s="140">
        <f>YEAR(Tableau13[[#This Row],[Date fin intervention]])</f>
        <v>2019</v>
      </c>
      <c r="P567" s="65"/>
    </row>
    <row r="568" spans="1:16">
      <c r="A568" s="135">
        <v>43811</v>
      </c>
      <c r="B568" s="136">
        <v>800</v>
      </c>
      <c r="C568" s="137" t="str">
        <f>IF(ISNA(VLOOKUP(Tableau13[[#This Row],[Code machine]],'CODE mchn'!$A$4:$C$170,2,0)),"",VLOOKUP(Tableau13[[#This Row],[Code machine]],'CODE mchn'!$A$4:$C$170,2,0))</f>
        <v>Béton</v>
      </c>
      <c r="D568" s="36" t="str">
        <f>IF(ISNA(VLOOKUP(Tableau13[[#This Row],[Code machine]],'CODE mchn'!$A$4:$C$170,3,0)),"",VLOOKUP(Tableau13[[#This Row],[Code machine]],'CODE mchn'!$A$4:$C$170,3,0))</f>
        <v>Poyatos 2</v>
      </c>
      <c r="E568" s="105"/>
      <c r="F568" s="65"/>
      <c r="G568" s="65" t="s">
        <v>128</v>
      </c>
      <c r="H568" s="65" t="s">
        <v>1127</v>
      </c>
      <c r="I568" s="64" t="s">
        <v>13</v>
      </c>
      <c r="J568" s="137" t="s">
        <v>1128</v>
      </c>
      <c r="K568" s="138">
        <v>43811</v>
      </c>
      <c r="L568" s="65"/>
      <c r="M568" s="139">
        <v>30</v>
      </c>
      <c r="N568" s="140">
        <f>MONTH(Tableau13[[#This Row],[Date fin intervention]])</f>
        <v>12</v>
      </c>
      <c r="O568" s="140">
        <f>YEAR(Tableau13[[#This Row],[Date fin intervention]])</f>
        <v>2019</v>
      </c>
      <c r="P568" s="65"/>
    </row>
    <row r="569" spans="1:16">
      <c r="A569" s="135">
        <v>43811</v>
      </c>
      <c r="B569" s="136">
        <v>590</v>
      </c>
      <c r="C569" s="137" t="str">
        <f>IF(ISNA(VLOOKUP(Tableau13[[#This Row],[Code machine]],'CODE mchn'!$A$4:$C$170,2,0)),"",VLOOKUP(Tableau13[[#This Row],[Code machine]],'CODE mchn'!$A$4:$C$170,2,0))</f>
        <v>Acier</v>
      </c>
      <c r="D569" s="36" t="str">
        <f>IF(ISNA(VLOOKUP(Tableau13[[#This Row],[Code machine]],'CODE mchn'!$A$4:$C$170,3,0)),"",VLOOKUP(Tableau13[[#This Row],[Code machine]],'CODE mchn'!$A$4:$C$170,3,0))</f>
        <v>Teurema 3</v>
      </c>
      <c r="E569" s="105"/>
      <c r="F569" s="65"/>
      <c r="G569" s="65" t="s">
        <v>446</v>
      </c>
      <c r="H569" s="65" t="s">
        <v>775</v>
      </c>
      <c r="I569" s="64" t="s">
        <v>13</v>
      </c>
      <c r="J569" s="137" t="s">
        <v>1151</v>
      </c>
      <c r="K569" s="138">
        <v>43811</v>
      </c>
      <c r="L569" s="65"/>
      <c r="M569" s="127"/>
      <c r="N569" s="140">
        <f>MONTH(Tableau13[[#This Row],[Date fin intervention]])</f>
        <v>12</v>
      </c>
      <c r="O569" s="140">
        <f>YEAR(Tableau13[[#This Row],[Date fin intervention]])</f>
        <v>2019</v>
      </c>
      <c r="P569" s="65"/>
    </row>
    <row r="570" spans="1:16">
      <c r="A570" s="135">
        <v>43811</v>
      </c>
      <c r="B570" s="136">
        <v>606</v>
      </c>
      <c r="C570" s="137" t="str">
        <f>IF(ISNA(VLOOKUP(Tableau13[[#This Row],[Code machine]],'CODE mchn'!$A$4:$C$170,2,0)),"",VLOOKUP(Tableau13[[#This Row],[Code machine]],'CODE mchn'!$A$4:$C$170,2,0))</f>
        <v>Acier</v>
      </c>
      <c r="D570" s="36" t="str">
        <f>IF(ISNA(VLOOKUP(Tableau13[[#This Row],[Code machine]],'CODE mchn'!$A$4:$C$170,3,0)),"",VLOOKUP(Tableau13[[#This Row],[Code machine]],'CODE mchn'!$A$4:$C$170,3,0))</f>
        <v>Vitari 2</v>
      </c>
      <c r="E570" s="105"/>
      <c r="F570" s="65"/>
      <c r="G570" s="65" t="s">
        <v>993</v>
      </c>
      <c r="H570" s="65" t="s">
        <v>1152</v>
      </c>
      <c r="I570" s="64" t="s">
        <v>13</v>
      </c>
      <c r="J570" s="137" t="s">
        <v>1153</v>
      </c>
      <c r="K570" s="138">
        <v>43811</v>
      </c>
      <c r="L570" s="65"/>
      <c r="M570" s="139">
        <v>2</v>
      </c>
      <c r="N570" s="140">
        <f>MONTH(Tableau13[[#This Row],[Date fin intervention]])</f>
        <v>12</v>
      </c>
      <c r="O570" s="140">
        <f>YEAR(Tableau13[[#This Row],[Date fin intervention]])</f>
        <v>2019</v>
      </c>
      <c r="P570" s="65"/>
    </row>
    <row r="571" spans="1:16" ht="28.5">
      <c r="A571" s="135">
        <v>43812</v>
      </c>
      <c r="B571" s="136">
        <v>800</v>
      </c>
      <c r="C571" s="137" t="str">
        <f>IF(ISNA(VLOOKUP(Tableau13[[#This Row],[Code machine]],'CODE mchn'!$A$4:$C$170,2,0)),"",VLOOKUP(Tableau13[[#This Row],[Code machine]],'CODE mchn'!$A$4:$C$170,2,0))</f>
        <v>Béton</v>
      </c>
      <c r="D571" s="36" t="str">
        <f>IF(ISNA(VLOOKUP(Tableau13[[#This Row],[Code machine]],'CODE mchn'!$A$4:$C$170,3,0)),"",VLOOKUP(Tableau13[[#This Row],[Code machine]],'CODE mchn'!$A$4:$C$170,3,0))</f>
        <v>Poyatos 2</v>
      </c>
      <c r="E571" s="105"/>
      <c r="F571" s="65"/>
      <c r="G571" s="65" t="s">
        <v>185</v>
      </c>
      <c r="H571" s="65" t="s">
        <v>654</v>
      </c>
      <c r="I571" s="64" t="s">
        <v>13</v>
      </c>
      <c r="J571" s="137" t="s">
        <v>655</v>
      </c>
      <c r="K571" s="138">
        <v>43812</v>
      </c>
      <c r="L571" s="65" t="s">
        <v>1129</v>
      </c>
      <c r="M571" s="139">
        <v>3</v>
      </c>
      <c r="N571" s="140">
        <f>MONTH(Tableau13[[#This Row],[Date fin intervention]])</f>
        <v>12</v>
      </c>
      <c r="O571" s="140">
        <f>YEAR(Tableau13[[#This Row],[Date fin intervention]])</f>
        <v>2019</v>
      </c>
      <c r="P571" s="65"/>
    </row>
    <row r="572" spans="1:16">
      <c r="A572" s="135">
        <v>43812</v>
      </c>
      <c r="B572" s="136">
        <v>590</v>
      </c>
      <c r="C572" s="137" t="str">
        <f>IF(ISNA(VLOOKUP(Tableau13[[#This Row],[Code machine]],'CODE mchn'!$A$4:$C$170,2,0)),"",VLOOKUP(Tableau13[[#This Row],[Code machine]],'CODE mchn'!$A$4:$C$170,2,0))</f>
        <v>Acier</v>
      </c>
      <c r="D572" s="36" t="str">
        <f>IF(ISNA(VLOOKUP(Tableau13[[#This Row],[Code machine]],'CODE mchn'!$A$4:$C$170,3,0)),"",VLOOKUP(Tableau13[[#This Row],[Code machine]],'CODE mchn'!$A$4:$C$170,3,0))</f>
        <v>Teurema 3</v>
      </c>
      <c r="E572" s="105"/>
      <c r="F572" s="65"/>
      <c r="G572" s="65" t="s">
        <v>49</v>
      </c>
      <c r="H572" s="65" t="s">
        <v>1074</v>
      </c>
      <c r="I572" s="64" t="s">
        <v>13</v>
      </c>
      <c r="J572" s="137" t="s">
        <v>1075</v>
      </c>
      <c r="K572" s="138">
        <v>43812</v>
      </c>
      <c r="L572" s="65"/>
      <c r="M572" s="139">
        <v>2</v>
      </c>
      <c r="N572" s="140">
        <f>MONTH(Tableau13[[#This Row],[Date fin intervention]])</f>
        <v>12</v>
      </c>
      <c r="O572" s="140">
        <f>YEAR(Tableau13[[#This Row],[Date fin intervention]])</f>
        <v>2019</v>
      </c>
      <c r="P572" s="65"/>
    </row>
    <row r="573" spans="1:16">
      <c r="A573" s="135">
        <v>43812</v>
      </c>
      <c r="B573" s="136">
        <v>571</v>
      </c>
      <c r="C573" s="137" t="str">
        <f>IF(ISNA(VLOOKUP(Tableau13[[#This Row],[Code machine]],'CODE mchn'!$A$4:$C$170,2,0)),"",VLOOKUP(Tableau13[[#This Row],[Code machine]],'CODE mchn'!$A$4:$C$170,2,0))</f>
        <v>Acier</v>
      </c>
      <c r="D573" s="36" t="str">
        <f>IF(ISNA(VLOOKUP(Tableau13[[#This Row],[Code machine]],'CODE mchn'!$A$4:$C$170,3,0)),"",VLOOKUP(Tableau13[[#This Row],[Code machine]],'CODE mchn'!$A$4:$C$170,3,0))</f>
        <v>EVG PN 1</v>
      </c>
      <c r="E573" s="105"/>
      <c r="F573" s="65"/>
      <c r="G573" s="65" t="s">
        <v>10</v>
      </c>
      <c r="H573" s="65" t="s">
        <v>1173</v>
      </c>
      <c r="I573" s="65" t="s">
        <v>13</v>
      </c>
      <c r="J573" s="137" t="s">
        <v>1174</v>
      </c>
      <c r="K573" s="138">
        <v>43812</v>
      </c>
      <c r="L573" s="65"/>
      <c r="M573" s="127"/>
      <c r="N573" s="140">
        <f>MONTH(Tableau13[[#This Row],[Date fin intervention]])</f>
        <v>12</v>
      </c>
      <c r="O573" s="140">
        <f>YEAR(Tableau13[[#This Row],[Date fin intervention]])</f>
        <v>2019</v>
      </c>
      <c r="P573" s="65"/>
    </row>
    <row r="574" spans="1:16">
      <c r="A574" s="135">
        <v>43812</v>
      </c>
      <c r="B574" s="136">
        <v>607</v>
      </c>
      <c r="C574" s="137" t="str">
        <f>IF(ISNA(VLOOKUP(Tableau13[[#This Row],[Code machine]],'CODE mchn'!$A$4:$C$170,2,0)),"",VLOOKUP(Tableau13[[#This Row],[Code machine]],'CODE mchn'!$A$4:$C$170,2,0))</f>
        <v>Acier</v>
      </c>
      <c r="D574" s="36" t="str">
        <f>IF(ISNA(VLOOKUP(Tableau13[[#This Row],[Code machine]],'CODE mchn'!$A$4:$C$170,3,0)),"",VLOOKUP(Tableau13[[#This Row],[Code machine]],'CODE mchn'!$A$4:$C$170,3,0))</f>
        <v>Vitari 3</v>
      </c>
      <c r="E574" s="105"/>
      <c r="F574" s="65"/>
      <c r="G574" s="65" t="s">
        <v>1175</v>
      </c>
      <c r="H574" s="65" t="s">
        <v>689</v>
      </c>
      <c r="I574" s="65" t="s">
        <v>13</v>
      </c>
      <c r="J574" s="137" t="s">
        <v>1176</v>
      </c>
      <c r="K574" s="138">
        <v>43812</v>
      </c>
      <c r="L574" s="65"/>
      <c r="M574" s="139">
        <v>1</v>
      </c>
      <c r="N574" s="140">
        <f>MONTH(Tableau13[[#This Row],[Date fin intervention]])</f>
        <v>12</v>
      </c>
      <c r="O574" s="140">
        <f>YEAR(Tableau13[[#This Row],[Date fin intervention]])</f>
        <v>2019</v>
      </c>
      <c r="P574" s="65"/>
    </row>
    <row r="575" spans="1:16">
      <c r="A575" s="135">
        <v>43813</v>
      </c>
      <c r="B575" s="136">
        <v>700</v>
      </c>
      <c r="C575" s="137" t="str">
        <f>IF(ISNA(VLOOKUP(Tableau13[[#This Row],[Code machine]],'CODE mchn'!$A$4:$C$170,2,0)),"",VLOOKUP(Tableau13[[#This Row],[Code machine]],'CODE mchn'!$A$4:$C$170,2,0))</f>
        <v>Béton</v>
      </c>
      <c r="D575" s="36" t="str">
        <f>IF(ISNA(VLOOKUP(Tableau13[[#This Row],[Code machine]],'CODE mchn'!$A$4:$C$170,3,0)),"",VLOOKUP(Tableau13[[#This Row],[Code machine]],'CODE mchn'!$A$4:$C$170,3,0))</f>
        <v>Poyatos 1</v>
      </c>
      <c r="E575" s="105"/>
      <c r="F575" s="65"/>
      <c r="G575" s="65" t="s">
        <v>335</v>
      </c>
      <c r="H575" s="65" t="s">
        <v>1130</v>
      </c>
      <c r="I575" s="64" t="s">
        <v>13</v>
      </c>
      <c r="J575" s="137" t="s">
        <v>1131</v>
      </c>
      <c r="K575" s="138">
        <v>43813</v>
      </c>
      <c r="L575" s="65"/>
      <c r="M575" s="139">
        <v>2</v>
      </c>
      <c r="N575" s="140">
        <f>MONTH(Tableau13[[#This Row],[Date fin intervention]])</f>
        <v>12</v>
      </c>
      <c r="O575" s="140">
        <f>YEAR(Tableau13[[#This Row],[Date fin intervention]])</f>
        <v>2019</v>
      </c>
      <c r="P575" s="65"/>
    </row>
    <row r="576" spans="1:16">
      <c r="A576" s="135">
        <v>43813</v>
      </c>
      <c r="B576" s="136">
        <v>565</v>
      </c>
      <c r="C576" s="137" t="str">
        <f>IF(ISNA(VLOOKUP(Tableau13[[#This Row],[Code machine]],'CODE mchn'!$A$4:$C$170,2,0)),"",VLOOKUP(Tableau13[[#This Row],[Code machine]],'CODE mchn'!$A$4:$C$170,2,0))</f>
        <v>Acier</v>
      </c>
      <c r="D576" s="36" t="str">
        <f>IF(ISNA(VLOOKUP(Tableau13[[#This Row],[Code machine]],'CODE mchn'!$A$4:$C$170,3,0)),"",VLOOKUP(Tableau13[[#This Row],[Code machine]],'CODE mchn'!$A$4:$C$170,3,0))</f>
        <v>EVG GE12</v>
      </c>
      <c r="E576" s="105"/>
      <c r="F576" s="65"/>
      <c r="G576" s="65" t="s">
        <v>104</v>
      </c>
      <c r="H576" s="65" t="s">
        <v>1145</v>
      </c>
      <c r="I576" s="64" t="s">
        <v>13</v>
      </c>
      <c r="J576" s="137" t="s">
        <v>1146</v>
      </c>
      <c r="K576" s="138">
        <v>43813</v>
      </c>
      <c r="L576" s="65"/>
      <c r="M576" s="139">
        <v>2</v>
      </c>
      <c r="N576" s="140">
        <f>MONTH(Tableau13[[#This Row],[Date fin intervention]])</f>
        <v>12</v>
      </c>
      <c r="O576" s="140">
        <f>YEAR(Tableau13[[#This Row],[Date fin intervention]])</f>
        <v>2019</v>
      </c>
      <c r="P576" s="65"/>
    </row>
    <row r="577" spans="1:16" ht="28.5">
      <c r="A577" s="135">
        <v>43813</v>
      </c>
      <c r="B577" s="136">
        <v>583</v>
      </c>
      <c r="C577" s="137" t="str">
        <f>IF(ISNA(VLOOKUP(Tableau13[[#This Row],[Code machine]],'CODE mchn'!$A$4:$C$170,2,0)),"",VLOOKUP(Tableau13[[#This Row],[Code machine]],'CODE mchn'!$A$4:$C$170,2,0))</f>
        <v>Ponts roulants</v>
      </c>
      <c r="D577" s="36" t="str">
        <f>IF(ISNA(VLOOKUP(Tableau13[[#This Row],[Code machine]],'CODE mchn'!$A$4:$C$170,3,0)),"",VLOOKUP(Tableau13[[#This Row],[Code machine]],'CODE mchn'!$A$4:$C$170,3,0))</f>
        <v>Pont roulant Abus 5T (teurema1)</v>
      </c>
      <c r="E577" s="105"/>
      <c r="F577" s="65"/>
      <c r="G577" s="65" t="s">
        <v>35</v>
      </c>
      <c r="H577" s="65" t="s">
        <v>482</v>
      </c>
      <c r="I577" s="65" t="s">
        <v>13</v>
      </c>
      <c r="J577" s="137" t="s">
        <v>1177</v>
      </c>
      <c r="K577" s="138">
        <v>43813</v>
      </c>
      <c r="L577" s="65"/>
      <c r="M577" s="139">
        <v>2</v>
      </c>
      <c r="N577" s="140">
        <f>MONTH(Tableau13[[#This Row],[Date fin intervention]])</f>
        <v>12</v>
      </c>
      <c r="O577" s="140">
        <f>YEAR(Tableau13[[#This Row],[Date fin intervention]])</f>
        <v>2019</v>
      </c>
      <c r="P577" s="65"/>
    </row>
    <row r="578" spans="1:16">
      <c r="A578" s="135">
        <v>43815</v>
      </c>
      <c r="B578" s="136">
        <v>800</v>
      </c>
      <c r="C578" s="137" t="str">
        <f>IF(ISNA(VLOOKUP(Tableau13[[#This Row],[Code machine]],'CODE mchn'!$A$4:$C$170,2,0)),"",VLOOKUP(Tableau13[[#This Row],[Code machine]],'CODE mchn'!$A$4:$C$170,2,0))</f>
        <v>Béton</v>
      </c>
      <c r="D578" s="36" t="str">
        <f>IF(ISNA(VLOOKUP(Tableau13[[#This Row],[Code machine]],'CODE mchn'!$A$4:$C$170,3,0)),"",VLOOKUP(Tableau13[[#This Row],[Code machine]],'CODE mchn'!$A$4:$C$170,3,0))</f>
        <v>Poyatos 2</v>
      </c>
      <c r="E578" s="105"/>
      <c r="F578" s="65"/>
      <c r="G578" s="65" t="s">
        <v>1132</v>
      </c>
      <c r="H578" s="65" t="s">
        <v>1133</v>
      </c>
      <c r="I578" s="64" t="s">
        <v>13</v>
      </c>
      <c r="J578" s="137" t="s">
        <v>593</v>
      </c>
      <c r="K578" s="138">
        <v>43815</v>
      </c>
      <c r="L578" s="65"/>
      <c r="M578" s="139">
        <v>2</v>
      </c>
      <c r="N578" s="140">
        <f>MONTH(Tableau13[[#This Row],[Date fin intervention]])</f>
        <v>12</v>
      </c>
      <c r="O578" s="140">
        <f>YEAR(Tableau13[[#This Row],[Date fin intervention]])</f>
        <v>2019</v>
      </c>
      <c r="P578" s="65"/>
    </row>
    <row r="579" spans="1:16">
      <c r="A579" s="135">
        <v>43815</v>
      </c>
      <c r="B579" s="136">
        <v>800</v>
      </c>
      <c r="C579" s="137" t="str">
        <f>IF(ISNA(VLOOKUP(Tableau13[[#This Row],[Code machine]],'CODE mchn'!$A$4:$C$170,2,0)),"",VLOOKUP(Tableau13[[#This Row],[Code machine]],'CODE mchn'!$A$4:$C$170,2,0))</f>
        <v>Béton</v>
      </c>
      <c r="D579" s="36" t="str">
        <f>IF(ISNA(VLOOKUP(Tableau13[[#This Row],[Code machine]],'CODE mchn'!$A$4:$C$170,3,0)),"",VLOOKUP(Tableau13[[#This Row],[Code machine]],'CODE mchn'!$A$4:$C$170,3,0))</f>
        <v>Poyatos 2</v>
      </c>
      <c r="E579" s="105"/>
      <c r="F579" s="65"/>
      <c r="G579" s="65" t="s">
        <v>809</v>
      </c>
      <c r="H579" s="65" t="s">
        <v>1134</v>
      </c>
      <c r="I579" s="64" t="s">
        <v>13</v>
      </c>
      <c r="J579" s="137" t="s">
        <v>1135</v>
      </c>
      <c r="K579" s="138">
        <v>43815</v>
      </c>
      <c r="L579" s="65"/>
      <c r="M579" s="127"/>
      <c r="N579" s="140">
        <f>MONTH(Tableau13[[#This Row],[Date fin intervention]])</f>
        <v>12</v>
      </c>
      <c r="O579" s="140">
        <f>YEAR(Tableau13[[#This Row],[Date fin intervention]])</f>
        <v>2019</v>
      </c>
      <c r="P579" s="65"/>
    </row>
    <row r="580" spans="1:16">
      <c r="A580" s="135">
        <v>43815</v>
      </c>
      <c r="B580" s="136">
        <v>800</v>
      </c>
      <c r="C580" s="137" t="str">
        <f>IF(ISNA(VLOOKUP(Tableau13[[#This Row],[Code machine]],'CODE mchn'!$A$4:$C$170,2,0)),"",VLOOKUP(Tableau13[[#This Row],[Code machine]],'CODE mchn'!$A$4:$C$170,2,0))</f>
        <v>Béton</v>
      </c>
      <c r="D580" s="36" t="str">
        <f>IF(ISNA(VLOOKUP(Tableau13[[#This Row],[Code machine]],'CODE mchn'!$A$4:$C$170,3,0)),"",VLOOKUP(Tableau13[[#This Row],[Code machine]],'CODE mchn'!$A$4:$C$170,3,0))</f>
        <v>Poyatos 2</v>
      </c>
      <c r="E580" s="105"/>
      <c r="F580" s="65"/>
      <c r="G580" s="65" t="s">
        <v>1105</v>
      </c>
      <c r="H580" s="65" t="s">
        <v>1136</v>
      </c>
      <c r="I580" s="64" t="s">
        <v>13</v>
      </c>
      <c r="J580" s="137" t="s">
        <v>1137</v>
      </c>
      <c r="K580" s="138">
        <v>43815</v>
      </c>
      <c r="L580" s="65"/>
      <c r="M580" s="127"/>
      <c r="N580" s="140">
        <f>MONTH(Tableau13[[#This Row],[Date fin intervention]])</f>
        <v>12</v>
      </c>
      <c r="O580" s="140">
        <f>YEAR(Tableau13[[#This Row],[Date fin intervention]])</f>
        <v>2019</v>
      </c>
      <c r="P580" s="65"/>
    </row>
    <row r="581" spans="1:16">
      <c r="A581" s="135">
        <v>43815</v>
      </c>
      <c r="B581" s="136">
        <v>571</v>
      </c>
      <c r="C581" s="137" t="str">
        <f>IF(ISNA(VLOOKUP(Tableau13[[#This Row],[Code machine]],'CODE mchn'!$A$4:$C$170,2,0)),"",VLOOKUP(Tableau13[[#This Row],[Code machine]],'CODE mchn'!$A$4:$C$170,2,0))</f>
        <v>Acier</v>
      </c>
      <c r="D581" s="36" t="str">
        <f>IF(ISNA(VLOOKUP(Tableau13[[#This Row],[Code machine]],'CODE mchn'!$A$4:$C$170,3,0)),"",VLOOKUP(Tableau13[[#This Row],[Code machine]],'CODE mchn'!$A$4:$C$170,3,0))</f>
        <v>EVG PN 1</v>
      </c>
      <c r="E581" s="105"/>
      <c r="F581" s="65"/>
      <c r="G581" s="65" t="s">
        <v>104</v>
      </c>
      <c r="H581" s="65" t="s">
        <v>1178</v>
      </c>
      <c r="I581" s="65" t="s">
        <v>13</v>
      </c>
      <c r="J581" s="137" t="s">
        <v>1179</v>
      </c>
      <c r="K581" s="138">
        <v>43815</v>
      </c>
      <c r="L581" s="65"/>
      <c r="M581" s="127"/>
      <c r="N581" s="140">
        <f>MONTH(Tableau13[[#This Row],[Date fin intervention]])</f>
        <v>12</v>
      </c>
      <c r="O581" s="140">
        <f>YEAR(Tableau13[[#This Row],[Date fin intervention]])</f>
        <v>2019</v>
      </c>
      <c r="P581" s="65"/>
    </row>
    <row r="582" spans="1:16" ht="42.75">
      <c r="A582" s="135">
        <v>43816</v>
      </c>
      <c r="B582" s="136">
        <v>700</v>
      </c>
      <c r="C582" s="137" t="str">
        <f>IF(ISNA(VLOOKUP(Tableau13[[#This Row],[Code machine]],'CODE mchn'!$A$4:$C$170,2,0)),"",VLOOKUP(Tableau13[[#This Row],[Code machine]],'CODE mchn'!$A$4:$C$170,2,0))</f>
        <v>Béton</v>
      </c>
      <c r="D582" s="36" t="str">
        <f>IF(ISNA(VLOOKUP(Tableau13[[#This Row],[Code machine]],'CODE mchn'!$A$4:$C$170,3,0)),"",VLOOKUP(Tableau13[[#This Row],[Code machine]],'CODE mchn'!$A$4:$C$170,3,0))</f>
        <v>Poyatos 1</v>
      </c>
      <c r="E582" s="105"/>
      <c r="F582" s="65"/>
      <c r="G582" s="65" t="s">
        <v>375</v>
      </c>
      <c r="H582" s="65" t="s">
        <v>1138</v>
      </c>
      <c r="I582" s="64" t="s">
        <v>13</v>
      </c>
      <c r="J582" s="137" t="s">
        <v>1139</v>
      </c>
      <c r="K582" s="138">
        <v>43817</v>
      </c>
      <c r="L582" s="36" t="s">
        <v>85</v>
      </c>
      <c r="M582" s="139" t="s">
        <v>2259</v>
      </c>
      <c r="N582" s="140">
        <f>MONTH(Tableau13[[#This Row],[Date fin intervention]])</f>
        <v>12</v>
      </c>
      <c r="O582" s="140">
        <f>YEAR(Tableau13[[#This Row],[Date fin intervention]])</f>
        <v>2019</v>
      </c>
      <c r="P582" s="65"/>
    </row>
    <row r="583" spans="1:16">
      <c r="A583" s="135">
        <v>43816</v>
      </c>
      <c r="B583" s="136">
        <v>700</v>
      </c>
      <c r="C583" s="137" t="str">
        <f>IF(ISNA(VLOOKUP(Tableau13[[#This Row],[Code machine]],'CODE mchn'!$A$4:$C$170,2,0)),"",VLOOKUP(Tableau13[[#This Row],[Code machine]],'CODE mchn'!$A$4:$C$170,2,0))</f>
        <v>Béton</v>
      </c>
      <c r="D583" s="36" t="str">
        <f>IF(ISNA(VLOOKUP(Tableau13[[#This Row],[Code machine]],'CODE mchn'!$A$4:$C$170,3,0)),"",VLOOKUP(Tableau13[[#This Row],[Code machine]],'CODE mchn'!$A$4:$C$170,3,0))</f>
        <v>Poyatos 1</v>
      </c>
      <c r="E583" s="105"/>
      <c r="F583" s="65"/>
      <c r="G583" s="65" t="s">
        <v>375</v>
      </c>
      <c r="H583" s="65" t="s">
        <v>1140</v>
      </c>
      <c r="I583" s="64" t="s">
        <v>13</v>
      </c>
      <c r="J583" s="137" t="s">
        <v>1141</v>
      </c>
      <c r="K583" s="138">
        <v>43816</v>
      </c>
      <c r="L583" s="65"/>
      <c r="M583" s="127"/>
      <c r="N583" s="140">
        <f>MONTH(Tableau13[[#This Row],[Date fin intervention]])</f>
        <v>12</v>
      </c>
      <c r="O583" s="140">
        <f>YEAR(Tableau13[[#This Row],[Date fin intervention]])</f>
        <v>2019</v>
      </c>
      <c r="P583" s="65"/>
    </row>
    <row r="584" spans="1:16">
      <c r="A584" s="135">
        <v>43816</v>
      </c>
      <c r="B584" s="136">
        <v>565</v>
      </c>
      <c r="C584" s="137" t="str">
        <f>IF(ISNA(VLOOKUP(Tableau13[[#This Row],[Code machine]],'CODE mchn'!$A$4:$C$170,2,0)),"",VLOOKUP(Tableau13[[#This Row],[Code machine]],'CODE mchn'!$A$4:$C$170,2,0))</f>
        <v>Acier</v>
      </c>
      <c r="D584" s="36" t="str">
        <f>IF(ISNA(VLOOKUP(Tableau13[[#This Row],[Code machine]],'CODE mchn'!$A$4:$C$170,3,0)),"",VLOOKUP(Tableau13[[#This Row],[Code machine]],'CODE mchn'!$A$4:$C$170,3,0))</f>
        <v>EVG GE12</v>
      </c>
      <c r="E584" s="105"/>
      <c r="F584" s="65"/>
      <c r="G584" s="65" t="s">
        <v>104</v>
      </c>
      <c r="H584" s="65" t="s">
        <v>1147</v>
      </c>
      <c r="I584" s="64" t="s">
        <v>13</v>
      </c>
      <c r="J584" s="137" t="s">
        <v>1146</v>
      </c>
      <c r="K584" s="138">
        <v>43816</v>
      </c>
      <c r="L584" s="65"/>
      <c r="M584" s="139">
        <v>2</v>
      </c>
      <c r="N584" s="140">
        <f>MONTH(Tableau13[[#This Row],[Date fin intervention]])</f>
        <v>12</v>
      </c>
      <c r="O584" s="140">
        <f>YEAR(Tableau13[[#This Row],[Date fin intervention]])</f>
        <v>2019</v>
      </c>
      <c r="P584" s="65"/>
    </row>
    <row r="585" spans="1:16">
      <c r="A585" s="135">
        <v>43816</v>
      </c>
      <c r="B585" s="136">
        <v>582</v>
      </c>
      <c r="C585" s="137" t="str">
        <f>IF(ISNA(VLOOKUP(Tableau13[[#This Row],[Code machine]],'CODE mchn'!$A$4:$C$170,2,0)),"",VLOOKUP(Tableau13[[#This Row],[Code machine]],'CODE mchn'!$A$4:$C$170,2,0))</f>
        <v>Acier</v>
      </c>
      <c r="D585" s="36" t="str">
        <f>IF(ISNA(VLOOKUP(Tableau13[[#This Row],[Code machine]],'CODE mchn'!$A$4:$C$170,3,0)),"",VLOOKUP(Tableau13[[#This Row],[Code machine]],'CODE mchn'!$A$4:$C$170,3,0))</f>
        <v>Teurema 2</v>
      </c>
      <c r="E585" s="105"/>
      <c r="F585" s="65"/>
      <c r="G585" s="65" t="s">
        <v>1148</v>
      </c>
      <c r="H585" s="65" t="s">
        <v>1149</v>
      </c>
      <c r="I585" s="64" t="s">
        <v>13</v>
      </c>
      <c r="J585" s="137" t="s">
        <v>1150</v>
      </c>
      <c r="K585" s="138">
        <v>43816</v>
      </c>
      <c r="L585" s="65"/>
      <c r="M585" s="127"/>
      <c r="N585" s="140">
        <f>MONTH(Tableau13[[#This Row],[Date fin intervention]])</f>
        <v>12</v>
      </c>
      <c r="O585" s="140">
        <f>YEAR(Tableau13[[#This Row],[Date fin intervention]])</f>
        <v>2019</v>
      </c>
      <c r="P585" s="65"/>
    </row>
    <row r="586" spans="1:16" ht="42.75">
      <c r="A586" s="135">
        <v>43816</v>
      </c>
      <c r="B586" s="136">
        <v>533</v>
      </c>
      <c r="C586" s="137" t="str">
        <f>IF(ISNA(VLOOKUP(Tableau13[[#This Row],[Code machine]],'CODE mchn'!$A$4:$C$170,2,0)),"",VLOOKUP(Tableau13[[#This Row],[Code machine]],'CODE mchn'!$A$4:$C$170,2,0))</f>
        <v>Enrobage</v>
      </c>
      <c r="D586" s="36" t="str">
        <f>IF(ISNA(VLOOKUP(Tableau13[[#This Row],[Code machine]],'CODE mchn'!$A$4:$C$170,3,0)),"",VLOOKUP(Tableau13[[#This Row],[Code machine]],'CODE mchn'!$A$4:$C$170,3,0))</f>
        <v>CAROSSEL</v>
      </c>
      <c r="E586" s="105"/>
      <c r="F586" s="65"/>
      <c r="G586" s="65" t="s">
        <v>1154</v>
      </c>
      <c r="H586" s="65" t="s">
        <v>1155</v>
      </c>
      <c r="I586" s="64" t="s">
        <v>13</v>
      </c>
      <c r="J586" s="137" t="s">
        <v>1156</v>
      </c>
      <c r="K586" s="138">
        <v>43818</v>
      </c>
      <c r="L586" s="65" t="s">
        <v>1156</v>
      </c>
      <c r="M586" s="139" t="s">
        <v>2259</v>
      </c>
      <c r="N586" s="140">
        <f>MONTH(Tableau13[[#This Row],[Date fin intervention]])</f>
        <v>12</v>
      </c>
      <c r="O586" s="140">
        <f>YEAR(Tableau13[[#This Row],[Date fin intervention]])</f>
        <v>2019</v>
      </c>
      <c r="P586" s="65"/>
    </row>
    <row r="587" spans="1:16">
      <c r="A587" s="104">
        <v>43816</v>
      </c>
      <c r="B587" s="105">
        <v>590</v>
      </c>
      <c r="C587" s="106" t="str">
        <f>IF(ISNA(VLOOKUP(Tableau13[[#This Row],[Code machine]],'CODE mchn'!$A$4:$C$170,2,0)),"",VLOOKUP(Tableau13[[#This Row],[Code machine]],'CODE mchn'!$A$4:$C$170,2,0))</f>
        <v>Acier</v>
      </c>
      <c r="D587" s="36" t="str">
        <f>IF(ISNA(VLOOKUP(Tableau13[[#This Row],[Code machine]],'CODE mchn'!$A$4:$C$170,3,0)),"",VLOOKUP(Tableau13[[#This Row],[Code machine]],'CODE mchn'!$A$4:$C$170,3,0))</f>
        <v>Teurema 3</v>
      </c>
      <c r="E587" s="105"/>
      <c r="F587" s="36"/>
      <c r="G587" s="36" t="s">
        <v>49</v>
      </c>
      <c r="H587" s="36" t="s">
        <v>1194</v>
      </c>
      <c r="I587" s="36" t="s">
        <v>13</v>
      </c>
      <c r="J587" s="106" t="s">
        <v>857</v>
      </c>
      <c r="K587" s="71">
        <v>43816</v>
      </c>
      <c r="L587" s="36"/>
      <c r="M587" s="141">
        <v>30</v>
      </c>
      <c r="N587" s="108">
        <f>MONTH(Tableau13[[#This Row],[Date fin intervention]])</f>
        <v>12</v>
      </c>
      <c r="O587" s="108">
        <f>YEAR(Tableau13[[#This Row],[Date fin intervention]])</f>
        <v>2019</v>
      </c>
      <c r="P587" s="36"/>
    </row>
    <row r="588" spans="1:16">
      <c r="A588" s="135">
        <v>43817</v>
      </c>
      <c r="B588" s="136">
        <v>560</v>
      </c>
      <c r="C588" s="137" t="str">
        <f>IF(ISNA(VLOOKUP(Tableau13[[#This Row],[Code machine]],'CODE mchn'!$A$4:$C$170,2,0)),"",VLOOKUP(Tableau13[[#This Row],[Code machine]],'CODE mchn'!$A$4:$C$170,2,0))</f>
        <v>Acier</v>
      </c>
      <c r="D588" s="36" t="str">
        <f>IF(ISNA(VLOOKUP(Tableau13[[#This Row],[Code machine]],'CODE mchn'!$A$4:$C$170,3,0)),"",VLOOKUP(Tableau13[[#This Row],[Code machine]],'CODE mchn'!$A$4:$C$170,3,0))</f>
        <v>Schlatter</v>
      </c>
      <c r="E588" s="105"/>
      <c r="F588" s="65"/>
      <c r="G588" s="65" t="s">
        <v>10</v>
      </c>
      <c r="H588" s="65" t="s">
        <v>1157</v>
      </c>
      <c r="I588" s="64" t="s">
        <v>8</v>
      </c>
      <c r="J588" s="137" t="s">
        <v>1158</v>
      </c>
      <c r="K588" s="138">
        <v>43817</v>
      </c>
      <c r="L588" s="65"/>
      <c r="M588" s="139">
        <v>45</v>
      </c>
      <c r="N588" s="140">
        <f>MONTH(Tableau13[[#This Row],[Date fin intervention]])</f>
        <v>12</v>
      </c>
      <c r="O588" s="140">
        <f>YEAR(Tableau13[[#This Row],[Date fin intervention]])</f>
        <v>2019</v>
      </c>
      <c r="P588" s="65"/>
    </row>
    <row r="589" spans="1:16">
      <c r="A589" s="104">
        <v>43817</v>
      </c>
      <c r="B589" s="105">
        <v>560</v>
      </c>
      <c r="C589" s="106" t="str">
        <f>IF(ISNA(VLOOKUP(Tableau13[[#This Row],[Code machine]],'CODE mchn'!$A$4:$C$170,2,0)),"",VLOOKUP(Tableau13[[#This Row],[Code machine]],'CODE mchn'!$A$4:$C$170,2,0))</f>
        <v>Acier</v>
      </c>
      <c r="D589" s="36" t="str">
        <f>IF(ISNA(VLOOKUP(Tableau13[[#This Row],[Code machine]],'CODE mchn'!$A$4:$C$170,3,0)),"",VLOOKUP(Tableau13[[#This Row],[Code machine]],'CODE mchn'!$A$4:$C$170,3,0))</f>
        <v>Schlatter</v>
      </c>
      <c r="E589" s="105"/>
      <c r="F589" s="36"/>
      <c r="G589" s="36" t="s">
        <v>770</v>
      </c>
      <c r="H589" s="36" t="s">
        <v>1195</v>
      </c>
      <c r="I589" s="36" t="s">
        <v>13</v>
      </c>
      <c r="J589" s="106" t="s">
        <v>1196</v>
      </c>
      <c r="K589" s="71">
        <v>43817</v>
      </c>
      <c r="L589" s="36"/>
      <c r="M589" s="141"/>
      <c r="N589" s="108">
        <f>MONTH(Tableau13[[#This Row],[Date fin intervention]])</f>
        <v>12</v>
      </c>
      <c r="O589" s="108">
        <f>YEAR(Tableau13[[#This Row],[Date fin intervention]])</f>
        <v>2019</v>
      </c>
      <c r="P589" s="36"/>
    </row>
    <row r="590" spans="1:16">
      <c r="A590" s="104">
        <v>43817</v>
      </c>
      <c r="B590" s="105">
        <v>605</v>
      </c>
      <c r="C590" s="106" t="str">
        <f>IF(ISNA(VLOOKUP(Tableau13[[#This Row],[Code machine]],'CODE mchn'!$A$4:$C$170,2,0)),"",VLOOKUP(Tableau13[[#This Row],[Code machine]],'CODE mchn'!$A$4:$C$170,2,0))</f>
        <v>Acier</v>
      </c>
      <c r="D590" s="36" t="str">
        <f>IF(ISNA(VLOOKUP(Tableau13[[#This Row],[Code machine]],'CODE mchn'!$A$4:$C$170,3,0)),"",VLOOKUP(Tableau13[[#This Row],[Code machine]],'CODE mchn'!$A$4:$C$170,3,0))</f>
        <v>Vitari 1</v>
      </c>
      <c r="E590" s="105"/>
      <c r="F590" s="36"/>
      <c r="G590" s="36" t="s">
        <v>10</v>
      </c>
      <c r="H590" s="36" t="s">
        <v>1197</v>
      </c>
      <c r="I590" s="36" t="s">
        <v>13</v>
      </c>
      <c r="J590" s="106" t="s">
        <v>1198</v>
      </c>
      <c r="K590" s="71">
        <v>43817</v>
      </c>
      <c r="L590" s="36"/>
      <c r="M590" s="141">
        <v>30</v>
      </c>
      <c r="N590" s="108">
        <f>MONTH(Tableau13[[#This Row],[Date fin intervention]])</f>
        <v>12</v>
      </c>
      <c r="O590" s="108">
        <f>YEAR(Tableau13[[#This Row],[Date fin intervention]])</f>
        <v>2019</v>
      </c>
      <c r="P590" s="36"/>
    </row>
    <row r="591" spans="1:16">
      <c r="A591" s="104">
        <v>43818</v>
      </c>
      <c r="B591" s="105">
        <v>582</v>
      </c>
      <c r="C591" s="106" t="str">
        <f>IF(ISNA(VLOOKUP(Tableau13[[#This Row],[Code machine]],'CODE mchn'!$A$4:$C$170,2,0)),"",VLOOKUP(Tableau13[[#This Row],[Code machine]],'CODE mchn'!$A$4:$C$170,2,0))</f>
        <v>Acier</v>
      </c>
      <c r="D591" s="36" t="str">
        <f>IF(ISNA(VLOOKUP(Tableau13[[#This Row],[Code machine]],'CODE mchn'!$A$4:$C$170,3,0)),"",VLOOKUP(Tableau13[[#This Row],[Code machine]],'CODE mchn'!$A$4:$C$170,3,0))</f>
        <v>Teurema 2</v>
      </c>
      <c r="E591" s="105"/>
      <c r="F591" s="36"/>
      <c r="G591" s="36" t="s">
        <v>197</v>
      </c>
      <c r="H591" s="36" t="s">
        <v>1199</v>
      </c>
      <c r="I591" s="36" t="s">
        <v>13</v>
      </c>
      <c r="J591" s="106" t="s">
        <v>1150</v>
      </c>
      <c r="K591" s="71">
        <v>43818</v>
      </c>
      <c r="L591" s="36"/>
      <c r="M591" s="141">
        <v>45</v>
      </c>
      <c r="N591" s="108">
        <f>MONTH(Tableau13[[#This Row],[Date fin intervention]])</f>
        <v>12</v>
      </c>
      <c r="O591" s="108">
        <f>YEAR(Tableau13[[#This Row],[Date fin intervention]])</f>
        <v>2019</v>
      </c>
      <c r="P591" s="36"/>
    </row>
    <row r="592" spans="1:16">
      <c r="A592" s="104">
        <v>43819</v>
      </c>
      <c r="B592" s="105">
        <v>700</v>
      </c>
      <c r="C592" s="106" t="str">
        <f>IF(ISNA(VLOOKUP(Tableau13[[#This Row],[Code machine]],'CODE mchn'!$A$4:$C$170,2,0)),"",VLOOKUP(Tableau13[[#This Row],[Code machine]],'CODE mchn'!$A$4:$C$170,2,0))</f>
        <v>Béton</v>
      </c>
      <c r="D592" s="36" t="str">
        <f>IF(ISNA(VLOOKUP(Tableau13[[#This Row],[Code machine]],'CODE mchn'!$A$4:$C$170,3,0)),"",VLOOKUP(Tableau13[[#This Row],[Code machine]],'CODE mchn'!$A$4:$C$170,3,0))</f>
        <v>Poyatos 1</v>
      </c>
      <c r="E592" s="105"/>
      <c r="F592" s="36"/>
      <c r="G592" s="36" t="s">
        <v>289</v>
      </c>
      <c r="H592" s="36" t="s">
        <v>1188</v>
      </c>
      <c r="I592" s="36" t="s">
        <v>8</v>
      </c>
      <c r="J592" s="106" t="s">
        <v>1189</v>
      </c>
      <c r="K592" s="71">
        <v>43819</v>
      </c>
      <c r="L592" s="36"/>
      <c r="M592" s="121"/>
      <c r="N592" s="108">
        <f>MONTH(Tableau13[[#This Row],[Date fin intervention]])</f>
        <v>12</v>
      </c>
      <c r="O592" s="108">
        <f>YEAR(Tableau13[[#This Row],[Date fin intervention]])</f>
        <v>2019</v>
      </c>
      <c r="P592" s="36"/>
    </row>
    <row r="593" spans="1:16" ht="28.5">
      <c r="A593" s="104">
        <v>43819</v>
      </c>
      <c r="B593" s="105">
        <v>583</v>
      </c>
      <c r="C593" s="106" t="str">
        <f>IF(ISNA(VLOOKUP(Tableau13[[#This Row],[Code machine]],'CODE mchn'!$A$4:$C$170,2,0)),"",VLOOKUP(Tableau13[[#This Row],[Code machine]],'CODE mchn'!$A$4:$C$170,2,0))</f>
        <v>Ponts roulants</v>
      </c>
      <c r="D593" s="36" t="str">
        <f>IF(ISNA(VLOOKUP(Tableau13[[#This Row],[Code machine]],'CODE mchn'!$A$4:$C$170,3,0)),"",VLOOKUP(Tableau13[[#This Row],[Code machine]],'CODE mchn'!$A$4:$C$170,3,0))</f>
        <v>Pont roulant Abus 5T (teurema1)</v>
      </c>
      <c r="E593" s="105"/>
      <c r="F593" s="36"/>
      <c r="G593" s="36" t="s">
        <v>778</v>
      </c>
      <c r="H593" s="36" t="s">
        <v>1200</v>
      </c>
      <c r="I593" s="36" t="s">
        <v>13</v>
      </c>
      <c r="J593" s="106" t="s">
        <v>1201</v>
      </c>
      <c r="K593" s="71">
        <v>43819</v>
      </c>
      <c r="L593" s="36"/>
      <c r="M593" s="127"/>
      <c r="N593" s="108">
        <f>MONTH(Tableau13[[#This Row],[Date fin intervention]])</f>
        <v>12</v>
      </c>
      <c r="O593" s="108">
        <f>YEAR(Tableau13[[#This Row],[Date fin intervention]])</f>
        <v>2019</v>
      </c>
      <c r="P593" s="36"/>
    </row>
    <row r="594" spans="1:16">
      <c r="A594" s="142">
        <v>43819</v>
      </c>
      <c r="B594" s="143">
        <v>582</v>
      </c>
      <c r="C594" s="144" t="str">
        <f>IF(ISNA(VLOOKUP(Tableau13[[#This Row],[Code machine]],'CODE mchn'!$A$4:$C$170,2,0)),"",VLOOKUP(Tableau13[[#This Row],[Code machine]],'CODE mchn'!$A$4:$C$170,2,0))</f>
        <v>Acier</v>
      </c>
      <c r="D594" s="36" t="str">
        <f>IF(ISNA(VLOOKUP(Tableau13[[#This Row],[Code machine]],'CODE mchn'!$A$4:$C$170,3,0)),"",VLOOKUP(Tableau13[[#This Row],[Code machine]],'CODE mchn'!$A$4:$C$170,3,0))</f>
        <v>Teurema 2</v>
      </c>
      <c r="E594" s="105"/>
      <c r="F594" s="66"/>
      <c r="G594" s="66" t="s">
        <v>1211</v>
      </c>
      <c r="H594" s="66" t="s">
        <v>1212</v>
      </c>
      <c r="I594" s="66" t="s">
        <v>13</v>
      </c>
      <c r="J594" s="144" t="s">
        <v>1150</v>
      </c>
      <c r="K594" s="145">
        <v>43819</v>
      </c>
      <c r="L594" s="66"/>
      <c r="M594" s="146">
        <v>45</v>
      </c>
      <c r="N594" s="147">
        <f>MONTH(Tableau13[[#This Row],[Date fin intervention]])</f>
        <v>12</v>
      </c>
      <c r="O594" s="147">
        <f>YEAR(Tableau13[[#This Row],[Date fin intervention]])</f>
        <v>2019</v>
      </c>
      <c r="P594" s="66"/>
    </row>
    <row r="595" spans="1:16">
      <c r="A595" s="104">
        <v>43820</v>
      </c>
      <c r="B595" s="105">
        <v>700</v>
      </c>
      <c r="C595" s="106" t="str">
        <f>IF(ISNA(VLOOKUP(Tableau13[[#This Row],[Code machine]],'CODE mchn'!$A$4:$C$170,2,0)),"",VLOOKUP(Tableau13[[#This Row],[Code machine]],'CODE mchn'!$A$4:$C$170,2,0))</f>
        <v>Béton</v>
      </c>
      <c r="D595" s="36" t="str">
        <f>IF(ISNA(VLOOKUP(Tableau13[[#This Row],[Code machine]],'CODE mchn'!$A$4:$C$170,3,0)),"",VLOOKUP(Tableau13[[#This Row],[Code machine]],'CODE mchn'!$A$4:$C$170,3,0))</f>
        <v>Poyatos 1</v>
      </c>
      <c r="E595" s="105"/>
      <c r="F595" s="36"/>
      <c r="G595" s="36" t="s">
        <v>809</v>
      </c>
      <c r="H595" s="36" t="s">
        <v>1190</v>
      </c>
      <c r="I595" s="36" t="s">
        <v>13</v>
      </c>
      <c r="J595" s="106" t="s">
        <v>601</v>
      </c>
      <c r="K595" s="71">
        <v>43820</v>
      </c>
      <c r="L595" s="36"/>
      <c r="M595" s="141">
        <v>30</v>
      </c>
      <c r="N595" s="108">
        <f>MONTH(Tableau13[[#This Row],[Date fin intervention]])</f>
        <v>12</v>
      </c>
      <c r="O595" s="108">
        <f>YEAR(Tableau13[[#This Row],[Date fin intervention]])</f>
        <v>2019</v>
      </c>
      <c r="P595" s="36"/>
    </row>
    <row r="596" spans="1:16">
      <c r="A596" s="104">
        <v>43820</v>
      </c>
      <c r="B596" s="105">
        <v>700</v>
      </c>
      <c r="C596" s="106" t="str">
        <f>IF(ISNA(VLOOKUP(Tableau13[[#This Row],[Code machine]],'CODE mchn'!$A$4:$C$170,2,0)),"",VLOOKUP(Tableau13[[#This Row],[Code machine]],'CODE mchn'!$A$4:$C$170,2,0))</f>
        <v>Béton</v>
      </c>
      <c r="D596" s="36" t="str">
        <f>IF(ISNA(VLOOKUP(Tableau13[[#This Row],[Code machine]],'CODE mchn'!$A$4:$C$170,3,0)),"",VLOOKUP(Tableau13[[#This Row],[Code machine]],'CODE mchn'!$A$4:$C$170,3,0))</f>
        <v>Poyatos 1</v>
      </c>
      <c r="E596" s="105"/>
      <c r="F596" s="36"/>
      <c r="G596" s="36" t="s">
        <v>49</v>
      </c>
      <c r="H596" s="36" t="s">
        <v>1191</v>
      </c>
      <c r="I596" s="36" t="s">
        <v>13</v>
      </c>
      <c r="J596" s="106" t="s">
        <v>1192</v>
      </c>
      <c r="K596" s="71">
        <v>43820</v>
      </c>
      <c r="L596" s="36"/>
      <c r="M596" s="141">
        <v>30</v>
      </c>
      <c r="N596" s="108">
        <f>MONTH(Tableau13[[#This Row],[Date fin intervention]])</f>
        <v>12</v>
      </c>
      <c r="O596" s="108">
        <f>YEAR(Tableau13[[#This Row],[Date fin intervention]])</f>
        <v>2019</v>
      </c>
      <c r="P596" s="36"/>
    </row>
    <row r="597" spans="1:16">
      <c r="A597" s="104">
        <v>43822</v>
      </c>
      <c r="B597" s="105">
        <v>800</v>
      </c>
      <c r="C597" s="106" t="str">
        <f>IF(ISNA(VLOOKUP(Tableau13[[#This Row],[Code machine]],'CODE mchn'!$A$4:$C$170,2,0)),"",VLOOKUP(Tableau13[[#This Row],[Code machine]],'CODE mchn'!$A$4:$C$170,2,0))</f>
        <v>Béton</v>
      </c>
      <c r="D597" s="36" t="str">
        <f>IF(ISNA(VLOOKUP(Tableau13[[#This Row],[Code machine]],'CODE mchn'!$A$4:$C$170,3,0)),"",VLOOKUP(Tableau13[[#This Row],[Code machine]],'CODE mchn'!$A$4:$C$170,3,0))</f>
        <v>Poyatos 2</v>
      </c>
      <c r="E597" s="105"/>
      <c r="F597" s="36"/>
      <c r="G597" s="36" t="s">
        <v>110</v>
      </c>
      <c r="H597" s="36" t="s">
        <v>1228</v>
      </c>
      <c r="I597" s="36" t="s">
        <v>13</v>
      </c>
      <c r="J597" s="106" t="s">
        <v>1193</v>
      </c>
      <c r="K597" s="71">
        <v>43822</v>
      </c>
      <c r="L597" s="36"/>
      <c r="M597" s="141">
        <v>2</v>
      </c>
      <c r="N597" s="108">
        <f>MONTH(Tableau13[[#This Row],[Date fin intervention]])</f>
        <v>12</v>
      </c>
      <c r="O597" s="108">
        <f>YEAR(Tableau13[[#This Row],[Date fin intervention]])</f>
        <v>2019</v>
      </c>
      <c r="P597" s="36"/>
    </row>
    <row r="598" spans="1:16" ht="42.75">
      <c r="A598" s="104">
        <v>43822</v>
      </c>
      <c r="B598" s="105">
        <v>570</v>
      </c>
      <c r="C598" s="106" t="str">
        <f>IF(ISNA(VLOOKUP(Tableau13[[#This Row],[Code machine]],'CODE mchn'!$A$4:$C$170,2,0)),"",VLOOKUP(Tableau13[[#This Row],[Code machine]],'CODE mchn'!$A$4:$C$170,2,0))</f>
        <v>Acier</v>
      </c>
      <c r="D598" s="36" t="str">
        <f>IF(ISNA(VLOOKUP(Tableau13[[#This Row],[Code machine]],'CODE mchn'!$A$4:$C$170,3,0)),"",VLOOKUP(Tableau13[[#This Row],[Code machine]],'CODE mchn'!$A$4:$C$170,3,0))</f>
        <v>Sigmatic</v>
      </c>
      <c r="E598" s="105"/>
      <c r="F598" s="36"/>
      <c r="G598" s="36" t="s">
        <v>770</v>
      </c>
      <c r="H598" s="36" t="s">
        <v>1202</v>
      </c>
      <c r="I598" s="36" t="s">
        <v>13</v>
      </c>
      <c r="J598" s="106" t="s">
        <v>1203</v>
      </c>
      <c r="K598" s="71">
        <v>43823</v>
      </c>
      <c r="L598" s="36"/>
      <c r="M598" s="141" t="s">
        <v>2259</v>
      </c>
      <c r="N598" s="108">
        <f>MONTH(Tableau13[[#This Row],[Date fin intervention]])</f>
        <v>12</v>
      </c>
      <c r="O598" s="108">
        <f>YEAR(Tableau13[[#This Row],[Date fin intervention]])</f>
        <v>2019</v>
      </c>
      <c r="P598" s="36"/>
    </row>
    <row r="599" spans="1:16" ht="28.5">
      <c r="A599" s="142">
        <v>43822</v>
      </c>
      <c r="B599" s="143">
        <v>562</v>
      </c>
      <c r="C599" s="144" t="str">
        <f>IF(ISNA(VLOOKUP(Tableau13[[#This Row],[Code machine]],'CODE mchn'!$A$4:$C$170,2,0)),"",VLOOKUP(Tableau13[[#This Row],[Code machine]],'CODE mchn'!$A$4:$C$170,2,0))</f>
        <v>Ponts roulants</v>
      </c>
      <c r="D599" s="36" t="str">
        <f>IF(ISNA(VLOOKUP(Tableau13[[#This Row],[Code machine]],'CODE mchn'!$A$4:$C$170,3,0)),"",VLOOKUP(Tableau13[[#This Row],[Code machine]],'CODE mchn'!$A$4:$C$170,3,0))</f>
        <v>Pont roulant GH Beasain 12T</v>
      </c>
      <c r="E599" s="105"/>
      <c r="F599" s="66"/>
      <c r="G599" s="66" t="s">
        <v>778</v>
      </c>
      <c r="H599" s="66" t="s">
        <v>1215</v>
      </c>
      <c r="I599" s="66" t="s">
        <v>13</v>
      </c>
      <c r="J599" s="144" t="s">
        <v>1216</v>
      </c>
      <c r="K599" s="145">
        <v>43822</v>
      </c>
      <c r="L599" s="66"/>
      <c r="M599" s="146">
        <v>3</v>
      </c>
      <c r="N599" s="147">
        <f>MONTH(Tableau13[[#This Row],[Date fin intervention]])</f>
        <v>12</v>
      </c>
      <c r="O599" s="147">
        <f>YEAR(Tableau13[[#This Row],[Date fin intervention]])</f>
        <v>2019</v>
      </c>
      <c r="P599" s="66"/>
    </row>
    <row r="600" spans="1:16">
      <c r="A600" s="142">
        <v>43823</v>
      </c>
      <c r="B600" s="143">
        <v>582</v>
      </c>
      <c r="C600" s="144" t="str">
        <f>IF(ISNA(VLOOKUP(Tableau13[[#This Row],[Code machine]],'CODE mchn'!$A$4:$C$170,2,0)),"",VLOOKUP(Tableau13[[#This Row],[Code machine]],'CODE mchn'!$A$4:$C$170,2,0))</f>
        <v>Acier</v>
      </c>
      <c r="D600" s="36" t="str">
        <f>IF(ISNA(VLOOKUP(Tableau13[[#This Row],[Code machine]],'CODE mchn'!$A$4:$C$170,3,0)),"",VLOOKUP(Tableau13[[#This Row],[Code machine]],'CODE mchn'!$A$4:$C$170,3,0))</f>
        <v>Teurema 2</v>
      </c>
      <c r="E600" s="105"/>
      <c r="F600" s="66"/>
      <c r="G600" s="66" t="s">
        <v>49</v>
      </c>
      <c r="H600" s="66" t="s">
        <v>1213</v>
      </c>
      <c r="I600" s="66" t="s">
        <v>13</v>
      </c>
      <c r="J600" s="144" t="s">
        <v>1214</v>
      </c>
      <c r="K600" s="145">
        <v>43823</v>
      </c>
      <c r="L600" s="66"/>
      <c r="M600" s="146">
        <v>30</v>
      </c>
      <c r="N600" s="147">
        <f>MONTH(Tableau13[[#This Row],[Date fin intervention]])</f>
        <v>12</v>
      </c>
      <c r="O600" s="147">
        <f>YEAR(Tableau13[[#This Row],[Date fin intervention]])</f>
        <v>2019</v>
      </c>
      <c r="P600" s="66"/>
    </row>
    <row r="601" spans="1:16">
      <c r="A601" s="142">
        <v>43823</v>
      </c>
      <c r="B601" s="143">
        <v>565</v>
      </c>
      <c r="C601" s="144" t="str">
        <f>IF(ISNA(VLOOKUP(Tableau13[[#This Row],[Code machine]],'CODE mchn'!$A$4:$C$170,2,0)),"",VLOOKUP(Tableau13[[#This Row],[Code machine]],'CODE mchn'!$A$4:$C$170,2,0))</f>
        <v>Acier</v>
      </c>
      <c r="D601" s="36" t="str">
        <f>IF(ISNA(VLOOKUP(Tableau13[[#This Row],[Code machine]],'CODE mchn'!$A$4:$C$170,3,0)),"",VLOOKUP(Tableau13[[#This Row],[Code machine]],'CODE mchn'!$A$4:$C$170,3,0))</f>
        <v>EVG GE12</v>
      </c>
      <c r="E601" s="105"/>
      <c r="F601" s="66"/>
      <c r="G601" s="66" t="s">
        <v>463</v>
      </c>
      <c r="H601" s="66" t="s">
        <v>1217</v>
      </c>
      <c r="I601" s="66" t="s">
        <v>13</v>
      </c>
      <c r="J601" s="144" t="s">
        <v>1218</v>
      </c>
      <c r="K601" s="145">
        <v>43823</v>
      </c>
      <c r="L601" s="66"/>
      <c r="M601" s="146">
        <v>2</v>
      </c>
      <c r="N601" s="147">
        <f>MONTH(Tableau13[[#This Row],[Date fin intervention]])</f>
        <v>12</v>
      </c>
      <c r="O601" s="147">
        <f>YEAR(Tableau13[[#This Row],[Date fin intervention]])</f>
        <v>2019</v>
      </c>
      <c r="P601" s="66"/>
    </row>
    <row r="602" spans="1:16">
      <c r="A602" s="142">
        <v>43824</v>
      </c>
      <c r="B602" s="143">
        <v>700</v>
      </c>
      <c r="C602" s="144" t="str">
        <f>IF(ISNA(VLOOKUP(Tableau13[[#This Row],[Code machine]],'CODE mchn'!$A$4:$C$170,2,0)),"",VLOOKUP(Tableau13[[#This Row],[Code machine]],'CODE mchn'!$A$4:$C$170,2,0))</f>
        <v>Béton</v>
      </c>
      <c r="D602" s="36" t="str">
        <f>IF(ISNA(VLOOKUP(Tableau13[[#This Row],[Code machine]],'CODE mchn'!$A$4:$C$170,3,0)),"",VLOOKUP(Tableau13[[#This Row],[Code machine]],'CODE mchn'!$A$4:$C$170,3,0))</f>
        <v>Poyatos 1</v>
      </c>
      <c r="E602" s="105"/>
      <c r="F602" s="66"/>
      <c r="G602" s="66" t="s">
        <v>49</v>
      </c>
      <c r="H602" s="66" t="s">
        <v>1204</v>
      </c>
      <c r="I602" s="66" t="s">
        <v>13</v>
      </c>
      <c r="J602" s="144" t="s">
        <v>1205</v>
      </c>
      <c r="K602" s="145">
        <v>43824</v>
      </c>
      <c r="L602" s="66"/>
      <c r="M602" s="127"/>
      <c r="N602" s="147">
        <f>MONTH(Tableau13[[#This Row],[Date fin intervention]])</f>
        <v>12</v>
      </c>
      <c r="O602" s="147">
        <f>YEAR(Tableau13[[#This Row],[Date fin intervention]])</f>
        <v>2019</v>
      </c>
      <c r="P602" s="66"/>
    </row>
    <row r="603" spans="1:16">
      <c r="A603" s="142">
        <v>43824</v>
      </c>
      <c r="B603" s="143">
        <v>800</v>
      </c>
      <c r="C603" s="144" t="str">
        <f>IF(ISNA(VLOOKUP(Tableau13[[#This Row],[Code machine]],'CODE mchn'!$A$4:$C$170,2,0)),"",VLOOKUP(Tableau13[[#This Row],[Code machine]],'CODE mchn'!$A$4:$C$170,2,0))</f>
        <v>Béton</v>
      </c>
      <c r="D603" s="36" t="str">
        <f>IF(ISNA(VLOOKUP(Tableau13[[#This Row],[Code machine]],'CODE mchn'!$A$4:$C$170,3,0)),"",VLOOKUP(Tableau13[[#This Row],[Code machine]],'CODE mchn'!$A$4:$C$170,3,0))</f>
        <v>Poyatos 2</v>
      </c>
      <c r="E603" s="105"/>
      <c r="F603" s="66"/>
      <c r="G603" s="66" t="s">
        <v>1206</v>
      </c>
      <c r="H603" s="66" t="s">
        <v>1208</v>
      </c>
      <c r="I603" s="66" t="s">
        <v>13</v>
      </c>
      <c r="J603" s="144" t="s">
        <v>1207</v>
      </c>
      <c r="K603" s="145">
        <v>43824</v>
      </c>
      <c r="L603" s="66"/>
      <c r="M603" s="127"/>
      <c r="N603" s="147">
        <f>MONTH(Tableau13[[#This Row],[Date fin intervention]])</f>
        <v>12</v>
      </c>
      <c r="O603" s="147">
        <f>YEAR(Tableau13[[#This Row],[Date fin intervention]])</f>
        <v>2019</v>
      </c>
      <c r="P603" s="66"/>
    </row>
    <row r="604" spans="1:16">
      <c r="A604" s="142">
        <v>43824</v>
      </c>
      <c r="B604" s="143">
        <v>590</v>
      </c>
      <c r="C604" s="144" t="str">
        <f>IF(ISNA(VLOOKUP(Tableau13[[#This Row],[Code machine]],'CODE mchn'!$A$4:$C$170,2,0)),"",VLOOKUP(Tableau13[[#This Row],[Code machine]],'CODE mchn'!$A$4:$C$170,2,0))</f>
        <v>Acier</v>
      </c>
      <c r="D604" s="36" t="str">
        <f>IF(ISNA(VLOOKUP(Tableau13[[#This Row],[Code machine]],'CODE mchn'!$A$4:$C$170,3,0)),"",VLOOKUP(Tableau13[[#This Row],[Code machine]],'CODE mchn'!$A$4:$C$170,3,0))</f>
        <v>Teurema 3</v>
      </c>
      <c r="E604" s="105"/>
      <c r="F604" s="66"/>
      <c r="G604" s="66" t="s">
        <v>643</v>
      </c>
      <c r="H604" s="66" t="s">
        <v>1219</v>
      </c>
      <c r="I604" s="66" t="s">
        <v>13</v>
      </c>
      <c r="J604" s="144" t="s">
        <v>1220</v>
      </c>
      <c r="K604" s="145">
        <v>43824</v>
      </c>
      <c r="L604" s="66"/>
      <c r="M604" s="146">
        <v>45</v>
      </c>
      <c r="N604" s="147">
        <f>MONTH(Tableau13[[#This Row],[Date fin intervention]])</f>
        <v>12</v>
      </c>
      <c r="O604" s="147">
        <f>YEAR(Tableau13[[#This Row],[Date fin intervention]])</f>
        <v>2019</v>
      </c>
      <c r="P604" s="66"/>
    </row>
    <row r="605" spans="1:16" ht="28.5">
      <c r="A605" s="142">
        <v>43824</v>
      </c>
      <c r="B605" s="143">
        <v>570</v>
      </c>
      <c r="C605" s="144" t="str">
        <f>IF(ISNA(VLOOKUP(Tableau13[[#This Row],[Code machine]],'CODE mchn'!$A$4:$C$170,2,0)),"",VLOOKUP(Tableau13[[#This Row],[Code machine]],'CODE mchn'!$A$4:$C$170,2,0))</f>
        <v>Acier</v>
      </c>
      <c r="D605" s="36" t="str">
        <f>IF(ISNA(VLOOKUP(Tableau13[[#This Row],[Code machine]],'CODE mchn'!$A$4:$C$170,3,0)),"",VLOOKUP(Tableau13[[#This Row],[Code machine]],'CODE mchn'!$A$4:$C$170,3,0))</f>
        <v>Sigmatic</v>
      </c>
      <c r="E605" s="105"/>
      <c r="F605" s="66"/>
      <c r="G605" s="66" t="s">
        <v>1221</v>
      </c>
      <c r="H605" s="66" t="s">
        <v>1229</v>
      </c>
      <c r="I605" s="66" t="s">
        <v>13</v>
      </c>
      <c r="J605" s="144" t="s">
        <v>1222</v>
      </c>
      <c r="K605" s="145">
        <v>43824</v>
      </c>
      <c r="L605" s="66"/>
      <c r="M605" s="146">
        <v>4</v>
      </c>
      <c r="N605" s="147">
        <f>MONTH(Tableau13[[#This Row],[Date fin intervention]])</f>
        <v>12</v>
      </c>
      <c r="O605" s="147">
        <f>YEAR(Tableau13[[#This Row],[Date fin intervention]])</f>
        <v>2019</v>
      </c>
      <c r="P605" s="66"/>
    </row>
    <row r="606" spans="1:16">
      <c r="A606" s="142">
        <v>43824</v>
      </c>
      <c r="B606" s="143">
        <v>602</v>
      </c>
      <c r="C606" s="144" t="str">
        <f>IF(ISNA(VLOOKUP(Tableau13[[#This Row],[Code machine]],'CODE mchn'!$A$4:$C$170,2,0)),"",VLOOKUP(Tableau13[[#This Row],[Code machine]],'CODE mchn'!$A$4:$C$170,2,0))</f>
        <v>Acier</v>
      </c>
      <c r="D606" s="36" t="str">
        <f>IF(ISNA(VLOOKUP(Tableau13[[#This Row],[Code machine]],'CODE mchn'!$A$4:$C$170,3,0)),"",VLOOKUP(Tableau13[[#This Row],[Code machine]],'CODE mchn'!$A$4:$C$170,3,0))</f>
        <v>Wafios Ritecno</v>
      </c>
      <c r="E606" s="105"/>
      <c r="F606" s="66"/>
      <c r="G606" s="66" t="s">
        <v>10</v>
      </c>
      <c r="H606" s="66" t="s">
        <v>886</v>
      </c>
      <c r="I606" s="66" t="s">
        <v>13</v>
      </c>
      <c r="J606" s="144" t="s">
        <v>1223</v>
      </c>
      <c r="K606" s="145">
        <v>43824</v>
      </c>
      <c r="L606" s="66"/>
      <c r="M606" s="146">
        <v>1</v>
      </c>
      <c r="N606" s="147">
        <f>MONTH(Tableau13[[#This Row],[Date fin intervention]])</f>
        <v>12</v>
      </c>
      <c r="O606" s="147">
        <f>YEAR(Tableau13[[#This Row],[Date fin intervention]])</f>
        <v>2019</v>
      </c>
      <c r="P606" s="66"/>
    </row>
    <row r="607" spans="1:16">
      <c r="A607" s="142">
        <v>43824</v>
      </c>
      <c r="B607" s="143">
        <v>571</v>
      </c>
      <c r="C607" s="144" t="str">
        <f>IF(ISNA(VLOOKUP(Tableau13[[#This Row],[Code machine]],'CODE mchn'!$A$4:$C$170,2,0)),"",VLOOKUP(Tableau13[[#This Row],[Code machine]],'CODE mchn'!$A$4:$C$170,2,0))</f>
        <v>Acier</v>
      </c>
      <c r="D607" s="36" t="str">
        <f>IF(ISNA(VLOOKUP(Tableau13[[#This Row],[Code machine]],'CODE mchn'!$A$4:$C$170,3,0)),"",VLOOKUP(Tableau13[[#This Row],[Code machine]],'CODE mchn'!$A$4:$C$170,3,0))</f>
        <v>EVG PN 1</v>
      </c>
      <c r="E607" s="105"/>
      <c r="F607" s="66"/>
      <c r="G607" s="66" t="s">
        <v>55</v>
      </c>
      <c r="H607" s="66" t="s">
        <v>1224</v>
      </c>
      <c r="I607" s="66" t="s">
        <v>30</v>
      </c>
      <c r="J607" s="144" t="s">
        <v>1225</v>
      </c>
      <c r="K607" s="145">
        <v>43824</v>
      </c>
      <c r="L607" s="66"/>
      <c r="M607" s="127"/>
      <c r="N607" s="147">
        <f>MONTH(Tableau13[[#This Row],[Date fin intervention]])</f>
        <v>12</v>
      </c>
      <c r="O607" s="147">
        <f>YEAR(Tableau13[[#This Row],[Date fin intervention]])</f>
        <v>2019</v>
      </c>
      <c r="P607" s="66"/>
    </row>
    <row r="608" spans="1:16">
      <c r="A608" s="142">
        <v>43824</v>
      </c>
      <c r="B608" s="143">
        <v>620</v>
      </c>
      <c r="C608" s="144" t="str">
        <f>IF(ISNA(VLOOKUP(Tableau13[[#This Row],[Code machine]],'CODE mchn'!$A$4:$C$170,2,0)),"",VLOOKUP(Tableau13[[#This Row],[Code machine]],'CODE mchn'!$A$4:$C$170,2,0))</f>
        <v>Acier</v>
      </c>
      <c r="D608" s="36" t="str">
        <f>IF(ISNA(VLOOKUP(Tableau13[[#This Row],[Code machine]],'CODE mchn'!$A$4:$C$170,3,0)),"",VLOOKUP(Tableau13[[#This Row],[Code machine]],'CODE mchn'!$A$4:$C$170,3,0))</f>
        <v>EVG PN 2</v>
      </c>
      <c r="E608" s="105"/>
      <c r="F608" s="66"/>
      <c r="G608" s="66" t="s">
        <v>104</v>
      </c>
      <c r="H608" s="66" t="s">
        <v>1226</v>
      </c>
      <c r="I608" s="66" t="s">
        <v>26</v>
      </c>
      <c r="J608" s="144" t="s">
        <v>1227</v>
      </c>
      <c r="K608" s="145">
        <v>43824</v>
      </c>
      <c r="L608" s="66"/>
      <c r="M608" s="127"/>
      <c r="N608" s="147">
        <f>MONTH(Tableau13[[#This Row],[Date fin intervention]])</f>
        <v>12</v>
      </c>
      <c r="O608" s="147">
        <f>YEAR(Tableau13[[#This Row],[Date fin intervention]])</f>
        <v>2019</v>
      </c>
      <c r="P608" s="66"/>
    </row>
    <row r="609" spans="1:16">
      <c r="A609" s="142">
        <v>43825</v>
      </c>
      <c r="B609" s="143">
        <v>800</v>
      </c>
      <c r="C609" s="144" t="str">
        <f>IF(ISNA(VLOOKUP(Tableau13[[#This Row],[Code machine]],'CODE mchn'!$A$4:$C$170,2,0)),"",VLOOKUP(Tableau13[[#This Row],[Code machine]],'CODE mchn'!$A$4:$C$170,2,0))</f>
        <v>Béton</v>
      </c>
      <c r="D609" s="36" t="str">
        <f>IF(ISNA(VLOOKUP(Tableau13[[#This Row],[Code machine]],'CODE mchn'!$A$4:$C$170,3,0)),"",VLOOKUP(Tableau13[[#This Row],[Code machine]],'CODE mchn'!$A$4:$C$170,3,0))</f>
        <v>Poyatos 2</v>
      </c>
      <c r="E609" s="105"/>
      <c r="F609" s="66"/>
      <c r="G609" s="66" t="s">
        <v>128</v>
      </c>
      <c r="H609" s="66" t="s">
        <v>1209</v>
      </c>
      <c r="I609" s="66" t="s">
        <v>13</v>
      </c>
      <c r="J609" s="144" t="s">
        <v>1210</v>
      </c>
      <c r="K609" s="145">
        <v>43825</v>
      </c>
      <c r="L609" s="66"/>
      <c r="M609" s="146">
        <v>1</v>
      </c>
      <c r="N609" s="147">
        <f>MONTH(Tableau13[[#This Row],[Date fin intervention]])</f>
        <v>12</v>
      </c>
      <c r="O609" s="147">
        <f>YEAR(Tableau13[[#This Row],[Date fin intervention]])</f>
        <v>2019</v>
      </c>
      <c r="P609" s="66"/>
    </row>
    <row r="610" spans="1:16">
      <c r="A610" s="142">
        <v>43825</v>
      </c>
      <c r="B610" s="143">
        <v>565</v>
      </c>
      <c r="C610" s="144" t="str">
        <f>IF(ISNA(VLOOKUP(Tableau13[[#This Row],[Code machine]],'CODE mchn'!$A$4:$C$170,2,0)),"",VLOOKUP(Tableau13[[#This Row],[Code machine]],'CODE mchn'!$A$4:$C$170,2,0))</f>
        <v>Acier</v>
      </c>
      <c r="D610" s="36" t="str">
        <f>IF(ISNA(VLOOKUP(Tableau13[[#This Row],[Code machine]],'CODE mchn'!$A$4:$C$170,3,0)),"",VLOOKUP(Tableau13[[#This Row],[Code machine]],'CODE mchn'!$A$4:$C$170,3,0))</f>
        <v>EVG GE12</v>
      </c>
      <c r="E610" s="105"/>
      <c r="F610" s="66"/>
      <c r="G610" s="66" t="s">
        <v>55</v>
      </c>
      <c r="H610" s="66" t="s">
        <v>1224</v>
      </c>
      <c r="I610" s="66" t="s">
        <v>30</v>
      </c>
      <c r="J610" s="144" t="s">
        <v>1225</v>
      </c>
      <c r="K610" s="145">
        <v>43825</v>
      </c>
      <c r="L610" s="66"/>
      <c r="M610" s="146">
        <v>1</v>
      </c>
      <c r="N610" s="147">
        <f>MONTH(Tableau13[[#This Row],[Date fin intervention]])</f>
        <v>12</v>
      </c>
      <c r="O610" s="147">
        <f>YEAR(Tableau13[[#This Row],[Date fin intervention]])</f>
        <v>2019</v>
      </c>
      <c r="P610" s="66"/>
    </row>
    <row r="611" spans="1:16">
      <c r="A611" s="142">
        <v>43825</v>
      </c>
      <c r="B611" s="143">
        <v>565</v>
      </c>
      <c r="C611" s="144" t="str">
        <f>IF(ISNA(VLOOKUP(Tableau13[[#This Row],[Code machine]],'CODE mchn'!$A$4:$C$170,2,0)),"",VLOOKUP(Tableau13[[#This Row],[Code machine]],'CODE mchn'!$A$4:$C$170,2,0))</f>
        <v>Acier</v>
      </c>
      <c r="D611" s="36" t="str">
        <f>IF(ISNA(VLOOKUP(Tableau13[[#This Row],[Code machine]],'CODE mchn'!$A$4:$C$170,3,0)),"",VLOOKUP(Tableau13[[#This Row],[Code machine]],'CODE mchn'!$A$4:$C$170,3,0))</f>
        <v>EVG GE12</v>
      </c>
      <c r="E611" s="105"/>
      <c r="F611" s="66"/>
      <c r="G611" s="66" t="s">
        <v>104</v>
      </c>
      <c r="H611" s="66" t="s">
        <v>1230</v>
      </c>
      <c r="I611" s="66" t="s">
        <v>13</v>
      </c>
      <c r="J611" s="144" t="s">
        <v>1231</v>
      </c>
      <c r="K611" s="145">
        <v>43825</v>
      </c>
      <c r="L611" s="66"/>
      <c r="M611" s="146">
        <v>1</v>
      </c>
      <c r="N611" s="147">
        <f>MONTH(Tableau13[[#This Row],[Date fin intervention]])</f>
        <v>12</v>
      </c>
      <c r="O611" s="147">
        <f>YEAR(Tableau13[[#This Row],[Date fin intervention]])</f>
        <v>2019</v>
      </c>
      <c r="P611" s="66"/>
    </row>
    <row r="612" spans="1:16">
      <c r="A612" s="142">
        <v>43825</v>
      </c>
      <c r="B612" s="143">
        <v>571</v>
      </c>
      <c r="C612" s="144" t="str">
        <f>IF(ISNA(VLOOKUP(Tableau13[[#This Row],[Code machine]],'CODE mchn'!$A$4:$C$170,2,0)),"",VLOOKUP(Tableau13[[#This Row],[Code machine]],'CODE mchn'!$A$4:$C$170,2,0))</f>
        <v>Acier</v>
      </c>
      <c r="D612" s="36" t="str">
        <f>IF(ISNA(VLOOKUP(Tableau13[[#This Row],[Code machine]],'CODE mchn'!$A$4:$C$170,3,0)),"",VLOOKUP(Tableau13[[#This Row],[Code machine]],'CODE mchn'!$A$4:$C$170,3,0))</f>
        <v>EVG PN 1</v>
      </c>
      <c r="E612" s="105"/>
      <c r="F612" s="66"/>
      <c r="G612" s="66" t="s">
        <v>726</v>
      </c>
      <c r="H612" s="66" t="s">
        <v>1232</v>
      </c>
      <c r="I612" s="66" t="s">
        <v>13</v>
      </c>
      <c r="J612" s="144" t="s">
        <v>1233</v>
      </c>
      <c r="K612" s="145">
        <v>43825</v>
      </c>
      <c r="L612" s="66"/>
      <c r="M612" s="146">
        <v>1</v>
      </c>
      <c r="N612" s="147">
        <f>MONTH(Tableau13[[#This Row],[Date fin intervention]])</f>
        <v>12</v>
      </c>
      <c r="O612" s="147">
        <f>YEAR(Tableau13[[#This Row],[Date fin intervention]])</f>
        <v>2019</v>
      </c>
      <c r="P612" s="66"/>
    </row>
    <row r="613" spans="1:16">
      <c r="A613" s="142">
        <v>43825</v>
      </c>
      <c r="B613" s="143">
        <v>590</v>
      </c>
      <c r="C613" s="144" t="str">
        <f>IF(ISNA(VLOOKUP(Tableau13[[#This Row],[Code machine]],'CODE mchn'!$A$4:$C$170,2,0)),"",VLOOKUP(Tableau13[[#This Row],[Code machine]],'CODE mchn'!$A$4:$C$170,2,0))</f>
        <v>Acier</v>
      </c>
      <c r="D613" s="36" t="str">
        <f>IF(ISNA(VLOOKUP(Tableau13[[#This Row],[Code machine]],'CODE mchn'!$A$4:$C$170,3,0)),"",VLOOKUP(Tableau13[[#This Row],[Code machine]],'CODE mchn'!$A$4:$C$170,3,0))</f>
        <v>Teurema 3</v>
      </c>
      <c r="E613" s="105"/>
      <c r="F613" s="66"/>
      <c r="G613" s="66" t="s">
        <v>597</v>
      </c>
      <c r="H613" s="66" t="s">
        <v>1234</v>
      </c>
      <c r="I613" s="66" t="s">
        <v>13</v>
      </c>
      <c r="J613" s="144" t="s">
        <v>1235</v>
      </c>
      <c r="K613" s="145">
        <v>43825</v>
      </c>
      <c r="L613" s="66"/>
      <c r="M613" s="146">
        <v>2</v>
      </c>
      <c r="N613" s="147">
        <f>MONTH(Tableau13[[#This Row],[Date fin intervention]])</f>
        <v>12</v>
      </c>
      <c r="O613" s="147">
        <f>YEAR(Tableau13[[#This Row],[Date fin intervention]])</f>
        <v>2019</v>
      </c>
      <c r="P613" s="66"/>
    </row>
    <row r="614" spans="1:16" ht="42.75">
      <c r="A614" s="142">
        <v>43825</v>
      </c>
      <c r="B614" s="143">
        <v>582</v>
      </c>
      <c r="C614" s="144" t="str">
        <f>IF(ISNA(VLOOKUP(Tableau13[[#This Row],[Code machine]],'CODE mchn'!$A$4:$C$170,2,0)),"",VLOOKUP(Tableau13[[#This Row],[Code machine]],'CODE mchn'!$A$4:$C$170,2,0))</f>
        <v>Acier</v>
      </c>
      <c r="D614" s="36" t="str">
        <f>IF(ISNA(VLOOKUP(Tableau13[[#This Row],[Code machine]],'CODE mchn'!$A$4:$C$170,3,0)),"",VLOOKUP(Tableau13[[#This Row],[Code machine]],'CODE mchn'!$A$4:$C$170,3,0))</f>
        <v>Teurema 2</v>
      </c>
      <c r="E614" s="105"/>
      <c r="F614" s="66"/>
      <c r="G614" s="66" t="s">
        <v>1236</v>
      </c>
      <c r="H614" s="66" t="s">
        <v>1237</v>
      </c>
      <c r="I614" s="66" t="s">
        <v>315</v>
      </c>
      <c r="J614" s="106" t="s">
        <v>1288</v>
      </c>
      <c r="K614" s="145">
        <v>43885</v>
      </c>
      <c r="L614" s="66" t="s">
        <v>94</v>
      </c>
      <c r="M614" s="146" t="s">
        <v>2259</v>
      </c>
      <c r="N614" s="147">
        <f>MONTH(Tableau13[[#This Row],[Date fin intervention]])</f>
        <v>2</v>
      </c>
      <c r="O614" s="147">
        <f>YEAR(Tableau13[[#This Row],[Date fin intervention]])</f>
        <v>2020</v>
      </c>
      <c r="P614" s="66"/>
    </row>
    <row r="615" spans="1:16" ht="85.5">
      <c r="A615" s="142">
        <v>43826</v>
      </c>
      <c r="B615" s="143">
        <v>560</v>
      </c>
      <c r="C615" s="144" t="str">
        <f>IF(ISNA(VLOOKUP(Tableau13[[#This Row],[Code machine]],'CODE mchn'!$A$4:$C$170,2,0)),"",VLOOKUP(Tableau13[[#This Row],[Code machine]],'CODE mchn'!$A$4:$C$170,2,0))</f>
        <v>Acier</v>
      </c>
      <c r="D615" s="36" t="str">
        <f>IF(ISNA(VLOOKUP(Tableau13[[#This Row],[Code machine]],'CODE mchn'!$A$4:$C$170,3,0)),"",VLOOKUP(Tableau13[[#This Row],[Code machine]],'CODE mchn'!$A$4:$C$170,3,0))</f>
        <v>Schlatter</v>
      </c>
      <c r="E615" s="105"/>
      <c r="F615" s="66"/>
      <c r="G615" s="66" t="s">
        <v>104</v>
      </c>
      <c r="H615" s="66" t="s">
        <v>1238</v>
      </c>
      <c r="I615" s="66" t="s">
        <v>13</v>
      </c>
      <c r="J615" s="106" t="s">
        <v>1239</v>
      </c>
      <c r="K615" s="145">
        <v>43837</v>
      </c>
      <c r="L615" s="66" t="s">
        <v>94</v>
      </c>
      <c r="M615" s="146" t="s">
        <v>2259</v>
      </c>
      <c r="N615" s="147">
        <f>MONTH(Tableau13[[#This Row],[Date fin intervention]])</f>
        <v>1</v>
      </c>
      <c r="O615" s="147">
        <f>YEAR(Tableau13[[#This Row],[Date fin intervention]])</f>
        <v>2020</v>
      </c>
      <c r="P615" s="66"/>
    </row>
    <row r="616" spans="1:16">
      <c r="A616" s="142">
        <v>43826</v>
      </c>
      <c r="B616" s="143">
        <v>570</v>
      </c>
      <c r="C616" s="144" t="str">
        <f>IF(ISNA(VLOOKUP(Tableau13[[#This Row],[Code machine]],'CODE mchn'!$A$4:$C$170,2,0)),"",VLOOKUP(Tableau13[[#This Row],[Code machine]],'CODE mchn'!$A$4:$C$170,2,0))</f>
        <v>Acier</v>
      </c>
      <c r="D616" s="36" t="str">
        <f>IF(ISNA(VLOOKUP(Tableau13[[#This Row],[Code machine]],'CODE mchn'!$A$4:$C$170,3,0)),"",VLOOKUP(Tableau13[[#This Row],[Code machine]],'CODE mchn'!$A$4:$C$170,3,0))</f>
        <v>Sigmatic</v>
      </c>
      <c r="E616" s="105"/>
      <c r="F616" s="66"/>
      <c r="G616" s="66" t="s">
        <v>1221</v>
      </c>
      <c r="H616" s="66" t="s">
        <v>1229</v>
      </c>
      <c r="I616" s="66" t="s">
        <v>13</v>
      </c>
      <c r="J616" s="144" t="s">
        <v>1240</v>
      </c>
      <c r="K616" s="145">
        <v>43826</v>
      </c>
      <c r="L616" s="66"/>
      <c r="M616" s="146">
        <v>2</v>
      </c>
      <c r="N616" s="147">
        <f>MONTH(Tableau13[[#This Row],[Date fin intervention]])</f>
        <v>12</v>
      </c>
      <c r="O616" s="147">
        <f>YEAR(Tableau13[[#This Row],[Date fin intervention]])</f>
        <v>2019</v>
      </c>
      <c r="P616" s="66"/>
    </row>
    <row r="617" spans="1:16">
      <c r="A617" s="142">
        <v>43826</v>
      </c>
      <c r="B617" s="143">
        <v>571</v>
      </c>
      <c r="C617" s="144" t="str">
        <f>IF(ISNA(VLOOKUP(Tableau13[[#This Row],[Code machine]],'CODE mchn'!$A$4:$C$170,2,0)),"",VLOOKUP(Tableau13[[#This Row],[Code machine]],'CODE mchn'!$A$4:$C$170,2,0))</f>
        <v>Acier</v>
      </c>
      <c r="D617" s="36" t="str">
        <f>IF(ISNA(VLOOKUP(Tableau13[[#This Row],[Code machine]],'CODE mchn'!$A$4:$C$170,3,0)),"",VLOOKUP(Tableau13[[#This Row],[Code machine]],'CODE mchn'!$A$4:$C$170,3,0))</f>
        <v>EVG PN 1</v>
      </c>
      <c r="E617" s="105"/>
      <c r="F617" s="66"/>
      <c r="G617" s="66" t="s">
        <v>726</v>
      </c>
      <c r="H617" s="66" t="s">
        <v>1241</v>
      </c>
      <c r="I617" s="66" t="s">
        <v>13</v>
      </c>
      <c r="J617" s="144" t="s">
        <v>1242</v>
      </c>
      <c r="K617" s="145">
        <v>43826</v>
      </c>
      <c r="L617" s="66"/>
      <c r="M617" s="146">
        <v>1</v>
      </c>
      <c r="N617" s="147">
        <f>MONTH(Tableau13[[#This Row],[Date fin intervention]])</f>
        <v>12</v>
      </c>
      <c r="O617" s="147">
        <f>YEAR(Tableau13[[#This Row],[Date fin intervention]])</f>
        <v>2019</v>
      </c>
      <c r="P617" s="66"/>
    </row>
    <row r="618" spans="1:16" ht="42.75">
      <c r="A618" s="142">
        <v>43826</v>
      </c>
      <c r="B618" s="143">
        <v>800</v>
      </c>
      <c r="C618" s="144" t="str">
        <f>IF(ISNA(VLOOKUP(Tableau13[[#This Row],[Code machine]],'CODE mchn'!$A$4:$C$170,2,0)),"",VLOOKUP(Tableau13[[#This Row],[Code machine]],'CODE mchn'!$A$4:$C$170,2,0))</f>
        <v>Béton</v>
      </c>
      <c r="D618" s="36" t="str">
        <f>IF(ISNA(VLOOKUP(Tableau13[[#This Row],[Code machine]],'CODE mchn'!$A$4:$C$170,3,0)),"",VLOOKUP(Tableau13[[#This Row],[Code machine]],'CODE mchn'!$A$4:$C$170,3,0))</f>
        <v>Poyatos 2</v>
      </c>
      <c r="E618" s="105"/>
      <c r="F618" s="66"/>
      <c r="G618" s="66" t="s">
        <v>233</v>
      </c>
      <c r="H618" s="66" t="s">
        <v>1243</v>
      </c>
      <c r="I618" s="66" t="s">
        <v>13</v>
      </c>
      <c r="J618" s="106" t="s">
        <v>1245</v>
      </c>
      <c r="K618" s="145">
        <v>43833</v>
      </c>
      <c r="L618" s="66"/>
      <c r="M618" s="146" t="s">
        <v>2259</v>
      </c>
      <c r="N618" s="147">
        <f>MONTH(Tableau13[[#This Row],[Date fin intervention]])</f>
        <v>1</v>
      </c>
      <c r="O618" s="147">
        <f>YEAR(Tableau13[[#This Row],[Date fin intervention]])</f>
        <v>2020</v>
      </c>
      <c r="P618" s="66"/>
    </row>
    <row r="619" spans="1:16">
      <c r="A619" s="142">
        <v>43826</v>
      </c>
      <c r="B619" s="143">
        <v>700</v>
      </c>
      <c r="C619" s="144" t="str">
        <f>IF(ISNA(VLOOKUP(Tableau13[[#This Row],[Code machine]],'CODE mchn'!$A$4:$C$170,2,0)),"",VLOOKUP(Tableau13[[#This Row],[Code machine]],'CODE mchn'!$A$4:$C$170,2,0))</f>
        <v>Béton</v>
      </c>
      <c r="D619" s="36" t="str">
        <f>IF(ISNA(VLOOKUP(Tableau13[[#This Row],[Code machine]],'CODE mchn'!$A$4:$C$170,3,0)),"",VLOOKUP(Tableau13[[#This Row],[Code machine]],'CODE mchn'!$A$4:$C$170,3,0))</f>
        <v>Poyatos 1</v>
      </c>
      <c r="E619" s="105"/>
      <c r="F619" s="66"/>
      <c r="G619" s="36" t="s">
        <v>1244</v>
      </c>
      <c r="H619" s="36" t="s">
        <v>631</v>
      </c>
      <c r="I619" s="36" t="s">
        <v>13</v>
      </c>
      <c r="J619" s="106" t="s">
        <v>1246</v>
      </c>
      <c r="K619" s="145">
        <v>43826</v>
      </c>
      <c r="L619" s="66"/>
      <c r="M619" s="141">
        <v>3</v>
      </c>
      <c r="N619" s="147">
        <f>MONTH(Tableau13[[#This Row],[Date fin intervention]])</f>
        <v>12</v>
      </c>
      <c r="O619" s="147">
        <f>YEAR(Tableau13[[#This Row],[Date fin intervention]])</f>
        <v>2019</v>
      </c>
      <c r="P619" s="66"/>
    </row>
    <row r="620" spans="1:16">
      <c r="A620" s="104">
        <v>43826</v>
      </c>
      <c r="B620" s="105">
        <v>590</v>
      </c>
      <c r="C620" s="106" t="str">
        <f>IF(ISNA(VLOOKUP(Tableau13[[#This Row],[Code machine]],'CODE mchn'!$A$4:$C$170,2,0)),"",VLOOKUP(Tableau13[[#This Row],[Code machine]],'CODE mchn'!$A$4:$C$170,2,0))</f>
        <v>Acier</v>
      </c>
      <c r="D620" s="36" t="str">
        <f>IF(ISNA(VLOOKUP(Tableau13[[#This Row],[Code machine]],'CODE mchn'!$A$4:$C$170,3,0)),"",VLOOKUP(Tableau13[[#This Row],[Code machine]],'CODE mchn'!$A$4:$C$170,3,0))</f>
        <v>Teurema 3</v>
      </c>
      <c r="E620" s="105"/>
      <c r="F620" s="36"/>
      <c r="G620" s="36" t="s">
        <v>1249</v>
      </c>
      <c r="H620" s="36" t="s">
        <v>352</v>
      </c>
      <c r="I620" s="36" t="s">
        <v>13</v>
      </c>
      <c r="J620" s="106" t="s">
        <v>1250</v>
      </c>
      <c r="K620" s="71">
        <v>43826</v>
      </c>
      <c r="L620" s="36"/>
      <c r="M620" s="141">
        <v>6</v>
      </c>
      <c r="N620" s="108">
        <f>MONTH(Tableau13[[#This Row],[Date fin intervention]])</f>
        <v>12</v>
      </c>
      <c r="O620" s="108">
        <f>YEAR(Tableau13[[#This Row],[Date fin intervention]])</f>
        <v>2019</v>
      </c>
      <c r="P620" s="36"/>
    </row>
    <row r="621" spans="1:16">
      <c r="A621" s="104">
        <v>43827</v>
      </c>
      <c r="B621" s="105">
        <v>700</v>
      </c>
      <c r="C621" s="106" t="str">
        <f>IF(ISNA(VLOOKUP(Tableau13[[#This Row],[Code machine]],'CODE mchn'!$A$4:$C$170,2,0)),"",VLOOKUP(Tableau13[[#This Row],[Code machine]],'CODE mchn'!$A$4:$C$170,2,0))</f>
        <v>Béton</v>
      </c>
      <c r="D621" s="36" t="str">
        <f>IF(ISNA(VLOOKUP(Tableau13[[#This Row],[Code machine]],'CODE mchn'!$A$4:$C$170,3,0)),"",VLOOKUP(Tableau13[[#This Row],[Code machine]],'CODE mchn'!$A$4:$C$170,3,0))</f>
        <v>Poyatos 1</v>
      </c>
      <c r="E621" s="105"/>
      <c r="F621" s="36"/>
      <c r="G621" s="36" t="s">
        <v>291</v>
      </c>
      <c r="H621" s="36" t="s">
        <v>1247</v>
      </c>
      <c r="I621" s="36" t="s">
        <v>13</v>
      </c>
      <c r="J621" s="106" t="s">
        <v>1248</v>
      </c>
      <c r="K621" s="71">
        <v>43827</v>
      </c>
      <c r="L621" s="36"/>
      <c r="M621" s="141">
        <v>1</v>
      </c>
      <c r="N621" s="108">
        <f>MONTH(Tableau13[[#This Row],[Date fin intervention]])</f>
        <v>12</v>
      </c>
      <c r="O621" s="108">
        <f>YEAR(Tableau13[[#This Row],[Date fin intervention]])</f>
        <v>2019</v>
      </c>
      <c r="P621" s="36"/>
    </row>
    <row r="622" spans="1:16">
      <c r="A622" s="104">
        <v>43827</v>
      </c>
      <c r="B622" s="105">
        <v>700</v>
      </c>
      <c r="C622" s="106" t="str">
        <f>IF(ISNA(VLOOKUP(Tableau13[[#This Row],[Code machine]],'CODE mchn'!$A$4:$C$170,2,0)),"",VLOOKUP(Tableau13[[#This Row],[Code machine]],'CODE mchn'!$A$4:$C$170,2,0))</f>
        <v>Béton</v>
      </c>
      <c r="D622" s="36" t="str">
        <f>IF(ISNA(VLOOKUP(Tableau13[[#This Row],[Code machine]],'CODE mchn'!$A$4:$C$170,3,0)),"",VLOOKUP(Tableau13[[#This Row],[Code machine]],'CODE mchn'!$A$4:$C$170,3,0))</f>
        <v>Poyatos 1</v>
      </c>
      <c r="E622" s="105"/>
      <c r="F622" s="36"/>
      <c r="G622" s="36" t="s">
        <v>110</v>
      </c>
      <c r="H622" s="36" t="s">
        <v>772</v>
      </c>
      <c r="I622" s="36" t="s">
        <v>13</v>
      </c>
      <c r="J622" s="106" t="s">
        <v>601</v>
      </c>
      <c r="K622" s="71">
        <v>43827</v>
      </c>
      <c r="L622" s="36"/>
      <c r="M622" s="141">
        <v>40</v>
      </c>
      <c r="N622" s="108">
        <f>MONTH(Tableau13[[#This Row],[Date fin intervention]])</f>
        <v>12</v>
      </c>
      <c r="O622" s="108">
        <f>YEAR(Tableau13[[#This Row],[Date fin intervention]])</f>
        <v>2019</v>
      </c>
      <c r="P622" s="36"/>
    </row>
    <row r="623" spans="1:16">
      <c r="A623" s="104">
        <v>43827</v>
      </c>
      <c r="B623" s="105">
        <v>582</v>
      </c>
      <c r="C623" s="106" t="str">
        <f>IF(ISNA(VLOOKUP(Tableau13[[#This Row],[Code machine]],'CODE mchn'!$A$4:$C$170,2,0)),"",VLOOKUP(Tableau13[[#This Row],[Code machine]],'CODE mchn'!$A$4:$C$170,2,0))</f>
        <v>Acier</v>
      </c>
      <c r="D623" s="36" t="str">
        <f>IF(ISNA(VLOOKUP(Tableau13[[#This Row],[Code machine]],'CODE mchn'!$A$4:$C$170,3,0)),"",VLOOKUP(Tableau13[[#This Row],[Code machine]],'CODE mchn'!$A$4:$C$170,3,0))</f>
        <v>Teurema 2</v>
      </c>
      <c r="E623" s="105"/>
      <c r="F623" s="36"/>
      <c r="G623" s="36" t="s">
        <v>190</v>
      </c>
      <c r="H623" s="36" t="s">
        <v>1252</v>
      </c>
      <c r="I623" s="36" t="s">
        <v>315</v>
      </c>
      <c r="J623" s="106" t="s">
        <v>1251</v>
      </c>
      <c r="K623" s="71">
        <v>43827</v>
      </c>
      <c r="L623" s="36"/>
      <c r="M623" s="141">
        <v>6</v>
      </c>
      <c r="N623" s="108">
        <f>MONTH(Tableau13[[#This Row],[Date fin intervention]])</f>
        <v>12</v>
      </c>
      <c r="O623" s="108">
        <f>YEAR(Tableau13[[#This Row],[Date fin intervention]])</f>
        <v>2019</v>
      </c>
      <c r="P623" s="36"/>
    </row>
    <row r="624" spans="1:16">
      <c r="A624" s="104">
        <v>43828</v>
      </c>
      <c r="B624" s="105">
        <v>590</v>
      </c>
      <c r="C624" s="106" t="str">
        <f>IF(ISNA(VLOOKUP(Tableau13[[#This Row],[Code machine]],'CODE mchn'!$A$4:$C$170,2,0)),"",VLOOKUP(Tableau13[[#This Row],[Code machine]],'CODE mchn'!$A$4:$C$170,2,0))</f>
        <v>Acier</v>
      </c>
      <c r="D624" s="36" t="str">
        <f>IF(ISNA(VLOOKUP(Tableau13[[#This Row],[Code machine]],'CODE mchn'!$A$4:$C$170,3,0)),"",VLOOKUP(Tableau13[[#This Row],[Code machine]],'CODE mchn'!$A$4:$C$170,3,0))</f>
        <v>Teurema 3</v>
      </c>
      <c r="E624" s="105"/>
      <c r="F624" s="36"/>
      <c r="G624" s="36" t="s">
        <v>612</v>
      </c>
      <c r="H624" s="36" t="s">
        <v>686</v>
      </c>
      <c r="I624" s="36" t="s">
        <v>13</v>
      </c>
      <c r="J624" s="106" t="s">
        <v>1253</v>
      </c>
      <c r="K624" s="71">
        <v>43828</v>
      </c>
      <c r="L624" s="36"/>
      <c r="M624" s="141">
        <v>5</v>
      </c>
      <c r="N624" s="108">
        <f>MONTH(Tableau13[[#This Row],[Date fin intervention]])</f>
        <v>12</v>
      </c>
      <c r="O624" s="108">
        <f>YEAR(Tableau13[[#This Row],[Date fin intervention]])</f>
        <v>2019</v>
      </c>
      <c r="P624" s="36"/>
    </row>
    <row r="625" spans="1:16">
      <c r="A625" s="104">
        <v>43829</v>
      </c>
      <c r="B625" s="105">
        <v>700</v>
      </c>
      <c r="C625" s="106" t="str">
        <f>IF(ISNA(VLOOKUP(Tableau13[[#This Row],[Code machine]],'CODE mchn'!$A$4:$C$170,2,0)),"",VLOOKUP(Tableau13[[#This Row],[Code machine]],'CODE mchn'!$A$4:$C$170,2,0))</f>
        <v>Béton</v>
      </c>
      <c r="D625" s="36" t="str">
        <f>IF(ISNA(VLOOKUP(Tableau13[[#This Row],[Code machine]],'CODE mchn'!$A$4:$C$170,3,0)),"",VLOOKUP(Tableau13[[#This Row],[Code machine]],'CODE mchn'!$A$4:$C$170,3,0))</f>
        <v>Poyatos 1</v>
      </c>
      <c r="E625" s="105"/>
      <c r="F625" s="36"/>
      <c r="G625" s="36" t="s">
        <v>43</v>
      </c>
      <c r="H625" s="36" t="s">
        <v>1265</v>
      </c>
      <c r="I625" s="36" t="s">
        <v>13</v>
      </c>
      <c r="J625" s="106" t="s">
        <v>1266</v>
      </c>
      <c r="K625" s="71">
        <v>43829</v>
      </c>
      <c r="L625" s="36"/>
      <c r="M625" s="141">
        <v>2</v>
      </c>
      <c r="N625" s="108">
        <f>MONTH(Tableau13[[#This Row],[Date fin intervention]])</f>
        <v>12</v>
      </c>
      <c r="O625" s="108">
        <f>YEAR(Tableau13[[#This Row],[Date fin intervention]])</f>
        <v>2019</v>
      </c>
      <c r="P625" s="36"/>
    </row>
    <row r="626" spans="1:16">
      <c r="A626" s="104">
        <v>43829</v>
      </c>
      <c r="B626" s="105">
        <v>580</v>
      </c>
      <c r="C626" s="106" t="str">
        <f>IF(ISNA(VLOOKUP(Tableau13[[#This Row],[Code machine]],'CODE mchn'!$A$4:$C$170,2,0)),"",VLOOKUP(Tableau13[[#This Row],[Code machine]],'CODE mchn'!$A$4:$C$170,2,0))</f>
        <v>Acier</v>
      </c>
      <c r="D626" s="36" t="str">
        <f>IF(ISNA(VLOOKUP(Tableau13[[#This Row],[Code machine]],'CODE mchn'!$A$4:$C$170,3,0)),"",VLOOKUP(Tableau13[[#This Row],[Code machine]],'CODE mchn'!$A$4:$C$170,3,0))</f>
        <v>Techno Impiante</v>
      </c>
      <c r="E626" s="105"/>
      <c r="F626" s="36"/>
      <c r="G626" s="36" t="s">
        <v>70</v>
      </c>
      <c r="H626" s="36" t="s">
        <v>1254</v>
      </c>
      <c r="I626" s="36" t="s">
        <v>13</v>
      </c>
      <c r="J626" s="106" t="s">
        <v>1255</v>
      </c>
      <c r="K626" s="71">
        <v>43829</v>
      </c>
      <c r="L626" s="36"/>
      <c r="M626" s="141">
        <v>9</v>
      </c>
      <c r="N626" s="108">
        <f>MONTH(Tableau13[[#This Row],[Date fin intervention]])</f>
        <v>12</v>
      </c>
      <c r="O626" s="108">
        <f>YEAR(Tableau13[[#This Row],[Date fin intervention]])</f>
        <v>2019</v>
      </c>
      <c r="P626" s="36"/>
    </row>
    <row r="627" spans="1:16">
      <c r="A627" s="104">
        <v>43830</v>
      </c>
      <c r="B627" s="105">
        <v>570</v>
      </c>
      <c r="C627" s="106" t="str">
        <f>IF(ISNA(VLOOKUP(Tableau13[[#This Row],[Code machine]],'CODE mchn'!$A$4:$C$170,2,0)),"",VLOOKUP(Tableau13[[#This Row],[Code machine]],'CODE mchn'!$A$4:$C$170,2,0))</f>
        <v>Acier</v>
      </c>
      <c r="D627" s="36" t="str">
        <f>IF(ISNA(VLOOKUP(Tableau13[[#This Row],[Code machine]],'CODE mchn'!$A$4:$C$170,3,0)),"",VLOOKUP(Tableau13[[#This Row],[Code machine]],'CODE mchn'!$A$4:$C$170,3,0))</f>
        <v>Sigmatic</v>
      </c>
      <c r="E627" s="105"/>
      <c r="F627" s="36"/>
      <c r="G627" s="36" t="s">
        <v>1256</v>
      </c>
      <c r="H627" s="36" t="s">
        <v>665</v>
      </c>
      <c r="I627" s="36" t="s">
        <v>13</v>
      </c>
      <c r="J627" s="106" t="s">
        <v>1257</v>
      </c>
      <c r="K627" s="71">
        <v>43830</v>
      </c>
      <c r="L627" s="36"/>
      <c r="M627" s="141">
        <v>2</v>
      </c>
      <c r="N627" s="108">
        <f>MONTH(Tableau13[[#This Row],[Date fin intervention]])</f>
        <v>12</v>
      </c>
      <c r="O627" s="108">
        <f>YEAR(Tableau13[[#This Row],[Date fin intervention]])</f>
        <v>2019</v>
      </c>
      <c r="P627" s="36"/>
    </row>
    <row r="628" spans="1:16">
      <c r="A628" s="104">
        <v>43831</v>
      </c>
      <c r="B628" s="105">
        <v>620</v>
      </c>
      <c r="C628" s="106" t="str">
        <f>IF(ISNA(VLOOKUP(Tableau13[[#This Row],[Code machine]],'CODE mchn'!$A$4:$C$170,2,0)),"",VLOOKUP(Tableau13[[#This Row],[Code machine]],'CODE mchn'!$A$4:$C$170,2,0))</f>
        <v>Acier</v>
      </c>
      <c r="D628" s="36" t="str">
        <f>IF(ISNA(VLOOKUP(Tableau13[[#This Row],[Code machine]],'CODE mchn'!$A$4:$C$170,3,0)),"",VLOOKUP(Tableau13[[#This Row],[Code machine]],'CODE mchn'!$A$4:$C$170,3,0))</f>
        <v>EVG PN 2</v>
      </c>
      <c r="E628" s="105"/>
      <c r="F628" s="36"/>
      <c r="G628" s="36" t="s">
        <v>1258</v>
      </c>
      <c r="H628" s="36" t="s">
        <v>1259</v>
      </c>
      <c r="I628" s="36" t="s">
        <v>13</v>
      </c>
      <c r="J628" s="106" t="s">
        <v>1260</v>
      </c>
      <c r="K628" s="71">
        <v>43831</v>
      </c>
      <c r="L628" s="36" t="s">
        <v>1373</v>
      </c>
      <c r="M628" s="127"/>
      <c r="N628" s="108">
        <f>MONTH(Tableau13[[#This Row],[Date fin intervention]])</f>
        <v>1</v>
      </c>
      <c r="O628" s="108">
        <f>YEAR(Tableau13[[#This Row],[Date fin intervention]])</f>
        <v>2020</v>
      </c>
      <c r="P628" s="36"/>
    </row>
    <row r="629" spans="1:16">
      <c r="A629" s="104">
        <v>43831</v>
      </c>
      <c r="B629" s="105">
        <v>700</v>
      </c>
      <c r="C629" s="106" t="str">
        <f>IF(ISNA(VLOOKUP(Tableau13[[#This Row],[Code machine]],'CODE mchn'!$A$4:$C$170,2,0)),"",VLOOKUP(Tableau13[[#This Row],[Code machine]],'CODE mchn'!$A$4:$C$170,2,0))</f>
        <v>Béton</v>
      </c>
      <c r="D629" s="36" t="str">
        <f>IF(ISNA(VLOOKUP(Tableau13[[#This Row],[Code machine]],'CODE mchn'!$A$4:$C$170,3,0)),"",VLOOKUP(Tableau13[[#This Row],[Code machine]],'CODE mchn'!$A$4:$C$170,3,0))</f>
        <v>Poyatos 1</v>
      </c>
      <c r="E629" s="105"/>
      <c r="F629" s="36"/>
      <c r="G629" s="36" t="s">
        <v>289</v>
      </c>
      <c r="H629" s="36" t="s">
        <v>1267</v>
      </c>
      <c r="I629" s="36" t="s">
        <v>13</v>
      </c>
      <c r="J629" s="106" t="s">
        <v>1268</v>
      </c>
      <c r="K629" s="71">
        <v>43831</v>
      </c>
      <c r="L629" s="36"/>
      <c r="M629" s="141">
        <v>1</v>
      </c>
      <c r="N629" s="108">
        <f>MONTH(Tableau13[[#This Row],[Date fin intervention]])</f>
        <v>1</v>
      </c>
      <c r="O629" s="108">
        <f>YEAR(Tableau13[[#This Row],[Date fin intervention]])</f>
        <v>2020</v>
      </c>
      <c r="P629" s="36"/>
    </row>
    <row r="630" spans="1:16" ht="42.75">
      <c r="A630" s="148">
        <v>43831</v>
      </c>
      <c r="B630" s="149">
        <v>573</v>
      </c>
      <c r="C630" s="150" t="str">
        <f>IF(ISNA(VLOOKUP(Tableau13[[#This Row],[Code machine]],'CODE mchn'!$A$4:$C$170,2,0)),"",VLOOKUP(Tableau13[[#This Row],[Code machine]],'CODE mchn'!$A$4:$C$170,2,0))</f>
        <v>Ponts roulants</v>
      </c>
      <c r="D630" s="36" t="str">
        <f>IF(ISNA(VLOOKUP(Tableau13[[#This Row],[Code machine]],'CODE mchn'!$A$4:$C$170,3,0)),"",VLOOKUP(Tableau13[[#This Row],[Code machine]],'CODE mchn'!$A$4:$C$170,3,0))</f>
        <v xml:space="preserve">Pont roulant Demag 1 3,5T </v>
      </c>
      <c r="E630" s="105"/>
      <c r="F630" s="67"/>
      <c r="G630" s="67" t="s">
        <v>1294</v>
      </c>
      <c r="H630" s="67" t="s">
        <v>1295</v>
      </c>
      <c r="I630" s="67" t="s">
        <v>13</v>
      </c>
      <c r="J630" s="150" t="s">
        <v>1296</v>
      </c>
      <c r="K630" s="151">
        <v>43833</v>
      </c>
      <c r="L630" s="67"/>
      <c r="M630" s="152" t="s">
        <v>2259</v>
      </c>
      <c r="N630" s="153">
        <f>MONTH(Tableau13[[#This Row],[Date fin intervention]])</f>
        <v>1</v>
      </c>
      <c r="O630" s="153">
        <f>YEAR(Tableau13[[#This Row],[Date fin intervention]])</f>
        <v>2020</v>
      </c>
      <c r="P630" s="67"/>
    </row>
    <row r="631" spans="1:16" ht="28.5">
      <c r="A631" s="104">
        <v>43832</v>
      </c>
      <c r="B631" s="105">
        <v>590</v>
      </c>
      <c r="C631" s="106" t="str">
        <f>IF(ISNA(VLOOKUP(Tableau13[[#This Row],[Code machine]],'CODE mchn'!$A$4:$C$170,2,0)),"",VLOOKUP(Tableau13[[#This Row],[Code machine]],'CODE mchn'!$A$4:$C$170,2,0))</f>
        <v>Acier</v>
      </c>
      <c r="D631" s="36" t="str">
        <f>IF(ISNA(VLOOKUP(Tableau13[[#This Row],[Code machine]],'CODE mchn'!$A$4:$C$170,3,0)),"",VLOOKUP(Tableau13[[#This Row],[Code machine]],'CODE mchn'!$A$4:$C$170,3,0))</f>
        <v>Teurema 3</v>
      </c>
      <c r="E631" s="105"/>
      <c r="F631" s="36"/>
      <c r="G631" s="36" t="s">
        <v>49</v>
      </c>
      <c r="H631" s="36" t="s">
        <v>1261</v>
      </c>
      <c r="I631" s="36" t="s">
        <v>13</v>
      </c>
      <c r="J631" s="106" t="s">
        <v>1262</v>
      </c>
      <c r="K631" s="71">
        <v>43832</v>
      </c>
      <c r="L631" s="36"/>
      <c r="M631" s="154"/>
      <c r="N631" s="108">
        <f>MONTH(Tableau13[[#This Row],[Date fin intervention]])</f>
        <v>1</v>
      </c>
      <c r="O631" s="108">
        <f>YEAR(Tableau13[[#This Row],[Date fin intervention]])</f>
        <v>2020</v>
      </c>
      <c r="P631" s="36"/>
    </row>
    <row r="632" spans="1:16">
      <c r="A632" s="104">
        <v>43832</v>
      </c>
      <c r="B632" s="105">
        <v>582</v>
      </c>
      <c r="C632" s="106" t="str">
        <f>IF(ISNA(VLOOKUP(Tableau13[[#This Row],[Code machine]],'CODE mchn'!$A$4:$C$170,2,0)),"",VLOOKUP(Tableau13[[#This Row],[Code machine]],'CODE mchn'!$A$4:$C$170,2,0))</f>
        <v>Acier</v>
      </c>
      <c r="D632" s="36" t="str">
        <f>IF(ISNA(VLOOKUP(Tableau13[[#This Row],[Code machine]],'CODE mchn'!$A$4:$C$170,3,0)),"",VLOOKUP(Tableau13[[#This Row],[Code machine]],'CODE mchn'!$A$4:$C$170,3,0))</f>
        <v>Teurema 2</v>
      </c>
      <c r="E632" s="105"/>
      <c r="F632" s="36"/>
      <c r="G632" s="36" t="s">
        <v>197</v>
      </c>
      <c r="H632" s="36" t="s">
        <v>1070</v>
      </c>
      <c r="I632" s="36" t="s">
        <v>13</v>
      </c>
      <c r="J632" s="106" t="s">
        <v>1263</v>
      </c>
      <c r="K632" s="71">
        <v>43832</v>
      </c>
      <c r="L632" s="36"/>
      <c r="M632" s="141">
        <v>1</v>
      </c>
      <c r="N632" s="108">
        <f>MONTH(Tableau13[[#This Row],[Date fin intervention]])</f>
        <v>1</v>
      </c>
      <c r="O632" s="108">
        <f>YEAR(Tableau13[[#This Row],[Date fin intervention]])</f>
        <v>2020</v>
      </c>
      <c r="P632" s="36"/>
    </row>
    <row r="633" spans="1:16">
      <c r="A633" s="104">
        <v>43832</v>
      </c>
      <c r="B633" s="105">
        <v>580</v>
      </c>
      <c r="C633" s="106" t="str">
        <f>IF(ISNA(VLOOKUP(Tableau13[[#This Row],[Code machine]],'CODE mchn'!$A$4:$C$170,2,0)),"",VLOOKUP(Tableau13[[#This Row],[Code machine]],'CODE mchn'!$A$4:$C$170,2,0))</f>
        <v>Acier</v>
      </c>
      <c r="D633" s="36" t="str">
        <f>IF(ISNA(VLOOKUP(Tableau13[[#This Row],[Code machine]],'CODE mchn'!$A$4:$C$170,3,0)),"",VLOOKUP(Tableau13[[#This Row],[Code machine]],'CODE mchn'!$A$4:$C$170,3,0))</f>
        <v>Techno Impiante</v>
      </c>
      <c r="E633" s="105"/>
      <c r="F633" s="36"/>
      <c r="G633" s="36" t="s">
        <v>161</v>
      </c>
      <c r="H633" s="36" t="s">
        <v>936</v>
      </c>
      <c r="I633" s="36" t="s">
        <v>13</v>
      </c>
      <c r="J633" s="106" t="s">
        <v>1264</v>
      </c>
      <c r="K633" s="71">
        <v>43832</v>
      </c>
      <c r="L633" s="36"/>
      <c r="M633" s="127"/>
      <c r="N633" s="108">
        <f>MONTH(Tableau13[[#This Row],[Date fin intervention]])</f>
        <v>1</v>
      </c>
      <c r="O633" s="108">
        <f>YEAR(Tableau13[[#This Row],[Date fin intervention]])</f>
        <v>2020</v>
      </c>
      <c r="P633" s="36"/>
    </row>
    <row r="634" spans="1:16">
      <c r="A634" s="104">
        <v>43832</v>
      </c>
      <c r="B634" s="105">
        <v>533</v>
      </c>
      <c r="C634" s="106" t="str">
        <f>IF(ISNA(VLOOKUP(Tableau13[[#This Row],[Code machine]],'CODE mchn'!$A$4:$C$170,2,0)),"",VLOOKUP(Tableau13[[#This Row],[Code machine]],'CODE mchn'!$A$4:$C$170,2,0))</f>
        <v>Enrobage</v>
      </c>
      <c r="D634" s="36" t="str">
        <f>IF(ISNA(VLOOKUP(Tableau13[[#This Row],[Code machine]],'CODE mchn'!$A$4:$C$170,3,0)),"",VLOOKUP(Tableau13[[#This Row],[Code machine]],'CODE mchn'!$A$4:$C$170,3,0))</f>
        <v>CAROSSEL</v>
      </c>
      <c r="E634" s="105"/>
      <c r="F634" s="36"/>
      <c r="G634" s="36" t="s">
        <v>95</v>
      </c>
      <c r="H634" s="36" t="s">
        <v>1269</v>
      </c>
      <c r="I634" s="36" t="s">
        <v>13</v>
      </c>
      <c r="J634" s="106" t="s">
        <v>1270</v>
      </c>
      <c r="K634" s="71">
        <v>43832</v>
      </c>
      <c r="L634" s="36"/>
      <c r="M634" s="127"/>
      <c r="N634" s="108">
        <f>MONTH(Tableau13[[#This Row],[Date fin intervention]])</f>
        <v>1</v>
      </c>
      <c r="O634" s="108">
        <f>YEAR(Tableau13[[#This Row],[Date fin intervention]])</f>
        <v>2020</v>
      </c>
      <c r="P634" s="36"/>
    </row>
    <row r="635" spans="1:16" ht="42.75">
      <c r="A635" s="104">
        <v>43833</v>
      </c>
      <c r="B635" s="105">
        <v>800</v>
      </c>
      <c r="C635" s="106" t="str">
        <f>IF(ISNA(VLOOKUP(Tableau13[[#This Row],[Code machine]],'CODE mchn'!$A$4:$C$170,2,0)),"",VLOOKUP(Tableau13[[#This Row],[Code machine]],'CODE mchn'!$A$4:$C$170,2,0))</f>
        <v>Béton</v>
      </c>
      <c r="D635" s="36" t="str">
        <f>IF(ISNA(VLOOKUP(Tableau13[[#This Row],[Code machine]],'CODE mchn'!$A$4:$C$170,3,0)),"",VLOOKUP(Tableau13[[#This Row],[Code machine]],'CODE mchn'!$A$4:$C$170,3,0))</f>
        <v>Poyatos 2</v>
      </c>
      <c r="E635" s="105"/>
      <c r="F635" s="36"/>
      <c r="G635" s="36" t="s">
        <v>1271</v>
      </c>
      <c r="H635" s="36" t="s">
        <v>520</v>
      </c>
      <c r="I635" s="36" t="s">
        <v>13</v>
      </c>
      <c r="J635" s="106" t="s">
        <v>1272</v>
      </c>
      <c r="K635" s="71">
        <v>43834</v>
      </c>
      <c r="L635" s="36"/>
      <c r="M635" s="141" t="s">
        <v>2259</v>
      </c>
      <c r="N635" s="108">
        <f>MONTH(Tableau13[[#This Row],[Date fin intervention]])</f>
        <v>1</v>
      </c>
      <c r="O635" s="108">
        <f>YEAR(Tableau13[[#This Row],[Date fin intervention]])</f>
        <v>2020</v>
      </c>
      <c r="P635" s="36"/>
    </row>
    <row r="636" spans="1:16" ht="28.5">
      <c r="A636" s="104">
        <v>43833</v>
      </c>
      <c r="B636" s="105">
        <v>800</v>
      </c>
      <c r="C636" s="106" t="str">
        <f>IF(ISNA(VLOOKUP(Tableau13[[#This Row],[Code machine]],'CODE mchn'!$A$4:$C$170,2,0)),"",VLOOKUP(Tableau13[[#This Row],[Code machine]],'CODE mchn'!$A$4:$C$170,2,0))</f>
        <v>Béton</v>
      </c>
      <c r="D636" s="36" t="str">
        <f>IF(ISNA(VLOOKUP(Tableau13[[#This Row],[Code machine]],'CODE mchn'!$A$4:$C$170,3,0)),"",VLOOKUP(Tableau13[[#This Row],[Code machine]],'CODE mchn'!$A$4:$C$170,3,0))</f>
        <v>Poyatos 2</v>
      </c>
      <c r="E636" s="105"/>
      <c r="F636" s="36"/>
      <c r="G636" s="36" t="s">
        <v>3</v>
      </c>
      <c r="H636" s="36" t="s">
        <v>730</v>
      </c>
      <c r="I636" s="36" t="s">
        <v>13</v>
      </c>
      <c r="J636" s="106" t="s">
        <v>1273</v>
      </c>
      <c r="K636" s="71">
        <v>43833</v>
      </c>
      <c r="L636" s="36"/>
      <c r="M636" s="141">
        <v>8</v>
      </c>
      <c r="N636" s="108">
        <f>MONTH(Tableau13[[#This Row],[Date fin intervention]])</f>
        <v>1</v>
      </c>
      <c r="O636" s="108">
        <f>YEAR(Tableau13[[#This Row],[Date fin intervention]])</f>
        <v>2020</v>
      </c>
      <c r="P636" s="36"/>
    </row>
    <row r="637" spans="1:16">
      <c r="A637" s="104">
        <v>43833</v>
      </c>
      <c r="B637" s="105">
        <v>700</v>
      </c>
      <c r="C637" s="106" t="str">
        <f>IF(ISNA(VLOOKUP(Tableau13[[#This Row],[Code machine]],'CODE mchn'!$A$4:$C$170,2,0)),"",VLOOKUP(Tableau13[[#This Row],[Code machine]],'CODE mchn'!$A$4:$C$170,2,0))</f>
        <v>Béton</v>
      </c>
      <c r="D637" s="36" t="str">
        <f>IF(ISNA(VLOOKUP(Tableau13[[#This Row],[Code machine]],'CODE mchn'!$A$4:$C$170,3,0)),"",VLOOKUP(Tableau13[[#This Row],[Code machine]],'CODE mchn'!$A$4:$C$170,3,0))</f>
        <v>Poyatos 1</v>
      </c>
      <c r="E637" s="105"/>
      <c r="F637" s="36"/>
      <c r="G637" s="36" t="s">
        <v>20</v>
      </c>
      <c r="H637" s="36" t="s">
        <v>1274</v>
      </c>
      <c r="I637" s="36" t="s">
        <v>13</v>
      </c>
      <c r="J637" s="106" t="s">
        <v>1275</v>
      </c>
      <c r="K637" s="71">
        <v>43833</v>
      </c>
      <c r="L637" s="36" t="s">
        <v>1374</v>
      </c>
      <c r="M637" s="127"/>
      <c r="N637" s="108">
        <f>MONTH(Tableau13[[#This Row],[Date fin intervention]])</f>
        <v>1</v>
      </c>
      <c r="O637" s="108">
        <f>YEAR(Tableau13[[#This Row],[Date fin intervention]])</f>
        <v>2020</v>
      </c>
      <c r="P637" s="36"/>
    </row>
    <row r="638" spans="1:16">
      <c r="A638" s="104">
        <v>43834</v>
      </c>
      <c r="B638" s="105">
        <v>800</v>
      </c>
      <c r="C638" s="106" t="str">
        <f>IF(ISNA(VLOOKUP(Tableau13[[#This Row],[Code machine]],'CODE mchn'!$A$4:$C$170,2,0)),"",VLOOKUP(Tableau13[[#This Row],[Code machine]],'CODE mchn'!$A$4:$C$170,2,0))</f>
        <v>Béton</v>
      </c>
      <c r="D638" s="36" t="str">
        <f>IF(ISNA(VLOOKUP(Tableau13[[#This Row],[Code machine]],'CODE mchn'!$A$4:$C$170,3,0)),"",VLOOKUP(Tableau13[[#This Row],[Code machine]],'CODE mchn'!$A$4:$C$170,3,0))</f>
        <v>Poyatos 2</v>
      </c>
      <c r="E638" s="105"/>
      <c r="F638" s="36"/>
      <c r="G638" s="36" t="s">
        <v>118</v>
      </c>
      <c r="H638" s="36" t="s">
        <v>1276</v>
      </c>
      <c r="I638" s="36" t="s">
        <v>13</v>
      </c>
      <c r="J638" s="106" t="s">
        <v>1277</v>
      </c>
      <c r="K638" s="71">
        <v>43834</v>
      </c>
      <c r="L638" s="36"/>
      <c r="M638" s="141">
        <v>1</v>
      </c>
      <c r="N638" s="108">
        <f>MONTH(Tableau13[[#This Row],[Date fin intervention]])</f>
        <v>1</v>
      </c>
      <c r="O638" s="108">
        <f>YEAR(Tableau13[[#This Row],[Date fin intervention]])</f>
        <v>2020</v>
      </c>
      <c r="P638" s="36"/>
    </row>
    <row r="639" spans="1:16" ht="42.75">
      <c r="A639" s="104">
        <v>43835</v>
      </c>
      <c r="B639" s="105">
        <v>800</v>
      </c>
      <c r="C639" s="106" t="str">
        <f>IF(ISNA(VLOOKUP(Tableau13[[#This Row],[Code machine]],'CODE mchn'!$A$4:$C$170,2,0)),"",VLOOKUP(Tableau13[[#This Row],[Code machine]],'CODE mchn'!$A$4:$C$170,2,0))</f>
        <v>Béton</v>
      </c>
      <c r="D639" s="36" t="str">
        <f>IF(ISNA(VLOOKUP(Tableau13[[#This Row],[Code machine]],'CODE mchn'!$A$4:$C$170,3,0)),"",VLOOKUP(Tableau13[[#This Row],[Code machine]],'CODE mchn'!$A$4:$C$170,3,0))</f>
        <v>Poyatos 2</v>
      </c>
      <c r="E639" s="105"/>
      <c r="F639" s="36"/>
      <c r="G639" s="36" t="s">
        <v>20</v>
      </c>
      <c r="H639" s="36" t="s">
        <v>1278</v>
      </c>
      <c r="I639" s="36" t="s">
        <v>13</v>
      </c>
      <c r="J639" s="106" t="s">
        <v>1279</v>
      </c>
      <c r="K639" s="71">
        <v>43837</v>
      </c>
      <c r="L639" s="36"/>
      <c r="M639" s="141" t="s">
        <v>2259</v>
      </c>
      <c r="N639" s="108">
        <f>MONTH(Tableau13[[#This Row],[Date fin intervention]])</f>
        <v>1</v>
      </c>
      <c r="O639" s="108">
        <f>YEAR(Tableau13[[#This Row],[Date fin intervention]])</f>
        <v>2020</v>
      </c>
      <c r="P639" s="36"/>
    </row>
    <row r="640" spans="1:16">
      <c r="A640" s="104">
        <v>43835</v>
      </c>
      <c r="B640" s="105">
        <v>700</v>
      </c>
      <c r="C640" s="106" t="str">
        <f>IF(ISNA(VLOOKUP(Tableau13[[#This Row],[Code machine]],'CODE mchn'!$A$4:$C$170,2,0)),"",VLOOKUP(Tableau13[[#This Row],[Code machine]],'CODE mchn'!$A$4:$C$170,2,0))</f>
        <v>Béton</v>
      </c>
      <c r="D640" s="36" t="str">
        <f>IF(ISNA(VLOOKUP(Tableau13[[#This Row],[Code machine]],'CODE mchn'!$A$4:$C$170,3,0)),"",VLOOKUP(Tableau13[[#This Row],[Code machine]],'CODE mchn'!$A$4:$C$170,3,0))</f>
        <v>Poyatos 1</v>
      </c>
      <c r="E640" s="105"/>
      <c r="F640" s="36"/>
      <c r="G640" s="36" t="s">
        <v>291</v>
      </c>
      <c r="H640" s="36" t="s">
        <v>1280</v>
      </c>
      <c r="I640" s="36" t="s">
        <v>13</v>
      </c>
      <c r="J640" s="106" t="s">
        <v>1287</v>
      </c>
      <c r="K640" s="71">
        <v>43835</v>
      </c>
      <c r="L640" s="36" t="s">
        <v>1375</v>
      </c>
      <c r="M640" s="141">
        <v>2</v>
      </c>
      <c r="N640" s="108">
        <f>MONTH(Tableau13[[#This Row],[Date fin intervention]])</f>
        <v>1</v>
      </c>
      <c r="O640" s="108">
        <f>YEAR(Tableau13[[#This Row],[Date fin intervention]])</f>
        <v>2020</v>
      </c>
      <c r="P640" s="36"/>
    </row>
    <row r="641" spans="1:16">
      <c r="A641" s="104">
        <v>43836</v>
      </c>
      <c r="B641" s="105">
        <v>700</v>
      </c>
      <c r="C641" s="106" t="str">
        <f>IF(ISNA(VLOOKUP(Tableau13[[#This Row],[Code machine]],'CODE mchn'!$A$4:$C$170,2,0)),"",VLOOKUP(Tableau13[[#This Row],[Code machine]],'CODE mchn'!$A$4:$C$170,2,0))</f>
        <v>Béton</v>
      </c>
      <c r="D641" s="36" t="str">
        <f>IF(ISNA(VLOOKUP(Tableau13[[#This Row],[Code machine]],'CODE mchn'!$A$4:$C$170,3,0)),"",VLOOKUP(Tableau13[[#This Row],[Code machine]],'CODE mchn'!$A$4:$C$170,3,0))</f>
        <v>Poyatos 1</v>
      </c>
      <c r="E641" s="105"/>
      <c r="F641" s="36"/>
      <c r="G641" s="36" t="s">
        <v>375</v>
      </c>
      <c r="H641" s="36" t="s">
        <v>938</v>
      </c>
      <c r="I641" s="36" t="s">
        <v>13</v>
      </c>
      <c r="J641" s="106" t="s">
        <v>1281</v>
      </c>
      <c r="K641" s="71">
        <v>43836</v>
      </c>
      <c r="L641" s="36"/>
      <c r="M641" s="141">
        <v>30</v>
      </c>
      <c r="N641" s="108">
        <f>MONTH(Tableau13[[#This Row],[Date fin intervention]])</f>
        <v>1</v>
      </c>
      <c r="O641" s="108">
        <f>YEAR(Tableau13[[#This Row],[Date fin intervention]])</f>
        <v>2020</v>
      </c>
      <c r="P641" s="36"/>
    </row>
    <row r="642" spans="1:16">
      <c r="A642" s="104">
        <v>43837</v>
      </c>
      <c r="B642" s="105">
        <v>700</v>
      </c>
      <c r="C642" s="106" t="str">
        <f>IF(ISNA(VLOOKUP(Tableau13[[#This Row],[Code machine]],'CODE mchn'!$A$4:$C$170,2,0)),"",VLOOKUP(Tableau13[[#This Row],[Code machine]],'CODE mchn'!$A$4:$C$170,2,0))</f>
        <v>Béton</v>
      </c>
      <c r="D642" s="36" t="str">
        <f>IF(ISNA(VLOOKUP(Tableau13[[#This Row],[Code machine]],'CODE mchn'!$A$4:$C$170,3,0)),"",VLOOKUP(Tableau13[[#This Row],[Code machine]],'CODE mchn'!$A$4:$C$170,3,0))</f>
        <v>Poyatos 1</v>
      </c>
      <c r="E642" s="105"/>
      <c r="F642" s="36"/>
      <c r="G642" s="36" t="s">
        <v>213</v>
      </c>
      <c r="H642" s="36" t="s">
        <v>709</v>
      </c>
      <c r="I642" s="36" t="s">
        <v>13</v>
      </c>
      <c r="J642" s="106" t="s">
        <v>1282</v>
      </c>
      <c r="K642" s="71">
        <v>43837</v>
      </c>
      <c r="L642" s="36"/>
      <c r="M642" s="141">
        <v>30</v>
      </c>
      <c r="N642" s="108">
        <f>MONTH(Tableau13[[#This Row],[Date fin intervention]])</f>
        <v>1</v>
      </c>
      <c r="O642" s="108">
        <f>YEAR(Tableau13[[#This Row],[Date fin intervention]])</f>
        <v>2020</v>
      </c>
      <c r="P642" s="36"/>
    </row>
    <row r="643" spans="1:16">
      <c r="A643" s="104">
        <v>43837</v>
      </c>
      <c r="B643" s="105">
        <v>800</v>
      </c>
      <c r="C643" s="106" t="str">
        <f>IF(ISNA(VLOOKUP(Tableau13[[#This Row],[Code machine]],'CODE mchn'!$A$4:$C$170,2,0)),"",VLOOKUP(Tableau13[[#This Row],[Code machine]],'CODE mchn'!$A$4:$C$170,2,0))</f>
        <v>Béton</v>
      </c>
      <c r="D643" s="36" t="str">
        <f>IF(ISNA(VLOOKUP(Tableau13[[#This Row],[Code machine]],'CODE mchn'!$A$4:$C$170,3,0)),"",VLOOKUP(Tableau13[[#This Row],[Code machine]],'CODE mchn'!$A$4:$C$170,3,0))</f>
        <v>Poyatos 2</v>
      </c>
      <c r="E643" s="105"/>
      <c r="F643" s="36"/>
      <c r="G643" s="36" t="s">
        <v>1283</v>
      </c>
      <c r="H643" s="36" t="s">
        <v>1284</v>
      </c>
      <c r="I643" s="36" t="s">
        <v>13</v>
      </c>
      <c r="J643" s="106" t="s">
        <v>1285</v>
      </c>
      <c r="K643" s="71">
        <v>43837</v>
      </c>
      <c r="L643" s="36" t="s">
        <v>1286</v>
      </c>
      <c r="M643" s="141">
        <v>1</v>
      </c>
      <c r="N643" s="108">
        <f>MONTH(Tableau13[[#This Row],[Date fin intervention]])</f>
        <v>1</v>
      </c>
      <c r="O643" s="108">
        <f>YEAR(Tableau13[[#This Row],[Date fin intervention]])</f>
        <v>2020</v>
      </c>
      <c r="P643" s="36"/>
    </row>
    <row r="644" spans="1:16">
      <c r="A644" s="148">
        <v>43838</v>
      </c>
      <c r="B644" s="149">
        <v>565</v>
      </c>
      <c r="C644" s="150" t="str">
        <f>IF(ISNA(VLOOKUP(Tableau13[[#This Row],[Code machine]],'CODE mchn'!$A$4:$C$170,2,0)),"",VLOOKUP(Tableau13[[#This Row],[Code machine]],'CODE mchn'!$A$4:$C$170,2,0))</f>
        <v>Acier</v>
      </c>
      <c r="D644" s="36" t="str">
        <f>IF(ISNA(VLOOKUP(Tableau13[[#This Row],[Code machine]],'CODE mchn'!$A$4:$C$170,3,0)),"",VLOOKUP(Tableau13[[#This Row],[Code machine]],'CODE mchn'!$A$4:$C$170,3,0))</f>
        <v>EVG GE12</v>
      </c>
      <c r="E644" s="105"/>
      <c r="F644" s="67"/>
      <c r="G644" s="67" t="s">
        <v>104</v>
      </c>
      <c r="H644" s="67" t="s">
        <v>1297</v>
      </c>
      <c r="I644" s="67" t="s">
        <v>13</v>
      </c>
      <c r="J644" s="150" t="s">
        <v>1298</v>
      </c>
      <c r="K644" s="151">
        <v>43838</v>
      </c>
      <c r="L644" s="67"/>
      <c r="M644" s="127"/>
      <c r="N644" s="153">
        <f>MONTH(Tableau13[[#This Row],[Date fin intervention]])</f>
        <v>1</v>
      </c>
      <c r="O644" s="153">
        <f>YEAR(Tableau13[[#This Row],[Date fin intervention]])</f>
        <v>2020</v>
      </c>
      <c r="P644" s="67"/>
    </row>
    <row r="645" spans="1:16">
      <c r="A645" s="148">
        <v>43838</v>
      </c>
      <c r="B645" s="149">
        <v>565</v>
      </c>
      <c r="C645" s="150" t="str">
        <f>IF(ISNA(VLOOKUP(Tableau13[[#This Row],[Code machine]],'CODE mchn'!$A$4:$C$170,2,0)),"",VLOOKUP(Tableau13[[#This Row],[Code machine]],'CODE mchn'!$A$4:$C$170,2,0))</f>
        <v>Acier</v>
      </c>
      <c r="D645" s="36" t="str">
        <f>IF(ISNA(VLOOKUP(Tableau13[[#This Row],[Code machine]],'CODE mchn'!$A$4:$C$170,3,0)),"",VLOOKUP(Tableau13[[#This Row],[Code machine]],'CODE mchn'!$A$4:$C$170,3,0))</f>
        <v>EVG GE12</v>
      </c>
      <c r="E645" s="105"/>
      <c r="F645" s="67"/>
      <c r="G645" s="67" t="s">
        <v>869</v>
      </c>
      <c r="H645" s="67" t="s">
        <v>1299</v>
      </c>
      <c r="I645" s="67" t="s">
        <v>13</v>
      </c>
      <c r="J645" s="150" t="s">
        <v>1300</v>
      </c>
      <c r="K645" s="151">
        <v>43838</v>
      </c>
      <c r="L645" s="67"/>
      <c r="M645" s="152">
        <v>2</v>
      </c>
      <c r="N645" s="153">
        <f>MONTH(Tableau13[[#This Row],[Date fin intervention]])</f>
        <v>1</v>
      </c>
      <c r="O645" s="153">
        <f>YEAR(Tableau13[[#This Row],[Date fin intervention]])</f>
        <v>2020</v>
      </c>
      <c r="P645" s="67"/>
    </row>
    <row r="646" spans="1:16" ht="42.75">
      <c r="A646" s="148">
        <v>43838</v>
      </c>
      <c r="B646" s="149">
        <v>570</v>
      </c>
      <c r="C646" s="150" t="str">
        <f>IF(ISNA(VLOOKUP(Tableau13[[#This Row],[Code machine]],'CODE mchn'!$A$4:$C$170,2,0)),"",VLOOKUP(Tableau13[[#This Row],[Code machine]],'CODE mchn'!$A$4:$C$170,2,0))</f>
        <v>Acier</v>
      </c>
      <c r="D646" s="36" t="str">
        <f>IF(ISNA(VLOOKUP(Tableau13[[#This Row],[Code machine]],'CODE mchn'!$A$4:$C$170,3,0)),"",VLOOKUP(Tableau13[[#This Row],[Code machine]],'CODE mchn'!$A$4:$C$170,3,0))</f>
        <v>Sigmatic</v>
      </c>
      <c r="E646" s="105"/>
      <c r="F646" s="67"/>
      <c r="G646" s="67" t="s">
        <v>470</v>
      </c>
      <c r="H646" s="67" t="s">
        <v>1301</v>
      </c>
      <c r="I646" s="67" t="s">
        <v>13</v>
      </c>
      <c r="J646" s="150" t="s">
        <v>1302</v>
      </c>
      <c r="K646" s="151">
        <v>43879</v>
      </c>
      <c r="L646" s="36" t="s">
        <v>1323</v>
      </c>
      <c r="M646" s="152" t="s">
        <v>2259</v>
      </c>
      <c r="N646" s="153">
        <f>MONTH(Tableau13[[#This Row],[Date fin intervention]])</f>
        <v>2</v>
      </c>
      <c r="O646" s="153">
        <f>YEAR(Tableau13[[#This Row],[Date fin intervention]])</f>
        <v>2020</v>
      </c>
      <c r="P646" s="67"/>
    </row>
    <row r="647" spans="1:16">
      <c r="A647" s="148">
        <v>43839</v>
      </c>
      <c r="B647" s="149">
        <v>700</v>
      </c>
      <c r="C647" s="150" t="str">
        <f>IF(ISNA(VLOOKUP(Tableau13[[#This Row],[Code machine]],'CODE mchn'!$A$4:$C$170,2,0)),"",VLOOKUP(Tableau13[[#This Row],[Code machine]],'CODE mchn'!$A$4:$C$170,2,0))</f>
        <v>Béton</v>
      </c>
      <c r="D647" s="36" t="str">
        <f>IF(ISNA(VLOOKUP(Tableau13[[#This Row],[Code machine]],'CODE mchn'!$A$4:$C$170,3,0)),"",VLOOKUP(Tableau13[[#This Row],[Code machine]],'CODE mchn'!$A$4:$C$170,3,0))</f>
        <v>Poyatos 1</v>
      </c>
      <c r="E647" s="105"/>
      <c r="F647" s="67"/>
      <c r="G647" s="67" t="s">
        <v>43</v>
      </c>
      <c r="H647" s="67" t="s">
        <v>1289</v>
      </c>
      <c r="I647" s="67" t="s">
        <v>13</v>
      </c>
      <c r="J647" s="150" t="s">
        <v>1290</v>
      </c>
      <c r="K647" s="151">
        <v>43839</v>
      </c>
      <c r="L647" s="67"/>
      <c r="M647" s="127"/>
      <c r="N647" s="153">
        <f>MONTH(Tableau13[[#This Row],[Date fin intervention]])</f>
        <v>1</v>
      </c>
      <c r="O647" s="153">
        <f>YEAR(Tableau13[[#This Row],[Date fin intervention]])</f>
        <v>2020</v>
      </c>
      <c r="P647" s="67"/>
    </row>
    <row r="648" spans="1:16">
      <c r="A648" s="148">
        <v>43839</v>
      </c>
      <c r="B648" s="149">
        <v>700</v>
      </c>
      <c r="C648" s="150" t="str">
        <f>IF(ISNA(VLOOKUP(Tableau13[[#This Row],[Code machine]],'CODE mchn'!$A$4:$C$170,2,0)),"",VLOOKUP(Tableau13[[#This Row],[Code machine]],'CODE mchn'!$A$4:$C$170,2,0))</f>
        <v>Béton</v>
      </c>
      <c r="D648" s="36" t="str">
        <f>IF(ISNA(VLOOKUP(Tableau13[[#This Row],[Code machine]],'CODE mchn'!$A$4:$C$170,3,0)),"",VLOOKUP(Tableau13[[#This Row],[Code machine]],'CODE mchn'!$A$4:$C$170,3,0))</f>
        <v>Poyatos 1</v>
      </c>
      <c r="E648" s="105"/>
      <c r="F648" s="67"/>
      <c r="G648" s="67" t="s">
        <v>1291</v>
      </c>
      <c r="H648" s="67" t="s">
        <v>1292</v>
      </c>
      <c r="I648" s="67" t="s">
        <v>13</v>
      </c>
      <c r="J648" s="150" t="s">
        <v>1293</v>
      </c>
      <c r="K648" s="151">
        <v>43839</v>
      </c>
      <c r="L648" s="36" t="s">
        <v>1376</v>
      </c>
      <c r="M648" s="127"/>
      <c r="N648" s="153">
        <f>MONTH(Tableau13[[#This Row],[Date fin intervention]])</f>
        <v>1</v>
      </c>
      <c r="O648" s="153">
        <f>YEAR(Tableau13[[#This Row],[Date fin intervention]])</f>
        <v>2020</v>
      </c>
      <c r="P648" s="67"/>
    </row>
    <row r="649" spans="1:16">
      <c r="A649" s="148">
        <v>43839</v>
      </c>
      <c r="B649" s="149">
        <v>620</v>
      </c>
      <c r="C649" s="150" t="str">
        <f>IF(ISNA(VLOOKUP(Tableau13[[#This Row],[Code machine]],'CODE mchn'!$A$4:$C$170,2,0)),"",VLOOKUP(Tableau13[[#This Row],[Code machine]],'CODE mchn'!$A$4:$C$170,2,0))</f>
        <v>Acier</v>
      </c>
      <c r="D649" s="36" t="str">
        <f>IF(ISNA(VLOOKUP(Tableau13[[#This Row],[Code machine]],'CODE mchn'!$A$4:$C$170,3,0)),"",VLOOKUP(Tableau13[[#This Row],[Code machine]],'CODE mchn'!$A$4:$C$170,3,0))</f>
        <v>EVG PN 2</v>
      </c>
      <c r="E649" s="105"/>
      <c r="F649" s="67"/>
      <c r="G649" s="67" t="s">
        <v>470</v>
      </c>
      <c r="H649" s="67" t="s">
        <v>1224</v>
      </c>
      <c r="I649" s="67" t="s">
        <v>30</v>
      </c>
      <c r="J649" s="150" t="s">
        <v>1225</v>
      </c>
      <c r="K649" s="151">
        <v>43839</v>
      </c>
      <c r="L649" s="67"/>
      <c r="M649" s="127"/>
      <c r="N649" s="153">
        <f>MONTH(Tableau13[[#This Row],[Date fin intervention]])</f>
        <v>1</v>
      </c>
      <c r="O649" s="153">
        <f>YEAR(Tableau13[[#This Row],[Date fin intervention]])</f>
        <v>2020</v>
      </c>
      <c r="P649" s="67"/>
    </row>
    <row r="650" spans="1:16">
      <c r="A650" s="148">
        <v>43839</v>
      </c>
      <c r="B650" s="149">
        <v>582</v>
      </c>
      <c r="C650" s="150" t="str">
        <f>IF(ISNA(VLOOKUP(Tableau13[[#This Row],[Code machine]],'CODE mchn'!$A$4:$C$170,2,0)),"",VLOOKUP(Tableau13[[#This Row],[Code machine]],'CODE mchn'!$A$4:$C$170,2,0))</f>
        <v>Acier</v>
      </c>
      <c r="D650" s="36" t="str">
        <f>IF(ISNA(VLOOKUP(Tableau13[[#This Row],[Code machine]],'CODE mchn'!$A$4:$C$170,3,0)),"",VLOOKUP(Tableau13[[#This Row],[Code machine]],'CODE mchn'!$A$4:$C$170,3,0))</f>
        <v>Teurema 2</v>
      </c>
      <c r="E650" s="105"/>
      <c r="F650" s="67"/>
      <c r="G650" s="67" t="s">
        <v>78</v>
      </c>
      <c r="H650" s="67" t="s">
        <v>350</v>
      </c>
      <c r="I650" s="67" t="s">
        <v>13</v>
      </c>
      <c r="J650" s="150" t="s">
        <v>1303</v>
      </c>
      <c r="K650" s="151">
        <v>43839</v>
      </c>
      <c r="L650" s="67"/>
      <c r="M650" s="152">
        <v>2</v>
      </c>
      <c r="N650" s="153">
        <f>MONTH(Tableau13[[#This Row],[Date fin intervention]])</f>
        <v>1</v>
      </c>
      <c r="O650" s="153">
        <f>YEAR(Tableau13[[#This Row],[Date fin intervention]])</f>
        <v>2020</v>
      </c>
      <c r="P650" s="67"/>
    </row>
    <row r="651" spans="1:16">
      <c r="A651" s="148">
        <v>43839</v>
      </c>
      <c r="B651" s="149">
        <v>582</v>
      </c>
      <c r="C651" s="150" t="str">
        <f>IF(ISNA(VLOOKUP(Tableau13[[#This Row],[Code machine]],'CODE mchn'!$A$4:$C$170,2,0)),"",VLOOKUP(Tableau13[[#This Row],[Code machine]],'CODE mchn'!$A$4:$C$170,2,0))</f>
        <v>Acier</v>
      </c>
      <c r="D651" s="36" t="str">
        <f>IF(ISNA(VLOOKUP(Tableau13[[#This Row],[Code machine]],'CODE mchn'!$A$4:$C$170,3,0)),"",VLOOKUP(Tableau13[[#This Row],[Code machine]],'CODE mchn'!$A$4:$C$170,3,0))</f>
        <v>Teurema 2</v>
      </c>
      <c r="E651" s="105"/>
      <c r="F651" s="67"/>
      <c r="G651" s="67" t="s">
        <v>55</v>
      </c>
      <c r="H651" s="67" t="s">
        <v>439</v>
      </c>
      <c r="I651" s="67" t="s">
        <v>13</v>
      </c>
      <c r="J651" s="150" t="s">
        <v>1304</v>
      </c>
      <c r="K651" s="151">
        <v>43839</v>
      </c>
      <c r="L651" s="67"/>
      <c r="M651" s="127"/>
      <c r="N651" s="153">
        <f>MONTH(Tableau13[[#This Row],[Date fin intervention]])</f>
        <v>1</v>
      </c>
      <c r="O651" s="153">
        <f>YEAR(Tableau13[[#This Row],[Date fin intervention]])</f>
        <v>2020</v>
      </c>
      <c r="P651" s="67"/>
    </row>
    <row r="652" spans="1:16">
      <c r="A652" s="104">
        <v>43840</v>
      </c>
      <c r="B652" s="105">
        <v>800</v>
      </c>
      <c r="C652" s="106" t="str">
        <f>IF(ISNA(VLOOKUP(Tableau13[[#This Row],[Code machine]],'CODE mchn'!$A$4:$C$170,2,0)),"",VLOOKUP(Tableau13[[#This Row],[Code machine]],'CODE mchn'!$A$4:$C$170,2,0))</f>
        <v>Béton</v>
      </c>
      <c r="D652" s="36" t="str">
        <f>IF(ISNA(VLOOKUP(Tableau13[[#This Row],[Code machine]],'CODE mchn'!$A$4:$C$170,3,0)),"",VLOOKUP(Tableau13[[#This Row],[Code machine]],'CODE mchn'!$A$4:$C$170,3,0))</f>
        <v>Poyatos 2</v>
      </c>
      <c r="E652" s="105"/>
      <c r="F652" s="36"/>
      <c r="G652" s="36" t="s">
        <v>1307</v>
      </c>
      <c r="H652" s="36" t="s">
        <v>1308</v>
      </c>
      <c r="I652" s="36" t="s">
        <v>13</v>
      </c>
      <c r="J652" s="106" t="s">
        <v>1309</v>
      </c>
      <c r="K652" s="71">
        <v>43840</v>
      </c>
      <c r="L652" s="36"/>
      <c r="M652" s="141">
        <v>1</v>
      </c>
      <c r="N652" s="108">
        <f>MONTH(Tableau13[[#This Row],[Date fin intervention]])</f>
        <v>1</v>
      </c>
      <c r="O652" s="108">
        <f>YEAR(Tableau13[[#This Row],[Date fin intervention]])</f>
        <v>2020</v>
      </c>
      <c r="P652" s="36"/>
    </row>
    <row r="653" spans="1:16" ht="28.5">
      <c r="A653" s="104">
        <v>43842</v>
      </c>
      <c r="B653" s="105">
        <v>700</v>
      </c>
      <c r="C653" s="106" t="str">
        <f>IF(ISNA(VLOOKUP(Tableau13[[#This Row],[Code machine]],'CODE mchn'!$A$4:$C$170,2,0)),"",VLOOKUP(Tableau13[[#This Row],[Code machine]],'CODE mchn'!$A$4:$C$170,2,0))</f>
        <v>Béton</v>
      </c>
      <c r="D653" s="36" t="str">
        <f>IF(ISNA(VLOOKUP(Tableau13[[#This Row],[Code machine]],'CODE mchn'!$A$4:$C$170,3,0)),"",VLOOKUP(Tableau13[[#This Row],[Code machine]],'CODE mchn'!$A$4:$C$170,3,0))</f>
        <v>Poyatos 1</v>
      </c>
      <c r="E653" s="105"/>
      <c r="F653" s="36"/>
      <c r="G653" s="36" t="s">
        <v>52</v>
      </c>
      <c r="H653" s="36" t="s">
        <v>1310</v>
      </c>
      <c r="I653" s="36" t="s">
        <v>13</v>
      </c>
      <c r="J653" s="106" t="s">
        <v>1311</v>
      </c>
      <c r="K653" s="71">
        <v>43842</v>
      </c>
      <c r="L653" s="36"/>
      <c r="M653" s="141">
        <v>40</v>
      </c>
      <c r="N653" s="108">
        <f>MONTH(Tableau13[[#This Row],[Date fin intervention]])</f>
        <v>1</v>
      </c>
      <c r="O653" s="108">
        <f>YEAR(Tableau13[[#This Row],[Date fin intervention]])</f>
        <v>2020</v>
      </c>
      <c r="P653" s="36"/>
    </row>
    <row r="654" spans="1:16">
      <c r="A654" s="148">
        <v>43843</v>
      </c>
      <c r="B654" s="149">
        <v>565</v>
      </c>
      <c r="C654" s="150" t="str">
        <f>IF(ISNA(VLOOKUP(Tableau13[[#This Row],[Code machine]],'CODE mchn'!$A$4:$C$170,2,0)),"",VLOOKUP(Tableau13[[#This Row],[Code machine]],'CODE mchn'!$A$4:$C$170,2,0))</f>
        <v>Acier</v>
      </c>
      <c r="D654" s="36" t="str">
        <f>IF(ISNA(VLOOKUP(Tableau13[[#This Row],[Code machine]],'CODE mchn'!$A$4:$C$170,3,0)),"",VLOOKUP(Tableau13[[#This Row],[Code machine]],'CODE mchn'!$A$4:$C$170,3,0))</f>
        <v>EVG GE12</v>
      </c>
      <c r="E654" s="105"/>
      <c r="F654" s="67"/>
      <c r="G654" s="67" t="s">
        <v>104</v>
      </c>
      <c r="H654" s="67" t="s">
        <v>1164</v>
      </c>
      <c r="I654" s="67" t="s">
        <v>13</v>
      </c>
      <c r="J654" s="150" t="s">
        <v>1305</v>
      </c>
      <c r="K654" s="151">
        <v>43843</v>
      </c>
      <c r="L654" s="67"/>
      <c r="M654" s="152">
        <v>45</v>
      </c>
      <c r="N654" s="153">
        <f>MONTH(Tableau13[[#This Row],[Date fin intervention]])</f>
        <v>1</v>
      </c>
      <c r="O654" s="153">
        <f>YEAR(Tableau13[[#This Row],[Date fin intervention]])</f>
        <v>2020</v>
      </c>
      <c r="P654" s="67"/>
    </row>
    <row r="655" spans="1:16" ht="42.75">
      <c r="A655" s="148">
        <v>43843</v>
      </c>
      <c r="B655" s="149">
        <v>560</v>
      </c>
      <c r="C655" s="150" t="str">
        <f>IF(ISNA(VLOOKUP(Tableau13[[#This Row],[Code machine]],'CODE mchn'!$A$4:$C$170,2,0)),"",VLOOKUP(Tableau13[[#This Row],[Code machine]],'CODE mchn'!$A$4:$C$170,2,0))</f>
        <v>Acier</v>
      </c>
      <c r="D655" s="36" t="str">
        <f>IF(ISNA(VLOOKUP(Tableau13[[#This Row],[Code machine]],'CODE mchn'!$A$4:$C$170,3,0)),"",VLOOKUP(Tableau13[[#This Row],[Code machine]],'CODE mchn'!$A$4:$C$170,3,0))</f>
        <v>Schlatter</v>
      </c>
      <c r="E655" s="105"/>
      <c r="F655" s="67"/>
      <c r="G655" s="67" t="s">
        <v>758</v>
      </c>
      <c r="H655" s="67" t="s">
        <v>1306</v>
      </c>
      <c r="I655" s="67" t="s">
        <v>13</v>
      </c>
      <c r="J655" s="106" t="s">
        <v>1505</v>
      </c>
      <c r="K655" s="151">
        <v>43900</v>
      </c>
      <c r="L655" s="36" t="s">
        <v>1506</v>
      </c>
      <c r="M655" s="152" t="s">
        <v>2259</v>
      </c>
      <c r="N655" s="153">
        <f>MONTH(Tableau13[[#This Row],[Date fin intervention]])</f>
        <v>3</v>
      </c>
      <c r="O655" s="153">
        <f>YEAR(Tableau13[[#This Row],[Date fin intervention]])</f>
        <v>2020</v>
      </c>
      <c r="P655" s="67"/>
    </row>
    <row r="656" spans="1:16" ht="28.5">
      <c r="A656" s="104">
        <v>43843</v>
      </c>
      <c r="B656" s="105">
        <v>502</v>
      </c>
      <c r="C656" s="106" t="str">
        <f>IF(ISNA(VLOOKUP(Tableau13[[#This Row],[Code machine]],'CODE mchn'!$A$4:$C$170,2,0)),"",VLOOKUP(Tableau13[[#This Row],[Code machine]],'CODE mchn'!$A$4:$C$170,2,0))</f>
        <v>Ponts roulants</v>
      </c>
      <c r="D656" s="36" t="str">
        <f>IF(ISNA(VLOOKUP(Tableau13[[#This Row],[Code machine]],'CODE mchn'!$A$4:$C$170,3,0)),"",VLOOKUP(Tableau13[[#This Row],[Code machine]],'CODE mchn'!$A$4:$C$170,3,0))</f>
        <v xml:space="preserve">PONT ROULANT Enrobage </v>
      </c>
      <c r="E656" s="105"/>
      <c r="F656" s="36"/>
      <c r="G656" s="36" t="s">
        <v>667</v>
      </c>
      <c r="H656" s="36" t="s">
        <v>1312</v>
      </c>
      <c r="I656" s="36" t="s">
        <v>13</v>
      </c>
      <c r="J656" s="106" t="s">
        <v>1313</v>
      </c>
      <c r="K656" s="71">
        <v>43843</v>
      </c>
      <c r="L656" s="36"/>
      <c r="M656" s="141">
        <v>1</v>
      </c>
      <c r="N656" s="108">
        <f>MONTH(Tableau13[[#This Row],[Date fin intervention]])</f>
        <v>1</v>
      </c>
      <c r="O656" s="108">
        <f>YEAR(Tableau13[[#This Row],[Date fin intervention]])</f>
        <v>2020</v>
      </c>
      <c r="P656" s="36"/>
    </row>
    <row r="657" spans="1:16">
      <c r="A657" s="104">
        <v>43843</v>
      </c>
      <c r="B657" s="105">
        <v>606</v>
      </c>
      <c r="C657" s="106" t="str">
        <f>IF(ISNA(VLOOKUP(Tableau13[[#This Row],[Code machine]],'CODE mchn'!$A$4:$C$170,2,0)),"",VLOOKUP(Tableau13[[#This Row],[Code machine]],'CODE mchn'!$A$4:$C$170,2,0))</f>
        <v>Acier</v>
      </c>
      <c r="D657" s="36" t="str">
        <f>IF(ISNA(VLOOKUP(Tableau13[[#This Row],[Code machine]],'CODE mchn'!$A$4:$C$170,3,0)),"",VLOOKUP(Tableau13[[#This Row],[Code machine]],'CODE mchn'!$A$4:$C$170,3,0))</f>
        <v>Vitari 2</v>
      </c>
      <c r="E657" s="105"/>
      <c r="F657" s="36"/>
      <c r="G657" s="36" t="s">
        <v>664</v>
      </c>
      <c r="H657" s="36" t="s">
        <v>1330</v>
      </c>
      <c r="I657" s="36" t="s">
        <v>13</v>
      </c>
      <c r="J657" s="106" t="s">
        <v>545</v>
      </c>
      <c r="K657" s="71">
        <v>43843</v>
      </c>
      <c r="L657" s="36"/>
      <c r="M657" s="141">
        <v>1</v>
      </c>
      <c r="N657" s="108">
        <f>MONTH(Tableau13[[#This Row],[Date fin intervention]])</f>
        <v>1</v>
      </c>
      <c r="O657" s="108">
        <f>YEAR(Tableau13[[#This Row],[Date fin intervention]])</f>
        <v>2020</v>
      </c>
      <c r="P657" s="36"/>
    </row>
    <row r="658" spans="1:16">
      <c r="A658" s="104">
        <v>43843</v>
      </c>
      <c r="B658" s="105">
        <v>560</v>
      </c>
      <c r="C658" s="106" t="str">
        <f>IF(ISNA(VLOOKUP(Tableau13[[#This Row],[Code machine]],'CODE mchn'!$A$4:$C$170,2,0)),"",VLOOKUP(Tableau13[[#This Row],[Code machine]],'CODE mchn'!$A$4:$C$170,2,0))</f>
        <v>Acier</v>
      </c>
      <c r="D658" s="36" t="str">
        <f>IF(ISNA(VLOOKUP(Tableau13[[#This Row],[Code machine]],'CODE mchn'!$A$4:$C$170,3,0)),"",VLOOKUP(Tableau13[[#This Row],[Code machine]],'CODE mchn'!$A$4:$C$170,3,0))</f>
        <v>Schlatter</v>
      </c>
      <c r="E658" s="105"/>
      <c r="F658" s="36"/>
      <c r="G658" s="36" t="s">
        <v>75</v>
      </c>
      <c r="H658" s="36" t="s">
        <v>1331</v>
      </c>
      <c r="I658" s="36" t="s">
        <v>13</v>
      </c>
      <c r="J658" s="106" t="s">
        <v>1332</v>
      </c>
      <c r="K658" s="71">
        <v>43843</v>
      </c>
      <c r="L658" s="36"/>
      <c r="M658" s="141">
        <v>1</v>
      </c>
      <c r="N658" s="108">
        <f>MONTH(Tableau13[[#This Row],[Date fin intervention]])</f>
        <v>1</v>
      </c>
      <c r="O658" s="108">
        <f>YEAR(Tableau13[[#This Row],[Date fin intervention]])</f>
        <v>2020</v>
      </c>
      <c r="P658" s="36"/>
    </row>
    <row r="659" spans="1:16" ht="28.5">
      <c r="A659" s="104">
        <v>43844</v>
      </c>
      <c r="B659" s="105">
        <v>800</v>
      </c>
      <c r="C659" s="106" t="str">
        <f>IF(ISNA(VLOOKUP(Tableau13[[#This Row],[Code machine]],'CODE mchn'!$A$4:$C$170,2,0)),"",VLOOKUP(Tableau13[[#This Row],[Code machine]],'CODE mchn'!$A$4:$C$170,2,0))</f>
        <v>Béton</v>
      </c>
      <c r="D659" s="36" t="str">
        <f>IF(ISNA(VLOOKUP(Tableau13[[#This Row],[Code machine]],'CODE mchn'!$A$4:$C$170,3,0)),"",VLOOKUP(Tableau13[[#This Row],[Code machine]],'CODE mchn'!$A$4:$C$170,3,0))</f>
        <v>Poyatos 2</v>
      </c>
      <c r="E659" s="105"/>
      <c r="F659" s="36"/>
      <c r="G659" s="36" t="s">
        <v>185</v>
      </c>
      <c r="H659" s="36" t="s">
        <v>1314</v>
      </c>
      <c r="I659" s="36" t="s">
        <v>13</v>
      </c>
      <c r="J659" s="106" t="s">
        <v>794</v>
      </c>
      <c r="K659" s="71">
        <v>43844</v>
      </c>
      <c r="L659" s="36" t="s">
        <v>1377</v>
      </c>
      <c r="M659" s="141">
        <v>2</v>
      </c>
      <c r="N659" s="108">
        <f>MONTH(Tableau13[[#This Row],[Date fin intervention]])</f>
        <v>1</v>
      </c>
      <c r="O659" s="108">
        <f>YEAR(Tableau13[[#This Row],[Date fin intervention]])</f>
        <v>2020</v>
      </c>
      <c r="P659" s="36"/>
    </row>
    <row r="660" spans="1:16">
      <c r="A660" s="104">
        <v>43844</v>
      </c>
      <c r="B660" s="105">
        <v>700</v>
      </c>
      <c r="C660" s="106" t="str">
        <f>IF(ISNA(VLOOKUP(Tableau13[[#This Row],[Code machine]],'CODE mchn'!$A$4:$C$170,2,0)),"",VLOOKUP(Tableau13[[#This Row],[Code machine]],'CODE mchn'!$A$4:$C$170,2,0))</f>
        <v>Béton</v>
      </c>
      <c r="D660" s="36" t="str">
        <f>IF(ISNA(VLOOKUP(Tableau13[[#This Row],[Code machine]],'CODE mchn'!$A$4:$C$170,3,0)),"",VLOOKUP(Tableau13[[#This Row],[Code machine]],'CODE mchn'!$A$4:$C$170,3,0))</f>
        <v>Poyatos 1</v>
      </c>
      <c r="E660" s="105"/>
      <c r="F660" s="36"/>
      <c r="G660" s="36" t="s">
        <v>43</v>
      </c>
      <c r="H660" s="36" t="s">
        <v>1315</v>
      </c>
      <c r="I660" s="36" t="s">
        <v>13</v>
      </c>
      <c r="J660" s="106" t="s">
        <v>1316</v>
      </c>
      <c r="K660" s="71">
        <v>43844</v>
      </c>
      <c r="L660" s="36"/>
      <c r="M660" s="141">
        <v>1</v>
      </c>
      <c r="N660" s="108">
        <f>MONTH(Tableau13[[#This Row],[Date fin intervention]])</f>
        <v>1</v>
      </c>
      <c r="O660" s="108">
        <f>YEAR(Tableau13[[#This Row],[Date fin intervention]])</f>
        <v>2020</v>
      </c>
      <c r="P660" s="36"/>
    </row>
    <row r="661" spans="1:16">
      <c r="A661" s="104">
        <v>43844</v>
      </c>
      <c r="B661" s="105">
        <v>700</v>
      </c>
      <c r="C661" s="106" t="str">
        <f>IF(ISNA(VLOOKUP(Tableau13[[#This Row],[Code machine]],'CODE mchn'!$A$4:$C$170,2,0)),"",VLOOKUP(Tableau13[[#This Row],[Code machine]],'CODE mchn'!$A$4:$C$170,2,0))</f>
        <v>Béton</v>
      </c>
      <c r="D661" s="36" t="str">
        <f>IF(ISNA(VLOOKUP(Tableau13[[#This Row],[Code machine]],'CODE mchn'!$A$4:$C$170,3,0)),"",VLOOKUP(Tableau13[[#This Row],[Code machine]],'CODE mchn'!$A$4:$C$170,3,0))</f>
        <v>Poyatos 1</v>
      </c>
      <c r="E661" s="105"/>
      <c r="F661" s="36"/>
      <c r="G661" s="36" t="s">
        <v>46</v>
      </c>
      <c r="H661" s="36" t="s">
        <v>1317</v>
      </c>
      <c r="I661" s="36" t="s">
        <v>13</v>
      </c>
      <c r="J661" s="106" t="s">
        <v>1318</v>
      </c>
      <c r="K661" s="71">
        <v>43844</v>
      </c>
      <c r="L661" s="36"/>
      <c r="M661" s="127"/>
      <c r="N661" s="108">
        <f>MONTH(Tableau13[[#This Row],[Date fin intervention]])</f>
        <v>1</v>
      </c>
      <c r="O661" s="108">
        <f>YEAR(Tableau13[[#This Row],[Date fin intervention]])</f>
        <v>2020</v>
      </c>
      <c r="P661" s="36"/>
    </row>
    <row r="662" spans="1:16" ht="28.5">
      <c r="A662" s="104">
        <v>43844</v>
      </c>
      <c r="B662" s="105">
        <v>560</v>
      </c>
      <c r="C662" s="106" t="str">
        <f>IF(ISNA(VLOOKUP(Tableau13[[#This Row],[Code machine]],'CODE mchn'!$A$4:$C$170,2,0)),"",VLOOKUP(Tableau13[[#This Row],[Code machine]],'CODE mchn'!$A$4:$C$170,2,0))</f>
        <v>Acier</v>
      </c>
      <c r="D662" s="36" t="str">
        <f>IF(ISNA(VLOOKUP(Tableau13[[#This Row],[Code machine]],'CODE mchn'!$A$4:$C$170,3,0)),"",VLOOKUP(Tableau13[[#This Row],[Code machine]],'CODE mchn'!$A$4:$C$170,3,0))</f>
        <v>Schlatter</v>
      </c>
      <c r="E662" s="105"/>
      <c r="F662" s="36"/>
      <c r="G662" s="36" t="s">
        <v>1333</v>
      </c>
      <c r="H662" s="36" t="s">
        <v>1334</v>
      </c>
      <c r="I662" s="36" t="s">
        <v>13</v>
      </c>
      <c r="J662" s="106" t="s">
        <v>1335</v>
      </c>
      <c r="K662" s="71">
        <v>43844</v>
      </c>
      <c r="L662" s="36"/>
      <c r="M662" s="141">
        <v>2</v>
      </c>
      <c r="N662" s="108">
        <f>MONTH(Tableau13[[#This Row],[Date fin intervention]])</f>
        <v>1</v>
      </c>
      <c r="O662" s="108">
        <f>YEAR(Tableau13[[#This Row],[Date fin intervention]])</f>
        <v>2020</v>
      </c>
      <c r="P662" s="36"/>
    </row>
    <row r="663" spans="1:16">
      <c r="A663" s="104">
        <v>43844</v>
      </c>
      <c r="B663" s="105">
        <v>605</v>
      </c>
      <c r="C663" s="106" t="str">
        <f>IF(ISNA(VLOOKUP(Tableau13[[#This Row],[Code machine]],'CODE mchn'!$A$4:$C$170,2,0)),"",VLOOKUP(Tableau13[[#This Row],[Code machine]],'CODE mchn'!$A$4:$C$170,2,0))</f>
        <v>Acier</v>
      </c>
      <c r="D663" s="36" t="str">
        <f>IF(ISNA(VLOOKUP(Tableau13[[#This Row],[Code machine]],'CODE mchn'!$A$4:$C$170,3,0)),"",VLOOKUP(Tableau13[[#This Row],[Code machine]],'CODE mchn'!$A$4:$C$170,3,0))</f>
        <v>Vitari 1</v>
      </c>
      <c r="E663" s="105"/>
      <c r="F663" s="36"/>
      <c r="G663" s="36" t="s">
        <v>78</v>
      </c>
      <c r="H663" s="36" t="s">
        <v>1336</v>
      </c>
      <c r="I663" s="36" t="s">
        <v>13</v>
      </c>
      <c r="J663" s="106" t="s">
        <v>1337</v>
      </c>
      <c r="K663" s="71">
        <v>43844</v>
      </c>
      <c r="L663" s="36"/>
      <c r="M663" s="141">
        <v>1</v>
      </c>
      <c r="N663" s="108">
        <f>MONTH(Tableau13[[#This Row],[Date fin intervention]])</f>
        <v>1</v>
      </c>
      <c r="O663" s="108">
        <f>YEAR(Tableau13[[#This Row],[Date fin intervention]])</f>
        <v>2020</v>
      </c>
      <c r="P663" s="36"/>
    </row>
    <row r="664" spans="1:16" ht="28.5">
      <c r="A664" s="104">
        <v>43844</v>
      </c>
      <c r="B664" s="105">
        <v>583</v>
      </c>
      <c r="C664" s="106" t="str">
        <f>IF(ISNA(VLOOKUP(Tableau13[[#This Row],[Code machine]],'CODE mchn'!$A$4:$C$170,2,0)),"",VLOOKUP(Tableau13[[#This Row],[Code machine]],'CODE mchn'!$A$4:$C$170,2,0))</f>
        <v>Ponts roulants</v>
      </c>
      <c r="D664" s="36" t="str">
        <f>IF(ISNA(VLOOKUP(Tableau13[[#This Row],[Code machine]],'CODE mchn'!$A$4:$C$170,3,0)),"",VLOOKUP(Tableau13[[#This Row],[Code machine]],'CODE mchn'!$A$4:$C$170,3,0))</f>
        <v>Pont roulant Abus 5T (teurema1)</v>
      </c>
      <c r="E664" s="105"/>
      <c r="F664" s="36"/>
      <c r="G664" s="36" t="s">
        <v>1338</v>
      </c>
      <c r="H664" s="36" t="s">
        <v>1339</v>
      </c>
      <c r="I664" s="36" t="s">
        <v>13</v>
      </c>
      <c r="J664" s="106" t="s">
        <v>1340</v>
      </c>
      <c r="K664" s="71">
        <v>43844</v>
      </c>
      <c r="L664" s="36"/>
      <c r="M664" s="127"/>
      <c r="N664" s="108">
        <f>MONTH(Tableau13[[#This Row],[Date fin intervention]])</f>
        <v>1</v>
      </c>
      <c r="O664" s="108">
        <f>YEAR(Tableau13[[#This Row],[Date fin intervention]])</f>
        <v>2020</v>
      </c>
      <c r="P664" s="36"/>
    </row>
    <row r="665" spans="1:16">
      <c r="A665" s="104">
        <v>43844</v>
      </c>
      <c r="B665" s="105">
        <v>565</v>
      </c>
      <c r="C665" s="106" t="str">
        <f>IF(ISNA(VLOOKUP(Tableau13[[#This Row],[Code machine]],'CODE mchn'!$A$4:$C$170,2,0)),"",VLOOKUP(Tableau13[[#This Row],[Code machine]],'CODE mchn'!$A$4:$C$170,2,0))</f>
        <v>Acier</v>
      </c>
      <c r="D665" s="36" t="str">
        <f>IF(ISNA(VLOOKUP(Tableau13[[#This Row],[Code machine]],'CODE mchn'!$A$4:$C$170,3,0)),"",VLOOKUP(Tableau13[[#This Row],[Code machine]],'CODE mchn'!$A$4:$C$170,3,0))</f>
        <v>EVG GE12</v>
      </c>
      <c r="E665" s="105"/>
      <c r="F665" s="36"/>
      <c r="G665" s="36" t="s">
        <v>104</v>
      </c>
      <c r="H665" s="36" t="s">
        <v>1341</v>
      </c>
      <c r="I665" s="36" t="s">
        <v>13</v>
      </c>
      <c r="J665" s="106" t="s">
        <v>1342</v>
      </c>
      <c r="K665" s="71">
        <v>43844</v>
      </c>
      <c r="L665" s="36"/>
      <c r="M665" s="141">
        <v>3</v>
      </c>
      <c r="N665" s="108">
        <f>MONTH(Tableau13[[#This Row],[Date fin intervention]])</f>
        <v>1</v>
      </c>
      <c r="O665" s="108">
        <f>YEAR(Tableau13[[#This Row],[Date fin intervention]])</f>
        <v>2020</v>
      </c>
      <c r="P665" s="36"/>
    </row>
    <row r="666" spans="1:16">
      <c r="A666" s="104">
        <v>43844</v>
      </c>
      <c r="B666" s="105">
        <v>565</v>
      </c>
      <c r="C666" s="106" t="str">
        <f>IF(ISNA(VLOOKUP(Tableau13[[#This Row],[Code machine]],'CODE mchn'!$A$4:$C$170,2,0)),"",VLOOKUP(Tableau13[[#This Row],[Code machine]],'CODE mchn'!$A$4:$C$170,2,0))</f>
        <v>Acier</v>
      </c>
      <c r="D666" s="36" t="str">
        <f>IF(ISNA(VLOOKUP(Tableau13[[#This Row],[Code machine]],'CODE mchn'!$A$4:$C$170,3,0)),"",VLOOKUP(Tableau13[[#This Row],[Code machine]],'CODE mchn'!$A$4:$C$170,3,0))</f>
        <v>EVG GE12</v>
      </c>
      <c r="E666" s="105"/>
      <c r="F666" s="36"/>
      <c r="G666" s="36" t="s">
        <v>97</v>
      </c>
      <c r="H666" s="36" t="s">
        <v>1343</v>
      </c>
      <c r="I666" s="36" t="s">
        <v>13</v>
      </c>
      <c r="J666" s="106" t="s">
        <v>1344</v>
      </c>
      <c r="K666" s="71">
        <v>43844</v>
      </c>
      <c r="L666" s="36"/>
      <c r="M666" s="141">
        <v>40</v>
      </c>
      <c r="N666" s="108">
        <f>MONTH(Tableau13[[#This Row],[Date fin intervention]])</f>
        <v>1</v>
      </c>
      <c r="O666" s="108">
        <f>YEAR(Tableau13[[#This Row],[Date fin intervention]])</f>
        <v>2020</v>
      </c>
      <c r="P666" s="36"/>
    </row>
    <row r="667" spans="1:16">
      <c r="A667" s="104">
        <v>43845</v>
      </c>
      <c r="B667" s="105">
        <v>800</v>
      </c>
      <c r="C667" s="106" t="str">
        <f>IF(ISNA(VLOOKUP(Tableau13[[#This Row],[Code machine]],'CODE mchn'!$A$4:$C$170,2,0)),"",VLOOKUP(Tableau13[[#This Row],[Code machine]],'CODE mchn'!$A$4:$C$170,2,0))</f>
        <v>Béton</v>
      </c>
      <c r="D667" s="36" t="str">
        <f>IF(ISNA(VLOOKUP(Tableau13[[#This Row],[Code machine]],'CODE mchn'!$A$4:$C$170,3,0)),"",VLOOKUP(Tableau13[[#This Row],[Code machine]],'CODE mchn'!$A$4:$C$170,3,0))</f>
        <v>Poyatos 2</v>
      </c>
      <c r="E667" s="105"/>
      <c r="F667" s="36"/>
      <c r="G667" s="36" t="s">
        <v>394</v>
      </c>
      <c r="H667" s="36" t="s">
        <v>1319</v>
      </c>
      <c r="I667" s="36" t="s">
        <v>13</v>
      </c>
      <c r="J667" s="106" t="s">
        <v>1320</v>
      </c>
      <c r="K667" s="71">
        <v>43845</v>
      </c>
      <c r="L667" s="36"/>
      <c r="M667" s="141">
        <v>30</v>
      </c>
      <c r="N667" s="108">
        <f>MONTH(Tableau13[[#This Row],[Date fin intervention]])</f>
        <v>1</v>
      </c>
      <c r="O667" s="108">
        <f>YEAR(Tableau13[[#This Row],[Date fin intervention]])</f>
        <v>2020</v>
      </c>
      <c r="P667" s="36"/>
    </row>
    <row r="668" spans="1:16">
      <c r="A668" s="104">
        <v>43845</v>
      </c>
      <c r="B668" s="105">
        <v>620</v>
      </c>
      <c r="C668" s="106" t="str">
        <f>IF(ISNA(VLOOKUP(Tableau13[[#This Row],[Code machine]],'CODE mchn'!$A$4:$C$170,2,0)),"",VLOOKUP(Tableau13[[#This Row],[Code machine]],'CODE mchn'!$A$4:$C$170,2,0))</f>
        <v>Acier</v>
      </c>
      <c r="D668" s="36" t="str">
        <f>IF(ISNA(VLOOKUP(Tableau13[[#This Row],[Code machine]],'CODE mchn'!$A$4:$C$170,3,0)),"",VLOOKUP(Tableau13[[#This Row],[Code machine]],'CODE mchn'!$A$4:$C$170,3,0))</f>
        <v>EVG PN 2</v>
      </c>
      <c r="E668" s="105"/>
      <c r="F668" s="36"/>
      <c r="G668" s="36" t="s">
        <v>470</v>
      </c>
      <c r="H668" s="36" t="s">
        <v>1345</v>
      </c>
      <c r="I668" s="36" t="s">
        <v>13</v>
      </c>
      <c r="J668" s="106" t="s">
        <v>1346</v>
      </c>
      <c r="K668" s="71">
        <v>43845</v>
      </c>
      <c r="L668" s="36"/>
      <c r="M668" s="141">
        <v>3</v>
      </c>
      <c r="N668" s="108">
        <f>MONTH(Tableau13[[#This Row],[Date fin intervention]])</f>
        <v>1</v>
      </c>
      <c r="O668" s="108">
        <f>YEAR(Tableau13[[#This Row],[Date fin intervention]])</f>
        <v>2020</v>
      </c>
      <c r="P668" s="36"/>
    </row>
    <row r="669" spans="1:16">
      <c r="A669" s="104">
        <v>43846</v>
      </c>
      <c r="B669" s="105">
        <v>700</v>
      </c>
      <c r="C669" s="106" t="str">
        <f>IF(ISNA(VLOOKUP(Tableau13[[#This Row],[Code machine]],'CODE mchn'!$A$4:$C$170,2,0)),"",VLOOKUP(Tableau13[[#This Row],[Code machine]],'CODE mchn'!$A$4:$C$170,2,0))</f>
        <v>Béton</v>
      </c>
      <c r="D669" s="36" t="str">
        <f>IF(ISNA(VLOOKUP(Tableau13[[#This Row],[Code machine]],'CODE mchn'!$A$4:$C$170,3,0)),"",VLOOKUP(Tableau13[[#This Row],[Code machine]],'CODE mchn'!$A$4:$C$170,3,0))</f>
        <v>Poyatos 1</v>
      </c>
      <c r="E669" s="105"/>
      <c r="F669" s="36"/>
      <c r="G669" s="36" t="s">
        <v>118</v>
      </c>
      <c r="H669" s="36" t="s">
        <v>1321</v>
      </c>
      <c r="I669" s="36" t="s">
        <v>13</v>
      </c>
      <c r="J669" s="106" t="s">
        <v>1322</v>
      </c>
      <c r="K669" s="71">
        <v>43846</v>
      </c>
      <c r="L669" s="36"/>
      <c r="M669" s="141">
        <v>40</v>
      </c>
      <c r="N669" s="108">
        <f>MONTH(Tableau13[[#This Row],[Date fin intervention]])</f>
        <v>1</v>
      </c>
      <c r="O669" s="108">
        <f>YEAR(Tableau13[[#This Row],[Date fin intervention]])</f>
        <v>2020</v>
      </c>
      <c r="P669" s="36"/>
    </row>
    <row r="670" spans="1:16">
      <c r="A670" s="104">
        <v>43846</v>
      </c>
      <c r="B670" s="105">
        <v>800</v>
      </c>
      <c r="C670" s="106" t="str">
        <f>IF(ISNA(VLOOKUP(Tableau13[[#This Row],[Code machine]],'CODE mchn'!$A$4:$C$170,2,0)),"",VLOOKUP(Tableau13[[#This Row],[Code machine]],'CODE mchn'!$A$4:$C$170,2,0))</f>
        <v>Béton</v>
      </c>
      <c r="D670" s="36" t="str">
        <f>IF(ISNA(VLOOKUP(Tableau13[[#This Row],[Code machine]],'CODE mchn'!$A$4:$C$170,3,0)),"",VLOOKUP(Tableau13[[#This Row],[Code machine]],'CODE mchn'!$A$4:$C$170,3,0))</f>
        <v>Poyatos 2</v>
      </c>
      <c r="E670" s="105"/>
      <c r="F670" s="36"/>
      <c r="G670" s="36" t="s">
        <v>20</v>
      </c>
      <c r="H670" s="36" t="s">
        <v>1324</v>
      </c>
      <c r="I670" s="36" t="s">
        <v>13</v>
      </c>
      <c r="J670" s="106" t="s">
        <v>1325</v>
      </c>
      <c r="K670" s="71">
        <v>43846</v>
      </c>
      <c r="L670" s="36"/>
      <c r="M670" s="127"/>
      <c r="N670" s="108">
        <f>MONTH(Tableau13[[#This Row],[Date fin intervention]])</f>
        <v>1</v>
      </c>
      <c r="O670" s="108">
        <f>YEAR(Tableau13[[#This Row],[Date fin intervention]])</f>
        <v>2020</v>
      </c>
      <c r="P670" s="36"/>
    </row>
    <row r="671" spans="1:16">
      <c r="A671" s="104">
        <v>43846</v>
      </c>
      <c r="B671" s="105">
        <v>582</v>
      </c>
      <c r="C671" s="106" t="str">
        <f>IF(ISNA(VLOOKUP(Tableau13[[#This Row],[Code machine]],'CODE mchn'!$A$4:$C$170,2,0)),"",VLOOKUP(Tableau13[[#This Row],[Code machine]],'CODE mchn'!$A$4:$C$170,2,0))</f>
        <v>Acier</v>
      </c>
      <c r="D671" s="36" t="str">
        <f>IF(ISNA(VLOOKUP(Tableau13[[#This Row],[Code machine]],'CODE mchn'!$A$4:$C$170,3,0)),"",VLOOKUP(Tableau13[[#This Row],[Code machine]],'CODE mchn'!$A$4:$C$170,3,0))</f>
        <v>Teurema 2</v>
      </c>
      <c r="E671" s="105"/>
      <c r="F671" s="36"/>
      <c r="G671" s="36" t="s">
        <v>1347</v>
      </c>
      <c r="H671" s="36" t="s">
        <v>1348</v>
      </c>
      <c r="I671" s="36" t="s">
        <v>13</v>
      </c>
      <c r="J671" s="106" t="s">
        <v>1349</v>
      </c>
      <c r="K671" s="71">
        <v>43846</v>
      </c>
      <c r="L671" s="36"/>
      <c r="M671" s="141">
        <v>2</v>
      </c>
      <c r="N671" s="108">
        <f>MONTH(Tableau13[[#This Row],[Date fin intervention]])</f>
        <v>1</v>
      </c>
      <c r="O671" s="108">
        <f>YEAR(Tableau13[[#This Row],[Date fin intervention]])</f>
        <v>2020</v>
      </c>
      <c r="P671" s="36"/>
    </row>
    <row r="672" spans="1:16">
      <c r="A672" s="104">
        <v>43846</v>
      </c>
      <c r="B672" s="105">
        <v>605</v>
      </c>
      <c r="C672" s="106" t="str">
        <f>IF(ISNA(VLOOKUP(Tableau13[[#This Row],[Code machine]],'CODE mchn'!$A$4:$C$170,2,0)),"",VLOOKUP(Tableau13[[#This Row],[Code machine]],'CODE mchn'!$A$4:$C$170,2,0))</f>
        <v>Acier</v>
      </c>
      <c r="D672" s="36" t="str">
        <f>IF(ISNA(VLOOKUP(Tableau13[[#This Row],[Code machine]],'CODE mchn'!$A$4:$C$170,3,0)),"",VLOOKUP(Tableau13[[#This Row],[Code machine]],'CODE mchn'!$A$4:$C$170,3,0))</f>
        <v>Vitari 1</v>
      </c>
      <c r="E672" s="105"/>
      <c r="F672" s="36"/>
      <c r="G672" s="36" t="s">
        <v>1048</v>
      </c>
      <c r="H672" s="36" t="s">
        <v>776</v>
      </c>
      <c r="I672" s="36" t="s">
        <v>13</v>
      </c>
      <c r="J672" s="106" t="s">
        <v>1350</v>
      </c>
      <c r="K672" s="71">
        <v>43846</v>
      </c>
      <c r="L672" s="36"/>
      <c r="M672" s="127"/>
      <c r="N672" s="108">
        <f>MONTH(Tableau13[[#This Row],[Date fin intervention]])</f>
        <v>1</v>
      </c>
      <c r="O672" s="108">
        <f>YEAR(Tableau13[[#This Row],[Date fin intervention]])</f>
        <v>2020</v>
      </c>
      <c r="P672" s="36"/>
    </row>
    <row r="673" spans="1:16">
      <c r="A673" s="104">
        <v>43848</v>
      </c>
      <c r="B673" s="105">
        <v>606</v>
      </c>
      <c r="C673" s="106" t="str">
        <f>IF(ISNA(VLOOKUP(Tableau13[[#This Row],[Code machine]],'CODE mchn'!$A$4:$C$170,2,0)),"",VLOOKUP(Tableau13[[#This Row],[Code machine]],'CODE mchn'!$A$4:$C$170,2,0))</f>
        <v>Acier</v>
      </c>
      <c r="D673" s="36" t="str">
        <f>IF(ISNA(VLOOKUP(Tableau13[[#This Row],[Code machine]],'CODE mchn'!$A$4:$C$170,3,0)),"",VLOOKUP(Tableau13[[#This Row],[Code machine]],'CODE mchn'!$A$4:$C$170,3,0))</f>
        <v>Vitari 2</v>
      </c>
      <c r="E673" s="105"/>
      <c r="F673" s="36"/>
      <c r="G673" s="36" t="s">
        <v>10</v>
      </c>
      <c r="H673" s="36" t="s">
        <v>1119</v>
      </c>
      <c r="I673" s="36" t="s">
        <v>13</v>
      </c>
      <c r="J673" s="106" t="s">
        <v>549</v>
      </c>
      <c r="K673" s="71">
        <v>43848</v>
      </c>
      <c r="L673" s="36"/>
      <c r="M673" s="127"/>
      <c r="N673" s="108">
        <f>MONTH(Tableau13[[#This Row],[Date fin intervention]])</f>
        <v>1</v>
      </c>
      <c r="O673" s="108">
        <f>YEAR(Tableau13[[#This Row],[Date fin intervention]])</f>
        <v>2020</v>
      </c>
      <c r="P673" s="36"/>
    </row>
    <row r="674" spans="1:16">
      <c r="A674" s="104">
        <v>43848</v>
      </c>
      <c r="B674" s="105">
        <v>605</v>
      </c>
      <c r="C674" s="106" t="str">
        <f>IF(ISNA(VLOOKUP(Tableau13[[#This Row],[Code machine]],'CODE mchn'!$A$4:$C$170,2,0)),"",VLOOKUP(Tableau13[[#This Row],[Code machine]],'CODE mchn'!$A$4:$C$170,2,0))</f>
        <v>Acier</v>
      </c>
      <c r="D674" s="36" t="str">
        <f>IF(ISNA(VLOOKUP(Tableau13[[#This Row],[Code machine]],'CODE mchn'!$A$4:$C$170,3,0)),"",VLOOKUP(Tableau13[[#This Row],[Code machine]],'CODE mchn'!$A$4:$C$170,3,0))</f>
        <v>Vitari 1</v>
      </c>
      <c r="E674" s="105"/>
      <c r="F674" s="36"/>
      <c r="G674" s="36" t="s">
        <v>78</v>
      </c>
      <c r="H674" s="36" t="s">
        <v>1336</v>
      </c>
      <c r="I674" s="36" t="s">
        <v>13</v>
      </c>
      <c r="J674" s="106" t="s">
        <v>1337</v>
      </c>
      <c r="K674" s="71">
        <v>43848</v>
      </c>
      <c r="L674" s="36" t="s">
        <v>1354</v>
      </c>
      <c r="M674" s="141">
        <v>1</v>
      </c>
      <c r="N674" s="108">
        <f>MONTH(Tableau13[[#This Row],[Date fin intervention]])</f>
        <v>1</v>
      </c>
      <c r="O674" s="108">
        <f>YEAR(Tableau13[[#This Row],[Date fin intervention]])</f>
        <v>2020</v>
      </c>
      <c r="P674" s="36"/>
    </row>
    <row r="675" spans="1:16">
      <c r="A675" s="104">
        <v>43848</v>
      </c>
      <c r="B675" s="105">
        <v>582</v>
      </c>
      <c r="C675" s="106" t="str">
        <f>IF(ISNA(VLOOKUP(Tableau13[[#This Row],[Code machine]],'CODE mchn'!$A$4:$C$170,2,0)),"",VLOOKUP(Tableau13[[#This Row],[Code machine]],'CODE mchn'!$A$4:$C$170,2,0))</f>
        <v>Acier</v>
      </c>
      <c r="D675" s="36" t="str">
        <f>IF(ISNA(VLOOKUP(Tableau13[[#This Row],[Code machine]],'CODE mchn'!$A$4:$C$170,3,0)),"",VLOOKUP(Tableau13[[#This Row],[Code machine]],'CODE mchn'!$A$4:$C$170,3,0))</f>
        <v>Teurema 2</v>
      </c>
      <c r="E675" s="105"/>
      <c r="F675" s="36"/>
      <c r="G675" s="36" t="s">
        <v>1355</v>
      </c>
      <c r="H675" s="36" t="s">
        <v>1356</v>
      </c>
      <c r="I675" s="36" t="s">
        <v>13</v>
      </c>
      <c r="J675" s="106" t="s">
        <v>1357</v>
      </c>
      <c r="K675" s="71">
        <v>43848</v>
      </c>
      <c r="L675" s="36"/>
      <c r="M675" s="141">
        <v>30</v>
      </c>
      <c r="N675" s="108">
        <f>MONTH(Tableau13[[#This Row],[Date fin intervention]])</f>
        <v>1</v>
      </c>
      <c r="O675" s="108">
        <f>YEAR(Tableau13[[#This Row],[Date fin intervention]])</f>
        <v>2020</v>
      </c>
      <c r="P675" s="36"/>
    </row>
    <row r="676" spans="1:16">
      <c r="A676" s="104">
        <v>43848</v>
      </c>
      <c r="B676" s="105">
        <v>570</v>
      </c>
      <c r="C676" s="106" t="str">
        <f>IF(ISNA(VLOOKUP(Tableau13[[#This Row],[Code machine]],'CODE mchn'!$A$4:$C$170,2,0)),"",VLOOKUP(Tableau13[[#This Row],[Code machine]],'CODE mchn'!$A$4:$C$170,2,0))</f>
        <v>Acier</v>
      </c>
      <c r="D676" s="36" t="str">
        <f>IF(ISNA(VLOOKUP(Tableau13[[#This Row],[Code machine]],'CODE mchn'!$A$4:$C$170,3,0)),"",VLOOKUP(Tableau13[[#This Row],[Code machine]],'CODE mchn'!$A$4:$C$170,3,0))</f>
        <v>Sigmatic</v>
      </c>
      <c r="E676" s="105"/>
      <c r="F676" s="36"/>
      <c r="G676" s="36" t="s">
        <v>104</v>
      </c>
      <c r="H676" s="36" t="s">
        <v>1358</v>
      </c>
      <c r="I676" s="36" t="s">
        <v>13</v>
      </c>
      <c r="J676" s="106" t="s">
        <v>1359</v>
      </c>
      <c r="K676" s="71">
        <v>43848</v>
      </c>
      <c r="L676" s="36"/>
      <c r="M676" s="141">
        <v>4</v>
      </c>
      <c r="N676" s="108">
        <f>MONTH(Tableau13[[#This Row],[Date fin intervention]])</f>
        <v>1</v>
      </c>
      <c r="O676" s="108">
        <f>YEAR(Tableau13[[#This Row],[Date fin intervention]])</f>
        <v>2020</v>
      </c>
      <c r="P676" s="36"/>
    </row>
    <row r="677" spans="1:16">
      <c r="A677" s="104">
        <v>43850</v>
      </c>
      <c r="B677" s="105">
        <v>700</v>
      </c>
      <c r="C677" s="106" t="str">
        <f>IF(ISNA(VLOOKUP(Tableau13[[#This Row],[Code machine]],'CODE mchn'!$A$4:$C$170,2,0)),"",VLOOKUP(Tableau13[[#This Row],[Code machine]],'CODE mchn'!$A$4:$C$170,2,0))</f>
        <v>Béton</v>
      </c>
      <c r="D677" s="36" t="str">
        <f>IF(ISNA(VLOOKUP(Tableau13[[#This Row],[Code machine]],'CODE mchn'!$A$4:$C$170,3,0)),"",VLOOKUP(Tableau13[[#This Row],[Code machine]],'CODE mchn'!$A$4:$C$170,3,0))</f>
        <v>Poyatos 1</v>
      </c>
      <c r="E677" s="105"/>
      <c r="F677" s="36"/>
      <c r="G677" s="36" t="s">
        <v>289</v>
      </c>
      <c r="H677" s="36" t="s">
        <v>1326</v>
      </c>
      <c r="I677" s="36" t="s">
        <v>13</v>
      </c>
      <c r="J677" s="106" t="s">
        <v>1327</v>
      </c>
      <c r="K677" s="71">
        <v>43850</v>
      </c>
      <c r="L677" s="36"/>
      <c r="M677" s="127"/>
      <c r="N677" s="108">
        <f>MONTH(Tableau13[[#This Row],[Date fin intervention]])</f>
        <v>1</v>
      </c>
      <c r="O677" s="108">
        <f>YEAR(Tableau13[[#This Row],[Date fin intervention]])</f>
        <v>2020</v>
      </c>
      <c r="P677" s="36"/>
    </row>
    <row r="678" spans="1:16">
      <c r="A678" s="104">
        <v>43850</v>
      </c>
      <c r="B678" s="105">
        <v>580</v>
      </c>
      <c r="C678" s="106" t="str">
        <f>IF(ISNA(VLOOKUP(Tableau13[[#This Row],[Code machine]],'CODE mchn'!$A$4:$C$170,2,0)),"",VLOOKUP(Tableau13[[#This Row],[Code machine]],'CODE mchn'!$A$4:$C$170,2,0))</f>
        <v>Acier</v>
      </c>
      <c r="D678" s="36" t="str">
        <f>IF(ISNA(VLOOKUP(Tableau13[[#This Row],[Code machine]],'CODE mchn'!$A$4:$C$170,3,0)),"",VLOOKUP(Tableau13[[#This Row],[Code machine]],'CODE mchn'!$A$4:$C$170,3,0))</f>
        <v>Techno Impiante</v>
      </c>
      <c r="E678" s="105"/>
      <c r="F678" s="36"/>
      <c r="G678" s="36" t="s">
        <v>1360</v>
      </c>
      <c r="H678" s="36" t="s">
        <v>1361</v>
      </c>
      <c r="I678" s="36" t="s">
        <v>13</v>
      </c>
      <c r="J678" s="106" t="s">
        <v>1362</v>
      </c>
      <c r="K678" s="71">
        <v>43850</v>
      </c>
      <c r="L678" s="36"/>
      <c r="M678" s="127"/>
      <c r="N678" s="108">
        <f>MONTH(Tableau13[[#This Row],[Date fin intervention]])</f>
        <v>1</v>
      </c>
      <c r="O678" s="108">
        <f>YEAR(Tableau13[[#This Row],[Date fin intervention]])</f>
        <v>2020</v>
      </c>
      <c r="P678" s="36"/>
    </row>
    <row r="679" spans="1:16">
      <c r="A679" s="104">
        <v>43850</v>
      </c>
      <c r="B679" s="105">
        <v>571</v>
      </c>
      <c r="C679" s="106" t="str">
        <f>IF(ISNA(VLOOKUP(Tableau13[[#This Row],[Code machine]],'CODE mchn'!$A$4:$C$170,2,0)),"",VLOOKUP(Tableau13[[#This Row],[Code machine]],'CODE mchn'!$A$4:$C$170,2,0))</f>
        <v>Acier</v>
      </c>
      <c r="D679" s="36" t="str">
        <f>IF(ISNA(VLOOKUP(Tableau13[[#This Row],[Code machine]],'CODE mchn'!$A$4:$C$170,3,0)),"",VLOOKUP(Tableau13[[#This Row],[Code machine]],'CODE mchn'!$A$4:$C$170,3,0))</f>
        <v>EVG PN 1</v>
      </c>
      <c r="E679" s="105"/>
      <c r="F679" s="36"/>
      <c r="G679" s="36" t="s">
        <v>1363</v>
      </c>
      <c r="H679" s="36" t="s">
        <v>1390</v>
      </c>
      <c r="I679" s="36" t="s">
        <v>13</v>
      </c>
      <c r="J679" s="106" t="s">
        <v>1364</v>
      </c>
      <c r="K679" s="71">
        <v>43850</v>
      </c>
      <c r="L679" s="36"/>
      <c r="M679" s="141">
        <v>2</v>
      </c>
      <c r="N679" s="108">
        <f>MONTH(Tableau13[[#This Row],[Date fin intervention]])</f>
        <v>1</v>
      </c>
      <c r="O679" s="108">
        <f>YEAR(Tableau13[[#This Row],[Date fin intervention]])</f>
        <v>2020</v>
      </c>
      <c r="P679" s="36"/>
    </row>
    <row r="680" spans="1:16">
      <c r="A680" s="155">
        <v>43850</v>
      </c>
      <c r="B680" s="156">
        <v>565</v>
      </c>
      <c r="C680" s="157" t="str">
        <f>IF(ISNA(VLOOKUP(Tableau13[[#This Row],[Code machine]],'CODE mchn'!$A$4:$C$170,2,0)),"",VLOOKUP(Tableau13[[#This Row],[Code machine]],'CODE mchn'!$A$4:$C$170,2,0))</f>
        <v>Acier</v>
      </c>
      <c r="D680" s="36" t="str">
        <f>IF(ISNA(VLOOKUP(Tableau13[[#This Row],[Code machine]],'CODE mchn'!$A$4:$C$170,3,0)),"",VLOOKUP(Tableau13[[#This Row],[Code machine]],'CODE mchn'!$A$4:$C$170,3,0))</f>
        <v>EVG GE12</v>
      </c>
      <c r="E680" s="105"/>
      <c r="F680" s="68"/>
      <c r="G680" s="68" t="s">
        <v>104</v>
      </c>
      <c r="H680" s="68" t="s">
        <v>1391</v>
      </c>
      <c r="I680" s="68" t="s">
        <v>13</v>
      </c>
      <c r="J680" s="157" t="s">
        <v>1392</v>
      </c>
      <c r="K680" s="158">
        <v>43850</v>
      </c>
      <c r="L680" s="68"/>
      <c r="M680" s="127"/>
      <c r="N680" s="159">
        <f>MONTH(Tableau13[[#This Row],[Date fin intervention]])</f>
        <v>1</v>
      </c>
      <c r="O680" s="159">
        <f>YEAR(Tableau13[[#This Row],[Date fin intervention]])</f>
        <v>2020</v>
      </c>
      <c r="P680" s="68"/>
    </row>
    <row r="681" spans="1:16">
      <c r="A681" s="104">
        <v>43851</v>
      </c>
      <c r="B681" s="105">
        <v>800</v>
      </c>
      <c r="C681" s="106" t="str">
        <f>IF(ISNA(VLOOKUP(Tableau13[[#This Row],[Code machine]],'CODE mchn'!$A$4:$C$170,2,0)),"",VLOOKUP(Tableau13[[#This Row],[Code machine]],'CODE mchn'!$A$4:$C$170,2,0))</f>
        <v>Béton</v>
      </c>
      <c r="D681" s="36" t="str">
        <f>IF(ISNA(VLOOKUP(Tableau13[[#This Row],[Code machine]],'CODE mchn'!$A$4:$C$170,3,0)),"",VLOOKUP(Tableau13[[#This Row],[Code machine]],'CODE mchn'!$A$4:$C$170,3,0))</f>
        <v>Poyatos 2</v>
      </c>
      <c r="E681" s="105"/>
      <c r="F681" s="36"/>
      <c r="G681" s="36" t="s">
        <v>233</v>
      </c>
      <c r="H681" s="36" t="s">
        <v>1328</v>
      </c>
      <c r="I681" s="36" t="s">
        <v>13</v>
      </c>
      <c r="J681" s="106" t="s">
        <v>1329</v>
      </c>
      <c r="K681" s="71">
        <v>43851</v>
      </c>
      <c r="L681" s="36"/>
      <c r="M681" s="127"/>
      <c r="N681" s="108">
        <f>MONTH(Tableau13[[#This Row],[Date fin intervention]])</f>
        <v>1</v>
      </c>
      <c r="O681" s="108">
        <f>YEAR(Tableau13[[#This Row],[Date fin intervention]])</f>
        <v>2020</v>
      </c>
      <c r="P681" s="36"/>
    </row>
    <row r="682" spans="1:16" ht="42.75">
      <c r="A682" s="104">
        <v>43851</v>
      </c>
      <c r="B682" s="105">
        <v>568</v>
      </c>
      <c r="C682" s="106" t="str">
        <f>IF(ISNA(VLOOKUP(Tableau13[[#This Row],[Code machine]],'CODE mchn'!$A$4:$C$170,2,0)),"",VLOOKUP(Tableau13[[#This Row],[Code machine]],'CODE mchn'!$A$4:$C$170,2,0))</f>
        <v>Ponts roulants</v>
      </c>
      <c r="D682" s="36" t="str">
        <f>IF(ISNA(VLOOKUP(Tableau13[[#This Row],[Code machine]],'CODE mchn'!$A$4:$C$170,3,0)),"",VLOOKUP(Tableau13[[#This Row],[Code machine]],'CODE mchn'!$A$4:$C$170,3,0))</f>
        <v>Pont roulant Demag 5T (milieu)</v>
      </c>
      <c r="E682" s="105"/>
      <c r="F682" s="36"/>
      <c r="G682" s="36" t="s">
        <v>1351</v>
      </c>
      <c r="H682" s="36" t="s">
        <v>1352</v>
      </c>
      <c r="I682" s="36" t="s">
        <v>13</v>
      </c>
      <c r="J682" s="106" t="s">
        <v>725</v>
      </c>
      <c r="K682" s="71">
        <v>43853</v>
      </c>
      <c r="L682" s="36" t="s">
        <v>1353</v>
      </c>
      <c r="M682" s="141" t="s">
        <v>2259</v>
      </c>
      <c r="N682" s="108">
        <f>MONTH(Tableau13[[#This Row],[Date fin intervention]])</f>
        <v>1</v>
      </c>
      <c r="O682" s="108">
        <f>YEAR(Tableau13[[#This Row],[Date fin intervention]])</f>
        <v>2020</v>
      </c>
      <c r="P682" s="36"/>
    </row>
    <row r="683" spans="1:16" ht="28.5">
      <c r="A683" s="104">
        <v>43851</v>
      </c>
      <c r="B683" s="105">
        <v>574</v>
      </c>
      <c r="C683" s="106" t="str">
        <f>IF(ISNA(VLOOKUP(Tableau13[[#This Row],[Code machine]],'CODE mchn'!$A$4:$C$170,2,0)),"",VLOOKUP(Tableau13[[#This Row],[Code machine]],'CODE mchn'!$A$4:$C$170,2,0))</f>
        <v>Ponts roulants</v>
      </c>
      <c r="D683" s="36" t="str">
        <f>IF(ISNA(VLOOKUP(Tableau13[[#This Row],[Code machine]],'CODE mchn'!$A$4:$C$170,3,0)),"",VLOOKUP(Tableau13[[#This Row],[Code machine]],'CODE mchn'!$A$4:$C$170,3,0))</f>
        <v>Pont roulant Demag 2 3,2T (Charge)</v>
      </c>
      <c r="E683" s="105"/>
      <c r="F683" s="36"/>
      <c r="G683" s="36" t="s">
        <v>667</v>
      </c>
      <c r="H683" s="36" t="s">
        <v>1365</v>
      </c>
      <c r="I683" s="36" t="s">
        <v>13</v>
      </c>
      <c r="J683" s="106" t="s">
        <v>1366</v>
      </c>
      <c r="K683" s="71">
        <v>43851</v>
      </c>
      <c r="L683" s="36"/>
      <c r="M683" s="127"/>
      <c r="N683" s="108">
        <f>MONTH(Tableau13[[#This Row],[Date fin intervention]])</f>
        <v>1</v>
      </c>
      <c r="O683" s="108">
        <f>YEAR(Tableau13[[#This Row],[Date fin intervention]])</f>
        <v>2020</v>
      </c>
      <c r="P683" s="36"/>
    </row>
    <row r="684" spans="1:16">
      <c r="A684" s="104">
        <v>43851</v>
      </c>
      <c r="B684" s="105">
        <v>582</v>
      </c>
      <c r="C684" s="106" t="str">
        <f>IF(ISNA(VLOOKUP(Tableau13[[#This Row],[Code machine]],'CODE mchn'!$A$4:$C$170,2,0)),"",VLOOKUP(Tableau13[[#This Row],[Code machine]],'CODE mchn'!$A$4:$C$170,2,0))</f>
        <v>Acier</v>
      </c>
      <c r="D684" s="36" t="str">
        <f>IF(ISNA(VLOOKUP(Tableau13[[#This Row],[Code machine]],'CODE mchn'!$A$4:$C$170,3,0)),"",VLOOKUP(Tableau13[[#This Row],[Code machine]],'CODE mchn'!$A$4:$C$170,3,0))</f>
        <v>Teurema 2</v>
      </c>
      <c r="E684" s="105"/>
      <c r="F684" s="36"/>
      <c r="G684" s="36" t="s">
        <v>993</v>
      </c>
      <c r="H684" s="36" t="s">
        <v>1367</v>
      </c>
      <c r="I684" s="36" t="s">
        <v>13</v>
      </c>
      <c r="J684" s="106" t="s">
        <v>1368</v>
      </c>
      <c r="K684" s="71">
        <v>43851</v>
      </c>
      <c r="L684" s="36"/>
      <c r="M684" s="141">
        <v>3</v>
      </c>
      <c r="N684" s="108">
        <f>MONTH(Tableau13[[#This Row],[Date fin intervention]])</f>
        <v>1</v>
      </c>
      <c r="O684" s="108">
        <f>YEAR(Tableau13[[#This Row],[Date fin intervention]])</f>
        <v>2020</v>
      </c>
      <c r="P684" s="36"/>
    </row>
    <row r="685" spans="1:16">
      <c r="A685" s="104">
        <v>43851</v>
      </c>
      <c r="B685" s="105">
        <v>605</v>
      </c>
      <c r="C685" s="106" t="str">
        <f>IF(ISNA(VLOOKUP(Tableau13[[#This Row],[Code machine]],'CODE mchn'!$A$4:$C$170,2,0)),"",VLOOKUP(Tableau13[[#This Row],[Code machine]],'CODE mchn'!$A$4:$C$170,2,0))</f>
        <v>Acier</v>
      </c>
      <c r="D685" s="36" t="str">
        <f>IF(ISNA(VLOOKUP(Tableau13[[#This Row],[Code machine]],'CODE mchn'!$A$4:$C$170,3,0)),"",VLOOKUP(Tableau13[[#This Row],[Code machine]],'CODE mchn'!$A$4:$C$170,3,0))</f>
        <v>Vitari 1</v>
      </c>
      <c r="E685" s="105"/>
      <c r="F685" s="36"/>
      <c r="G685" s="36" t="s">
        <v>78</v>
      </c>
      <c r="H685" s="36" t="s">
        <v>756</v>
      </c>
      <c r="I685" s="36" t="s">
        <v>13</v>
      </c>
      <c r="J685" s="106" t="s">
        <v>1369</v>
      </c>
      <c r="K685" s="71">
        <v>43851</v>
      </c>
      <c r="L685" s="36"/>
      <c r="M685" s="127"/>
      <c r="N685" s="108">
        <f>MONTH(Tableau13[[#This Row],[Date fin intervention]])</f>
        <v>1</v>
      </c>
      <c r="O685" s="108">
        <f>YEAR(Tableau13[[#This Row],[Date fin intervention]])</f>
        <v>2020</v>
      </c>
      <c r="P685" s="36"/>
    </row>
    <row r="686" spans="1:16">
      <c r="A686" s="104">
        <v>43851</v>
      </c>
      <c r="B686" s="105">
        <v>565</v>
      </c>
      <c r="C686" s="106" t="str">
        <f>IF(ISNA(VLOOKUP(Tableau13[[#This Row],[Code machine]],'CODE mchn'!$A$4:$C$170,2,0)),"",VLOOKUP(Tableau13[[#This Row],[Code machine]],'CODE mchn'!$A$4:$C$170,2,0))</f>
        <v>Acier</v>
      </c>
      <c r="D686" s="36" t="str">
        <f>IF(ISNA(VLOOKUP(Tableau13[[#This Row],[Code machine]],'CODE mchn'!$A$4:$C$170,3,0)),"",VLOOKUP(Tableau13[[#This Row],[Code machine]],'CODE mchn'!$A$4:$C$170,3,0))</f>
        <v>EVG GE12</v>
      </c>
      <c r="E686" s="105"/>
      <c r="F686" s="36"/>
      <c r="G686" s="36" t="s">
        <v>52</v>
      </c>
      <c r="H686" s="36" t="s">
        <v>1310</v>
      </c>
      <c r="I686" s="36" t="s">
        <v>13</v>
      </c>
      <c r="J686" s="106" t="s">
        <v>1370</v>
      </c>
      <c r="K686" s="71">
        <v>43851</v>
      </c>
      <c r="L686" s="36"/>
      <c r="M686" s="141">
        <v>2</v>
      </c>
      <c r="N686" s="108">
        <f>MONTH(Tableau13[[#This Row],[Date fin intervention]])</f>
        <v>1</v>
      </c>
      <c r="O686" s="108">
        <f>YEAR(Tableau13[[#This Row],[Date fin intervention]])</f>
        <v>2020</v>
      </c>
      <c r="P686" s="36"/>
    </row>
    <row r="687" spans="1:16" ht="28.5">
      <c r="A687" s="104">
        <v>43851</v>
      </c>
      <c r="B687" s="105">
        <v>610</v>
      </c>
      <c r="C687" s="106" t="str">
        <f>IF(ISNA(VLOOKUP(Tableau13[[#This Row],[Code machine]],'CODE mchn'!$A$4:$C$170,2,0)),"",VLOOKUP(Tableau13[[#This Row],[Code machine]],'CODE mchn'!$A$4:$C$170,2,0))</f>
        <v>Acier</v>
      </c>
      <c r="D687" s="36" t="str">
        <f>IF(ISNA(VLOOKUP(Tableau13[[#This Row],[Code machine]],'CODE mchn'!$A$4:$C$170,3,0)),"",VLOOKUP(Tableau13[[#This Row],[Code machine]],'CODE mchn'!$A$4:$C$170,3,0))</f>
        <v>MEP91</v>
      </c>
      <c r="E687" s="105"/>
      <c r="F687" s="36"/>
      <c r="G687" s="36" t="s">
        <v>770</v>
      </c>
      <c r="H687" s="36" t="s">
        <v>1371</v>
      </c>
      <c r="I687" s="36" t="s">
        <v>13</v>
      </c>
      <c r="J687" s="106" t="s">
        <v>1372</v>
      </c>
      <c r="K687" s="71">
        <v>43851</v>
      </c>
      <c r="L687" s="36"/>
      <c r="M687" s="141">
        <v>5</v>
      </c>
      <c r="N687" s="108">
        <f>MONTH(Tableau13[[#This Row],[Date fin intervention]])</f>
        <v>1</v>
      </c>
      <c r="O687" s="108">
        <f>YEAR(Tableau13[[#This Row],[Date fin intervention]])</f>
        <v>2020</v>
      </c>
      <c r="P687" s="36"/>
    </row>
    <row r="688" spans="1:16" ht="28.5">
      <c r="A688" s="104">
        <v>43852</v>
      </c>
      <c r="B688" s="105">
        <v>700</v>
      </c>
      <c r="C688" s="106" t="str">
        <f>IF(ISNA(VLOOKUP(Tableau13[[#This Row],[Code machine]],'CODE mchn'!$A$4:$C$170,2,0)),"",VLOOKUP(Tableau13[[#This Row],[Code machine]],'CODE mchn'!$A$4:$C$170,2,0))</f>
        <v>Béton</v>
      </c>
      <c r="D688" s="36" t="str">
        <f>IF(ISNA(VLOOKUP(Tableau13[[#This Row],[Code machine]],'CODE mchn'!$A$4:$C$170,3,0)),"",VLOOKUP(Tableau13[[#This Row],[Code machine]],'CODE mchn'!$A$4:$C$170,3,0))</f>
        <v>Poyatos 1</v>
      </c>
      <c r="E688" s="105"/>
      <c r="F688" s="36"/>
      <c r="G688" s="36" t="s">
        <v>1283</v>
      </c>
      <c r="H688" s="36" t="s">
        <v>1378</v>
      </c>
      <c r="I688" s="36" t="s">
        <v>13</v>
      </c>
      <c r="J688" s="106" t="s">
        <v>1379</v>
      </c>
      <c r="K688" s="71">
        <v>43852</v>
      </c>
      <c r="L688" s="36"/>
      <c r="M688" s="127"/>
      <c r="N688" s="108">
        <f>MONTH(Tableau13[[#This Row],[Date fin intervention]])</f>
        <v>1</v>
      </c>
      <c r="O688" s="108">
        <f>YEAR(Tableau13[[#This Row],[Date fin intervention]])</f>
        <v>2020</v>
      </c>
      <c r="P688" s="36"/>
    </row>
    <row r="689" spans="1:16">
      <c r="A689" s="155">
        <v>43852</v>
      </c>
      <c r="B689" s="156">
        <v>700</v>
      </c>
      <c r="C689" s="157" t="str">
        <f>IF(ISNA(VLOOKUP(Tableau13[[#This Row],[Code machine]],'CODE mchn'!$A$4:$C$170,2,0)),"",VLOOKUP(Tableau13[[#This Row],[Code machine]],'CODE mchn'!$A$4:$C$170,2,0))</f>
        <v>Béton</v>
      </c>
      <c r="D689" s="36" t="str">
        <f>IF(ISNA(VLOOKUP(Tableau13[[#This Row],[Code machine]],'CODE mchn'!$A$4:$C$170,3,0)),"",VLOOKUP(Tableau13[[#This Row],[Code machine]],'CODE mchn'!$A$4:$C$170,3,0))</f>
        <v>Poyatos 1</v>
      </c>
      <c r="E689" s="105"/>
      <c r="F689" s="68"/>
      <c r="G689" s="68" t="s">
        <v>291</v>
      </c>
      <c r="H689" s="68" t="s">
        <v>1380</v>
      </c>
      <c r="I689" s="68" t="s">
        <v>13</v>
      </c>
      <c r="J689" s="157" t="s">
        <v>1381</v>
      </c>
      <c r="K689" s="158">
        <v>43852</v>
      </c>
      <c r="L689" s="68"/>
      <c r="M689" s="160">
        <v>1</v>
      </c>
      <c r="N689" s="159">
        <f>MONTH(Tableau13[[#This Row],[Date fin intervention]])</f>
        <v>1</v>
      </c>
      <c r="O689" s="159">
        <f>YEAR(Tableau13[[#This Row],[Date fin intervention]])</f>
        <v>2020</v>
      </c>
      <c r="P689" s="68"/>
    </row>
    <row r="690" spans="1:16">
      <c r="A690" s="155">
        <v>43852</v>
      </c>
      <c r="B690" s="156">
        <v>700</v>
      </c>
      <c r="C690" s="157" t="str">
        <f>IF(ISNA(VLOOKUP(Tableau13[[#This Row],[Code machine]],'CODE mchn'!$A$4:$C$170,2,0)),"",VLOOKUP(Tableau13[[#This Row],[Code machine]],'CODE mchn'!$A$4:$C$170,2,0))</f>
        <v>Béton</v>
      </c>
      <c r="D690" s="36" t="str">
        <f>IF(ISNA(VLOOKUP(Tableau13[[#This Row],[Code machine]],'CODE mchn'!$A$4:$C$170,3,0)),"",VLOOKUP(Tableau13[[#This Row],[Code machine]],'CODE mchn'!$A$4:$C$170,3,0))</f>
        <v>Poyatos 1</v>
      </c>
      <c r="E690" s="105"/>
      <c r="F690" s="68"/>
      <c r="G690" s="68" t="s">
        <v>394</v>
      </c>
      <c r="H690" s="68" t="s">
        <v>1382</v>
      </c>
      <c r="I690" s="68" t="s">
        <v>13</v>
      </c>
      <c r="J690" s="157" t="s">
        <v>1383</v>
      </c>
      <c r="K690" s="158">
        <v>43852</v>
      </c>
      <c r="L690" s="68"/>
      <c r="M690" s="160">
        <v>1</v>
      </c>
      <c r="N690" s="159">
        <f>MONTH(Tableau13[[#This Row],[Date fin intervention]])</f>
        <v>1</v>
      </c>
      <c r="O690" s="159">
        <f>YEAR(Tableau13[[#This Row],[Date fin intervention]])</f>
        <v>2020</v>
      </c>
      <c r="P690" s="68"/>
    </row>
    <row r="691" spans="1:16">
      <c r="A691" s="155">
        <v>43852</v>
      </c>
      <c r="B691" s="156">
        <v>580</v>
      </c>
      <c r="C691" s="157" t="str">
        <f>IF(ISNA(VLOOKUP(Tableau13[[#This Row],[Code machine]],'CODE mchn'!$A$4:$C$170,2,0)),"",VLOOKUP(Tableau13[[#This Row],[Code machine]],'CODE mchn'!$A$4:$C$170,2,0))</f>
        <v>Acier</v>
      </c>
      <c r="D691" s="36" t="str">
        <f>IF(ISNA(VLOOKUP(Tableau13[[#This Row],[Code machine]],'CODE mchn'!$A$4:$C$170,3,0)),"",VLOOKUP(Tableau13[[#This Row],[Code machine]],'CODE mchn'!$A$4:$C$170,3,0))</f>
        <v>Techno Impiante</v>
      </c>
      <c r="E691" s="105"/>
      <c r="F691" s="68"/>
      <c r="G691" s="68" t="s">
        <v>49</v>
      </c>
      <c r="H691" s="68" t="s">
        <v>1074</v>
      </c>
      <c r="I691" s="68" t="s">
        <v>13</v>
      </c>
      <c r="J691" s="157" t="s">
        <v>1075</v>
      </c>
      <c r="K691" s="158">
        <v>43852</v>
      </c>
      <c r="L691" s="68"/>
      <c r="M691" s="127"/>
      <c r="N691" s="159">
        <f>MONTH(Tableau13[[#This Row],[Date fin intervention]])</f>
        <v>1</v>
      </c>
      <c r="O691" s="159">
        <f>YEAR(Tableau13[[#This Row],[Date fin intervention]])</f>
        <v>2020</v>
      </c>
      <c r="P691" s="68"/>
    </row>
    <row r="692" spans="1:16">
      <c r="A692" s="155">
        <v>43852</v>
      </c>
      <c r="B692" s="156">
        <v>606</v>
      </c>
      <c r="C692" s="157" t="str">
        <f>IF(ISNA(VLOOKUP(Tableau13[[#This Row],[Code machine]],'CODE mchn'!$A$4:$C$170,2,0)),"",VLOOKUP(Tableau13[[#This Row],[Code machine]],'CODE mchn'!$A$4:$C$170,2,0))</f>
        <v>Acier</v>
      </c>
      <c r="D692" s="36" t="str">
        <f>IF(ISNA(VLOOKUP(Tableau13[[#This Row],[Code machine]],'CODE mchn'!$A$4:$C$170,3,0)),"",VLOOKUP(Tableau13[[#This Row],[Code machine]],'CODE mchn'!$A$4:$C$170,3,0))</f>
        <v>Vitari 2</v>
      </c>
      <c r="E692" s="105"/>
      <c r="F692" s="68"/>
      <c r="G692" s="68" t="s">
        <v>664</v>
      </c>
      <c r="H692" s="68" t="s">
        <v>1330</v>
      </c>
      <c r="I692" s="68" t="s">
        <v>13</v>
      </c>
      <c r="J692" s="157" t="s">
        <v>1393</v>
      </c>
      <c r="K692" s="158">
        <v>43852</v>
      </c>
      <c r="L692" s="68"/>
      <c r="M692" s="160">
        <v>2</v>
      </c>
      <c r="N692" s="159">
        <f>MONTH(Tableau13[[#This Row],[Date fin intervention]])</f>
        <v>1</v>
      </c>
      <c r="O692" s="159">
        <f>YEAR(Tableau13[[#This Row],[Date fin intervention]])</f>
        <v>2020</v>
      </c>
      <c r="P692" s="68"/>
    </row>
    <row r="693" spans="1:16">
      <c r="A693" s="155">
        <v>43852</v>
      </c>
      <c r="B693" s="156">
        <v>620</v>
      </c>
      <c r="C693" s="157" t="str">
        <f>IF(ISNA(VLOOKUP(Tableau13[[#This Row],[Code machine]],'CODE mchn'!$A$4:$C$170,2,0)),"",VLOOKUP(Tableau13[[#This Row],[Code machine]],'CODE mchn'!$A$4:$C$170,2,0))</f>
        <v>Acier</v>
      </c>
      <c r="D693" s="36" t="str">
        <f>IF(ISNA(VLOOKUP(Tableau13[[#This Row],[Code machine]],'CODE mchn'!$A$4:$C$170,3,0)),"",VLOOKUP(Tableau13[[#This Row],[Code machine]],'CODE mchn'!$A$4:$C$170,3,0))</f>
        <v>EVG PN 2</v>
      </c>
      <c r="E693" s="105"/>
      <c r="F693" s="68"/>
      <c r="G693" s="68" t="s">
        <v>20</v>
      </c>
      <c r="H693" s="68" t="s">
        <v>1188</v>
      </c>
      <c r="I693" s="68" t="s">
        <v>13</v>
      </c>
      <c r="J693" s="157" t="s">
        <v>1394</v>
      </c>
      <c r="K693" s="158">
        <v>43852</v>
      </c>
      <c r="L693" s="68"/>
      <c r="M693" s="160">
        <v>1</v>
      </c>
      <c r="N693" s="159">
        <f>MONTH(Tableau13[[#This Row],[Date fin intervention]])</f>
        <v>1</v>
      </c>
      <c r="O693" s="159">
        <f>YEAR(Tableau13[[#This Row],[Date fin intervention]])</f>
        <v>2020</v>
      </c>
      <c r="P693" s="68"/>
    </row>
    <row r="694" spans="1:16">
      <c r="A694" s="155">
        <v>43852</v>
      </c>
      <c r="B694" s="156">
        <v>582</v>
      </c>
      <c r="C694" s="157" t="str">
        <f>IF(ISNA(VLOOKUP(Tableau13[[#This Row],[Code machine]],'CODE mchn'!$A$4:$C$170,2,0)),"",VLOOKUP(Tableau13[[#This Row],[Code machine]],'CODE mchn'!$A$4:$C$170,2,0))</f>
        <v>Acier</v>
      </c>
      <c r="D694" s="36" t="str">
        <f>IF(ISNA(VLOOKUP(Tableau13[[#This Row],[Code machine]],'CODE mchn'!$A$4:$C$170,3,0)),"",VLOOKUP(Tableau13[[#This Row],[Code machine]],'CODE mchn'!$A$4:$C$170,3,0))</f>
        <v>Teurema 2</v>
      </c>
      <c r="E694" s="105"/>
      <c r="F694" s="68"/>
      <c r="G694" s="68" t="s">
        <v>1347</v>
      </c>
      <c r="H694" s="68" t="s">
        <v>1395</v>
      </c>
      <c r="I694" s="68" t="s">
        <v>13</v>
      </c>
      <c r="J694" s="157" t="s">
        <v>1396</v>
      </c>
      <c r="K694" s="158">
        <v>43852</v>
      </c>
      <c r="L694" s="68"/>
      <c r="M694" s="127"/>
      <c r="N694" s="159">
        <f>MONTH(Tableau13[[#This Row],[Date fin intervention]])</f>
        <v>1</v>
      </c>
      <c r="O694" s="159">
        <f>YEAR(Tableau13[[#This Row],[Date fin intervention]])</f>
        <v>2020</v>
      </c>
      <c r="P694" s="68"/>
    </row>
    <row r="695" spans="1:16" ht="42.75">
      <c r="A695" s="155">
        <v>43853</v>
      </c>
      <c r="B695" s="156">
        <v>604</v>
      </c>
      <c r="C695" s="157" t="str">
        <f>IF(ISNA(VLOOKUP(Tableau13[[#This Row],[Code machine]],'CODE mchn'!$A$4:$C$170,2,0)),"",VLOOKUP(Tableau13[[#This Row],[Code machine]],'CODE mchn'!$A$4:$C$170,2,0))</f>
        <v>Acier</v>
      </c>
      <c r="D695" s="36" t="str">
        <f>IF(ISNA(VLOOKUP(Tableau13[[#This Row],[Code machine]],'CODE mchn'!$A$4:$C$170,3,0)),"",VLOOKUP(Tableau13[[#This Row],[Code machine]],'CODE mchn'!$A$4:$C$170,3,0))</f>
        <v>TI</v>
      </c>
      <c r="E695" s="105"/>
      <c r="F695" s="68"/>
      <c r="G695" s="68" t="s">
        <v>1397</v>
      </c>
      <c r="H695" s="68" t="s">
        <v>1398</v>
      </c>
      <c r="I695" s="68" t="s">
        <v>13</v>
      </c>
      <c r="J695" s="157" t="s">
        <v>1399</v>
      </c>
      <c r="K695" s="158">
        <v>43857</v>
      </c>
      <c r="L695" s="68"/>
      <c r="M695" s="160" t="s">
        <v>2259</v>
      </c>
      <c r="N695" s="159">
        <f>MONTH(Tableau13[[#This Row],[Date fin intervention]])</f>
        <v>1</v>
      </c>
      <c r="O695" s="159">
        <f>YEAR(Tableau13[[#This Row],[Date fin intervention]])</f>
        <v>2020</v>
      </c>
      <c r="P695" s="68"/>
    </row>
    <row r="696" spans="1:16" ht="28.5">
      <c r="A696" s="155">
        <v>43853</v>
      </c>
      <c r="B696" s="156">
        <v>580</v>
      </c>
      <c r="C696" s="157" t="str">
        <f>IF(ISNA(VLOOKUP(Tableau13[[#This Row],[Code machine]],'CODE mchn'!$A$4:$C$170,2,0)),"",VLOOKUP(Tableau13[[#This Row],[Code machine]],'CODE mchn'!$A$4:$C$170,2,0))</f>
        <v>Acier</v>
      </c>
      <c r="D696" s="36" t="str">
        <f>IF(ISNA(VLOOKUP(Tableau13[[#This Row],[Code machine]],'CODE mchn'!$A$4:$C$170,3,0)),"",VLOOKUP(Tableau13[[#This Row],[Code machine]],'CODE mchn'!$A$4:$C$170,3,0))</f>
        <v>Techno Impiante</v>
      </c>
      <c r="E696" s="105"/>
      <c r="F696" s="68"/>
      <c r="G696" s="68" t="s">
        <v>49</v>
      </c>
      <c r="H696" s="68" t="s">
        <v>1074</v>
      </c>
      <c r="I696" s="68" t="s">
        <v>13</v>
      </c>
      <c r="J696" s="157" t="s">
        <v>1400</v>
      </c>
      <c r="K696" s="158">
        <v>43853</v>
      </c>
      <c r="L696" s="68"/>
      <c r="M696" s="127"/>
      <c r="N696" s="159">
        <f>MONTH(Tableau13[[#This Row],[Date fin intervention]])</f>
        <v>1</v>
      </c>
      <c r="O696" s="159">
        <f>YEAR(Tableau13[[#This Row],[Date fin intervention]])</f>
        <v>2020</v>
      </c>
      <c r="P696" s="68"/>
    </row>
    <row r="697" spans="1:16" ht="28.5">
      <c r="A697" s="155">
        <v>43853</v>
      </c>
      <c r="B697" s="156">
        <v>574</v>
      </c>
      <c r="C697" s="157" t="str">
        <f>IF(ISNA(VLOOKUP(Tableau13[[#This Row],[Code machine]],'CODE mchn'!$A$4:$C$170,2,0)),"",VLOOKUP(Tableau13[[#This Row],[Code machine]],'CODE mchn'!$A$4:$C$170,2,0))</f>
        <v>Ponts roulants</v>
      </c>
      <c r="D697" s="36" t="str">
        <f>IF(ISNA(VLOOKUP(Tableau13[[#This Row],[Code machine]],'CODE mchn'!$A$4:$C$170,3,0)),"",VLOOKUP(Tableau13[[#This Row],[Code machine]],'CODE mchn'!$A$4:$C$170,3,0))</f>
        <v>Pont roulant Demag 2 3,2T (Charge)</v>
      </c>
      <c r="E697" s="105"/>
      <c r="F697" s="68"/>
      <c r="G697" s="68" t="s">
        <v>667</v>
      </c>
      <c r="H697" s="68" t="s">
        <v>1365</v>
      </c>
      <c r="I697" s="68" t="s">
        <v>13</v>
      </c>
      <c r="J697" s="157" t="s">
        <v>760</v>
      </c>
      <c r="K697" s="158">
        <v>43853</v>
      </c>
      <c r="L697" s="68"/>
      <c r="M697" s="160">
        <v>1</v>
      </c>
      <c r="N697" s="159">
        <f>MONTH(Tableau13[[#This Row],[Date fin intervention]])</f>
        <v>1</v>
      </c>
      <c r="O697" s="159">
        <f>YEAR(Tableau13[[#This Row],[Date fin intervention]])</f>
        <v>2020</v>
      </c>
      <c r="P697" s="68"/>
    </row>
    <row r="698" spans="1:16">
      <c r="A698" s="155">
        <v>43854</v>
      </c>
      <c r="B698" s="156">
        <v>800</v>
      </c>
      <c r="C698" s="157" t="str">
        <f>IF(ISNA(VLOOKUP(Tableau13[[#This Row],[Code machine]],'CODE mchn'!$A$4:$C$170,2,0)),"",VLOOKUP(Tableau13[[#This Row],[Code machine]],'CODE mchn'!$A$4:$C$170,2,0))</f>
        <v>Béton</v>
      </c>
      <c r="D698" s="36" t="str">
        <f>IF(ISNA(VLOOKUP(Tableau13[[#This Row],[Code machine]],'CODE mchn'!$A$4:$C$170,3,0)),"",VLOOKUP(Tableau13[[#This Row],[Code machine]],'CODE mchn'!$A$4:$C$170,3,0))</f>
        <v>Poyatos 2</v>
      </c>
      <c r="E698" s="105"/>
      <c r="F698" s="68"/>
      <c r="G698" s="68" t="s">
        <v>300</v>
      </c>
      <c r="H698" s="68" t="s">
        <v>1384</v>
      </c>
      <c r="I698" s="68" t="s">
        <v>13</v>
      </c>
      <c r="J698" s="157" t="s">
        <v>803</v>
      </c>
      <c r="K698" s="158">
        <v>43854</v>
      </c>
      <c r="L698" s="68"/>
      <c r="M698" s="160">
        <v>40</v>
      </c>
      <c r="N698" s="159">
        <f>MONTH(Tableau13[[#This Row],[Date fin intervention]])</f>
        <v>1</v>
      </c>
      <c r="O698" s="159">
        <f>YEAR(Tableau13[[#This Row],[Date fin intervention]])</f>
        <v>2020</v>
      </c>
      <c r="P698" s="68"/>
    </row>
    <row r="699" spans="1:16">
      <c r="A699" s="155">
        <v>43854</v>
      </c>
      <c r="B699" s="156">
        <v>590</v>
      </c>
      <c r="C699" s="157" t="str">
        <f>IF(ISNA(VLOOKUP(Tableau13[[#This Row],[Code machine]],'CODE mchn'!$A$4:$C$170,2,0)),"",VLOOKUP(Tableau13[[#This Row],[Code machine]],'CODE mchn'!$A$4:$C$170,2,0))</f>
        <v>Acier</v>
      </c>
      <c r="D699" s="36" t="str">
        <f>IF(ISNA(VLOOKUP(Tableau13[[#This Row],[Code machine]],'CODE mchn'!$A$4:$C$170,3,0)),"",VLOOKUP(Tableau13[[#This Row],[Code machine]],'CODE mchn'!$A$4:$C$170,3,0))</f>
        <v>Teurema 3</v>
      </c>
      <c r="E699" s="105"/>
      <c r="F699" s="68"/>
      <c r="G699" s="68" t="s">
        <v>643</v>
      </c>
      <c r="H699" s="68" t="s">
        <v>352</v>
      </c>
      <c r="I699" s="68" t="s">
        <v>13</v>
      </c>
      <c r="J699" s="157" t="s">
        <v>1069</v>
      </c>
      <c r="K699" s="158">
        <v>43854</v>
      </c>
      <c r="L699" s="68"/>
      <c r="M699" s="160">
        <v>1</v>
      </c>
      <c r="N699" s="159">
        <f>MONTH(Tableau13[[#This Row],[Date fin intervention]])</f>
        <v>1</v>
      </c>
      <c r="O699" s="159">
        <f>YEAR(Tableau13[[#This Row],[Date fin intervention]])</f>
        <v>2020</v>
      </c>
      <c r="P699" s="68"/>
    </row>
    <row r="700" spans="1:16">
      <c r="A700" s="155">
        <v>43854</v>
      </c>
      <c r="B700" s="156">
        <v>560</v>
      </c>
      <c r="C700" s="157" t="str">
        <f>IF(ISNA(VLOOKUP(Tableau13[[#This Row],[Code machine]],'CODE mchn'!$A$4:$C$170,2,0)),"",VLOOKUP(Tableau13[[#This Row],[Code machine]],'CODE mchn'!$A$4:$C$170,2,0))</f>
        <v>Acier</v>
      </c>
      <c r="D700" s="36" t="str">
        <f>IF(ISNA(VLOOKUP(Tableau13[[#This Row],[Code machine]],'CODE mchn'!$A$4:$C$170,3,0)),"",VLOOKUP(Tableau13[[#This Row],[Code machine]],'CODE mchn'!$A$4:$C$170,3,0))</f>
        <v>Schlatter</v>
      </c>
      <c r="E700" s="105"/>
      <c r="F700" s="68"/>
      <c r="G700" s="68" t="s">
        <v>726</v>
      </c>
      <c r="H700" s="68" t="s">
        <v>1401</v>
      </c>
      <c r="I700" s="68" t="s">
        <v>13</v>
      </c>
      <c r="J700" s="157" t="s">
        <v>1402</v>
      </c>
      <c r="K700" s="158">
        <v>43854</v>
      </c>
      <c r="L700" s="68"/>
      <c r="M700" s="127"/>
      <c r="N700" s="159">
        <f>MONTH(Tableau13[[#This Row],[Date fin intervention]])</f>
        <v>1</v>
      </c>
      <c r="O700" s="159">
        <f>YEAR(Tableau13[[#This Row],[Date fin intervention]])</f>
        <v>2020</v>
      </c>
      <c r="P700" s="68"/>
    </row>
    <row r="701" spans="1:16">
      <c r="A701" s="155">
        <v>43854</v>
      </c>
      <c r="B701" s="156">
        <v>571</v>
      </c>
      <c r="C701" s="157" t="str">
        <f>IF(ISNA(VLOOKUP(Tableau13[[#This Row],[Code machine]],'CODE mchn'!$A$4:$C$170,2,0)),"",VLOOKUP(Tableau13[[#This Row],[Code machine]],'CODE mchn'!$A$4:$C$170,2,0))</f>
        <v>Acier</v>
      </c>
      <c r="D701" s="36" t="str">
        <f>IF(ISNA(VLOOKUP(Tableau13[[#This Row],[Code machine]],'CODE mchn'!$A$4:$C$170,3,0)),"",VLOOKUP(Tableau13[[#This Row],[Code machine]],'CODE mchn'!$A$4:$C$170,3,0))</f>
        <v>EVG PN 1</v>
      </c>
      <c r="E701" s="105"/>
      <c r="F701" s="68"/>
      <c r="G701" s="68" t="s">
        <v>20</v>
      </c>
      <c r="H701" s="68" t="s">
        <v>1188</v>
      </c>
      <c r="I701" s="68" t="s">
        <v>13</v>
      </c>
      <c r="J701" s="157" t="s">
        <v>1403</v>
      </c>
      <c r="K701" s="158">
        <v>43854</v>
      </c>
      <c r="L701" s="68"/>
      <c r="M701" s="127"/>
      <c r="N701" s="159">
        <f>MONTH(Tableau13[[#This Row],[Date fin intervention]])</f>
        <v>1</v>
      </c>
      <c r="O701" s="159">
        <f>YEAR(Tableau13[[#This Row],[Date fin intervention]])</f>
        <v>2020</v>
      </c>
      <c r="P701" s="68"/>
    </row>
    <row r="702" spans="1:16">
      <c r="A702" s="155">
        <v>43854</v>
      </c>
      <c r="B702" s="156">
        <v>570</v>
      </c>
      <c r="C702" s="157" t="str">
        <f>IF(ISNA(VLOOKUP(Tableau13[[#This Row],[Code machine]],'CODE mchn'!$A$4:$C$170,2,0)),"",VLOOKUP(Tableau13[[#This Row],[Code machine]],'CODE mchn'!$A$4:$C$170,2,0))</f>
        <v>Acier</v>
      </c>
      <c r="D702" s="36" t="str">
        <f>IF(ISNA(VLOOKUP(Tableau13[[#This Row],[Code machine]],'CODE mchn'!$A$4:$C$170,3,0)),"",VLOOKUP(Tableau13[[#This Row],[Code machine]],'CODE mchn'!$A$4:$C$170,3,0))</f>
        <v>Sigmatic</v>
      </c>
      <c r="E702" s="105"/>
      <c r="F702" s="68"/>
      <c r="G702" s="68" t="s">
        <v>664</v>
      </c>
      <c r="H702" s="68" t="s">
        <v>1319</v>
      </c>
      <c r="I702" s="68" t="s">
        <v>13</v>
      </c>
      <c r="J702" s="157" t="s">
        <v>1404</v>
      </c>
      <c r="K702" s="158">
        <v>43854</v>
      </c>
      <c r="L702" s="68"/>
      <c r="M702" s="127"/>
      <c r="N702" s="159">
        <f>MONTH(Tableau13[[#This Row],[Date fin intervention]])</f>
        <v>1</v>
      </c>
      <c r="O702" s="159">
        <f>YEAR(Tableau13[[#This Row],[Date fin intervention]])</f>
        <v>2020</v>
      </c>
      <c r="P702" s="68"/>
    </row>
    <row r="703" spans="1:16" ht="42.75">
      <c r="A703" s="155">
        <v>43855</v>
      </c>
      <c r="B703" s="156">
        <v>800</v>
      </c>
      <c r="C703" s="157" t="str">
        <f>IF(ISNA(VLOOKUP(Tableau13[[#This Row],[Code machine]],'CODE mchn'!$A$4:$C$170,2,0)),"",VLOOKUP(Tableau13[[#This Row],[Code machine]],'CODE mchn'!$A$4:$C$170,2,0))</f>
        <v>Béton</v>
      </c>
      <c r="D703" s="36" t="str">
        <f>IF(ISNA(VLOOKUP(Tableau13[[#This Row],[Code machine]],'CODE mchn'!$A$4:$C$170,3,0)),"",VLOOKUP(Tableau13[[#This Row],[Code machine]],'CODE mchn'!$A$4:$C$170,3,0))</f>
        <v>Poyatos 2</v>
      </c>
      <c r="E703" s="105"/>
      <c r="F703" s="68"/>
      <c r="G703" s="68" t="s">
        <v>306</v>
      </c>
      <c r="H703" s="68" t="s">
        <v>683</v>
      </c>
      <c r="I703" s="68" t="s">
        <v>13</v>
      </c>
      <c r="J703" s="157" t="s">
        <v>1385</v>
      </c>
      <c r="K703" s="158">
        <v>43858</v>
      </c>
      <c r="L703" s="68"/>
      <c r="M703" s="160" t="s">
        <v>2259</v>
      </c>
      <c r="N703" s="159">
        <f>MONTH(Tableau13[[#This Row],[Date fin intervention]])</f>
        <v>1</v>
      </c>
      <c r="O703" s="159">
        <f>YEAR(Tableau13[[#This Row],[Date fin intervention]])</f>
        <v>2020</v>
      </c>
      <c r="P703" s="68"/>
    </row>
    <row r="704" spans="1:16" ht="42.75">
      <c r="A704" s="155">
        <v>43855</v>
      </c>
      <c r="B704" s="156">
        <v>583</v>
      </c>
      <c r="C704" s="157" t="str">
        <f>IF(ISNA(VLOOKUP(Tableau13[[#This Row],[Code machine]],'CODE mchn'!$A$4:$C$170,2,0)),"",VLOOKUP(Tableau13[[#This Row],[Code machine]],'CODE mchn'!$A$4:$C$170,2,0))</f>
        <v>Ponts roulants</v>
      </c>
      <c r="D704" s="36" t="str">
        <f>IF(ISNA(VLOOKUP(Tableau13[[#This Row],[Code machine]],'CODE mchn'!$A$4:$C$170,3,0)),"",VLOOKUP(Tableau13[[#This Row],[Code machine]],'CODE mchn'!$A$4:$C$170,3,0))</f>
        <v>Pont roulant Abus 5T (teurema1)</v>
      </c>
      <c r="E704" s="105"/>
      <c r="F704" s="68"/>
      <c r="G704" s="68" t="s">
        <v>667</v>
      </c>
      <c r="H704" s="68" t="s">
        <v>1405</v>
      </c>
      <c r="I704" s="68" t="s">
        <v>13</v>
      </c>
      <c r="J704" s="157" t="s">
        <v>725</v>
      </c>
      <c r="K704" s="158">
        <v>43858</v>
      </c>
      <c r="L704" s="68"/>
      <c r="M704" s="160" t="s">
        <v>2259</v>
      </c>
      <c r="N704" s="159">
        <f>MONTH(Tableau13[[#This Row],[Date fin intervention]])</f>
        <v>1</v>
      </c>
      <c r="O704" s="159">
        <f>YEAR(Tableau13[[#This Row],[Date fin intervention]])</f>
        <v>2020</v>
      </c>
      <c r="P704" s="68"/>
    </row>
    <row r="705" spans="1:16">
      <c r="A705" s="155">
        <v>43857</v>
      </c>
      <c r="B705" s="156">
        <v>700</v>
      </c>
      <c r="C705" s="157" t="str">
        <f>IF(ISNA(VLOOKUP(Tableau13[[#This Row],[Code machine]],'CODE mchn'!$A$4:$C$170,2,0)),"",VLOOKUP(Tableau13[[#This Row],[Code machine]],'CODE mchn'!$A$4:$C$170,2,0))</f>
        <v>Béton</v>
      </c>
      <c r="D705" s="36" t="str">
        <f>IF(ISNA(VLOOKUP(Tableau13[[#This Row],[Code machine]],'CODE mchn'!$A$4:$C$170,3,0)),"",VLOOKUP(Tableau13[[#This Row],[Code machine]],'CODE mchn'!$A$4:$C$170,3,0))</f>
        <v>Poyatos 1</v>
      </c>
      <c r="E705" s="105"/>
      <c r="F705" s="68"/>
      <c r="G705" s="68" t="s">
        <v>118</v>
      </c>
      <c r="H705" s="68" t="s">
        <v>1025</v>
      </c>
      <c r="I705" s="68" t="s">
        <v>13</v>
      </c>
      <c r="J705" s="157" t="s">
        <v>119</v>
      </c>
      <c r="K705" s="158">
        <v>43857</v>
      </c>
      <c r="L705" s="68"/>
      <c r="M705" s="127"/>
      <c r="N705" s="159">
        <f>MONTH(Tableau13[[#This Row],[Date fin intervention]])</f>
        <v>1</v>
      </c>
      <c r="O705" s="159">
        <f>YEAR(Tableau13[[#This Row],[Date fin intervention]])</f>
        <v>2020</v>
      </c>
      <c r="P705" s="68"/>
    </row>
    <row r="706" spans="1:16">
      <c r="A706" s="155">
        <v>43857</v>
      </c>
      <c r="B706" s="156">
        <v>800</v>
      </c>
      <c r="C706" s="157" t="str">
        <f>IF(ISNA(VLOOKUP(Tableau13[[#This Row],[Code machine]],'CODE mchn'!$A$4:$C$170,2,0)),"",VLOOKUP(Tableau13[[#This Row],[Code machine]],'CODE mchn'!$A$4:$C$170,2,0))</f>
        <v>Béton</v>
      </c>
      <c r="D706" s="36" t="str">
        <f>IF(ISNA(VLOOKUP(Tableau13[[#This Row],[Code machine]],'CODE mchn'!$A$4:$C$170,3,0)),"",VLOOKUP(Tableau13[[#This Row],[Code machine]],'CODE mchn'!$A$4:$C$170,3,0))</f>
        <v>Poyatos 2</v>
      </c>
      <c r="E706" s="105"/>
      <c r="F706" s="68"/>
      <c r="G706" s="68" t="s">
        <v>185</v>
      </c>
      <c r="H706" s="68" t="s">
        <v>1386</v>
      </c>
      <c r="I706" s="68" t="s">
        <v>30</v>
      </c>
      <c r="J706" s="157" t="s">
        <v>1387</v>
      </c>
      <c r="K706" s="158">
        <v>43857</v>
      </c>
      <c r="L706" s="68"/>
      <c r="M706" s="160">
        <v>1</v>
      </c>
      <c r="N706" s="159">
        <f>MONTH(Tableau13[[#This Row],[Date fin intervention]])</f>
        <v>1</v>
      </c>
      <c r="O706" s="159">
        <f>YEAR(Tableau13[[#This Row],[Date fin intervention]])</f>
        <v>2020</v>
      </c>
      <c r="P706" s="68"/>
    </row>
    <row r="707" spans="1:16">
      <c r="A707" s="155">
        <v>43858</v>
      </c>
      <c r="B707" s="156">
        <v>800</v>
      </c>
      <c r="C707" s="157" t="str">
        <f>IF(ISNA(VLOOKUP(Tableau13[[#This Row],[Code machine]],'CODE mchn'!$A$4:$C$170,2,0)),"",VLOOKUP(Tableau13[[#This Row],[Code machine]],'CODE mchn'!$A$4:$C$170,2,0))</f>
        <v>Béton</v>
      </c>
      <c r="D707" s="36" t="str">
        <f>IF(ISNA(VLOOKUP(Tableau13[[#This Row],[Code machine]],'CODE mchn'!$A$4:$C$170,3,0)),"",VLOOKUP(Tableau13[[#This Row],[Code machine]],'CODE mchn'!$A$4:$C$170,3,0))</f>
        <v>Poyatos 2</v>
      </c>
      <c r="E707" s="105"/>
      <c r="F707" s="68"/>
      <c r="G707" s="68" t="s">
        <v>110</v>
      </c>
      <c r="H707" s="68" t="s">
        <v>1011</v>
      </c>
      <c r="I707" s="68" t="s">
        <v>13</v>
      </c>
      <c r="J707" s="157" t="s">
        <v>374</v>
      </c>
      <c r="K707" s="158">
        <v>43858</v>
      </c>
      <c r="L707" s="68"/>
      <c r="M707" s="127"/>
      <c r="N707" s="159">
        <f>MONTH(Tableau13[[#This Row],[Date fin intervention]])</f>
        <v>1</v>
      </c>
      <c r="O707" s="159">
        <f>YEAR(Tableau13[[#This Row],[Date fin intervention]])</f>
        <v>2020</v>
      </c>
      <c r="P707" s="68"/>
    </row>
    <row r="708" spans="1:16">
      <c r="A708" s="155">
        <v>43858</v>
      </c>
      <c r="B708" s="156">
        <v>700</v>
      </c>
      <c r="C708" s="157" t="str">
        <f>IF(ISNA(VLOOKUP(Tableau13[[#This Row],[Code machine]],'CODE mchn'!$A$4:$C$170,2,0)),"",VLOOKUP(Tableau13[[#This Row],[Code machine]],'CODE mchn'!$A$4:$C$170,2,0))</f>
        <v>Béton</v>
      </c>
      <c r="D708" s="36" t="str">
        <f>IF(ISNA(VLOOKUP(Tableau13[[#This Row],[Code machine]],'CODE mchn'!$A$4:$C$170,3,0)),"",VLOOKUP(Tableau13[[#This Row],[Code machine]],'CODE mchn'!$A$4:$C$170,3,0))</f>
        <v>Poyatos 1</v>
      </c>
      <c r="E708" s="105"/>
      <c r="F708" s="68"/>
      <c r="G708" s="68" t="s">
        <v>1388</v>
      </c>
      <c r="H708" s="68" t="s">
        <v>691</v>
      </c>
      <c r="I708" s="68" t="s">
        <v>13</v>
      </c>
      <c r="J708" s="157" t="s">
        <v>1389</v>
      </c>
      <c r="K708" s="158">
        <v>43858</v>
      </c>
      <c r="L708" s="68"/>
      <c r="M708" s="127"/>
      <c r="N708" s="159">
        <f>MONTH(Tableau13[[#This Row],[Date fin intervention]])</f>
        <v>1</v>
      </c>
      <c r="O708" s="159">
        <f>YEAR(Tableau13[[#This Row],[Date fin intervention]])</f>
        <v>2020</v>
      </c>
      <c r="P708" s="68"/>
    </row>
    <row r="709" spans="1:16" ht="42.75">
      <c r="A709" s="155">
        <v>43858</v>
      </c>
      <c r="B709" s="156">
        <v>607</v>
      </c>
      <c r="C709" s="157" t="str">
        <f>IF(ISNA(VLOOKUP(Tableau13[[#This Row],[Code machine]],'CODE mchn'!$A$4:$C$170,2,0)),"",VLOOKUP(Tableau13[[#This Row],[Code machine]],'CODE mchn'!$A$4:$C$170,2,0))</f>
        <v>Acier</v>
      </c>
      <c r="D709" s="36" t="str">
        <f>IF(ISNA(VLOOKUP(Tableau13[[#This Row],[Code machine]],'CODE mchn'!$A$4:$C$170,3,0)),"",VLOOKUP(Tableau13[[#This Row],[Code machine]],'CODE mchn'!$A$4:$C$170,3,0))</f>
        <v>Vitari 3</v>
      </c>
      <c r="E709" s="105"/>
      <c r="F709" s="68"/>
      <c r="G709" s="68" t="s">
        <v>664</v>
      </c>
      <c r="H709" s="68" t="s">
        <v>1406</v>
      </c>
      <c r="I709" s="68" t="s">
        <v>13</v>
      </c>
      <c r="J709" s="157" t="s">
        <v>1407</v>
      </c>
      <c r="K709" s="158">
        <v>43860</v>
      </c>
      <c r="L709" s="68"/>
      <c r="M709" s="160" t="s">
        <v>2259</v>
      </c>
      <c r="N709" s="159">
        <f>MONTH(Tableau13[[#This Row],[Date fin intervention]])</f>
        <v>1</v>
      </c>
      <c r="O709" s="159">
        <f>YEAR(Tableau13[[#This Row],[Date fin intervention]])</f>
        <v>2020</v>
      </c>
      <c r="P709" s="68"/>
    </row>
    <row r="710" spans="1:16" ht="28.5">
      <c r="A710" s="155">
        <v>43859</v>
      </c>
      <c r="B710" s="156">
        <v>580</v>
      </c>
      <c r="C710" s="157" t="str">
        <f>IF(ISNA(VLOOKUP(Tableau13[[#This Row],[Code machine]],'CODE mchn'!$A$4:$C$170,2,0)),"",VLOOKUP(Tableau13[[#This Row],[Code machine]],'CODE mchn'!$A$4:$C$170,2,0))</f>
        <v>Acier</v>
      </c>
      <c r="D710" s="36" t="str">
        <f>IF(ISNA(VLOOKUP(Tableau13[[#This Row],[Code machine]],'CODE mchn'!$A$4:$C$170,3,0)),"",VLOOKUP(Tableau13[[#This Row],[Code machine]],'CODE mchn'!$A$4:$C$170,3,0))</f>
        <v>Techno Impiante</v>
      </c>
      <c r="E710" s="105"/>
      <c r="F710" s="68"/>
      <c r="G710" s="68" t="s">
        <v>612</v>
      </c>
      <c r="H710" s="68" t="s">
        <v>1408</v>
      </c>
      <c r="I710" s="68" t="s">
        <v>13</v>
      </c>
      <c r="J710" s="157" t="s">
        <v>1409</v>
      </c>
      <c r="K710" s="158">
        <v>43860</v>
      </c>
      <c r="L710" s="68"/>
      <c r="M710" s="161" t="s">
        <v>2259</v>
      </c>
      <c r="N710" s="159">
        <f>MONTH(Tableau13[[#This Row],[Date fin intervention]])</f>
        <v>1</v>
      </c>
      <c r="O710" s="159">
        <f>YEAR(Tableau13[[#This Row],[Date fin intervention]])</f>
        <v>2020</v>
      </c>
      <c r="P710" s="68"/>
    </row>
    <row r="711" spans="1:16">
      <c r="A711" s="104">
        <v>43862</v>
      </c>
      <c r="B711" s="105">
        <v>700</v>
      </c>
      <c r="C711" s="106" t="str">
        <f>IF(ISNA(VLOOKUP(Tableau13[[#This Row],[Code machine]],'CODE mchn'!$A$4:$C$170,2,0)),"",VLOOKUP(Tableau13[[#This Row],[Code machine]],'CODE mchn'!$A$4:$C$170,2,0))</f>
        <v>Béton</v>
      </c>
      <c r="D711" s="36" t="str">
        <f>IF(ISNA(VLOOKUP(Tableau13[[#This Row],[Code machine]],'CODE mchn'!$A$4:$C$170,3,0)),"",VLOOKUP(Tableau13[[#This Row],[Code machine]],'CODE mchn'!$A$4:$C$170,3,0))</f>
        <v>Poyatos 1</v>
      </c>
      <c r="E711" s="105"/>
      <c r="F711" s="36"/>
      <c r="G711" s="36" t="s">
        <v>809</v>
      </c>
      <c r="H711" s="36" t="s">
        <v>1410</v>
      </c>
      <c r="I711" s="36" t="s">
        <v>13</v>
      </c>
      <c r="J711" s="106" t="s">
        <v>1411</v>
      </c>
      <c r="K711" s="71">
        <v>43862</v>
      </c>
      <c r="L711" s="36"/>
      <c r="M711" s="141">
        <v>1</v>
      </c>
      <c r="N711" s="108">
        <f>MONTH(Tableau13[[#This Row],[Date fin intervention]])</f>
        <v>2</v>
      </c>
      <c r="O711" s="108">
        <f>YEAR(Tableau13[[#This Row],[Date fin intervention]])</f>
        <v>2020</v>
      </c>
      <c r="P711" s="36"/>
    </row>
    <row r="712" spans="1:16" ht="42.75">
      <c r="A712" s="162">
        <v>43862</v>
      </c>
      <c r="B712" s="163">
        <v>580</v>
      </c>
      <c r="C712" s="164" t="str">
        <f>IF(ISNA(VLOOKUP(Tableau13[[#This Row],[Code machine]],'CODE mchn'!$A$4:$C$170,2,0)),"",VLOOKUP(Tableau13[[#This Row],[Code machine]],'CODE mchn'!$A$4:$C$170,2,0))</f>
        <v>Acier</v>
      </c>
      <c r="D712" s="36" t="str">
        <f>IF(ISNA(VLOOKUP(Tableau13[[#This Row],[Code machine]],'CODE mchn'!$A$4:$C$170,3,0)),"",VLOOKUP(Tableau13[[#This Row],[Code machine]],'CODE mchn'!$A$4:$C$170,3,0))</f>
        <v>Techno Impiante</v>
      </c>
      <c r="E712" s="105"/>
      <c r="F712" s="69"/>
      <c r="G712" s="69" t="s">
        <v>612</v>
      </c>
      <c r="H712" s="69" t="s">
        <v>1439</v>
      </c>
      <c r="I712" s="69" t="s">
        <v>13</v>
      </c>
      <c r="J712" s="164" t="s">
        <v>1440</v>
      </c>
      <c r="K712" s="165">
        <v>43864</v>
      </c>
      <c r="L712" s="69"/>
      <c r="M712" s="166" t="s">
        <v>2259</v>
      </c>
      <c r="N712" s="167">
        <f>MONTH(Tableau13[[#This Row],[Date fin intervention]])</f>
        <v>2</v>
      </c>
      <c r="O712" s="167">
        <f>YEAR(Tableau13[[#This Row],[Date fin intervention]])</f>
        <v>2020</v>
      </c>
      <c r="P712" s="69"/>
    </row>
    <row r="713" spans="1:16">
      <c r="A713" s="162">
        <v>43862</v>
      </c>
      <c r="B713" s="163">
        <v>605</v>
      </c>
      <c r="C713" s="164" t="str">
        <f>IF(ISNA(VLOOKUP(Tableau13[[#This Row],[Code machine]],'CODE mchn'!$A$4:$C$170,2,0)),"",VLOOKUP(Tableau13[[#This Row],[Code machine]],'CODE mchn'!$A$4:$C$170,2,0))</f>
        <v>Acier</v>
      </c>
      <c r="D713" s="36" t="str">
        <f>IF(ISNA(VLOOKUP(Tableau13[[#This Row],[Code machine]],'CODE mchn'!$A$4:$C$170,3,0)),"",VLOOKUP(Tableau13[[#This Row],[Code machine]],'CODE mchn'!$A$4:$C$170,3,0))</f>
        <v>Vitari 1</v>
      </c>
      <c r="E713" s="105"/>
      <c r="F713" s="69"/>
      <c r="G713" s="69" t="s">
        <v>136</v>
      </c>
      <c r="H713" s="69" t="s">
        <v>776</v>
      </c>
      <c r="I713" s="69" t="s">
        <v>13</v>
      </c>
      <c r="J713" s="164" t="s">
        <v>1441</v>
      </c>
      <c r="K713" s="165">
        <v>43862</v>
      </c>
      <c r="L713" s="69"/>
      <c r="M713" s="166">
        <v>20</v>
      </c>
      <c r="N713" s="167">
        <f>MONTH(Tableau13[[#This Row],[Date fin intervention]])</f>
        <v>2</v>
      </c>
      <c r="O713" s="167">
        <f>YEAR(Tableau13[[#This Row],[Date fin intervention]])</f>
        <v>2020</v>
      </c>
      <c r="P713" s="69"/>
    </row>
    <row r="714" spans="1:16">
      <c r="A714" s="104">
        <v>43864</v>
      </c>
      <c r="B714" s="105">
        <v>700</v>
      </c>
      <c r="C714" s="106" t="str">
        <f>IF(ISNA(VLOOKUP(Tableau13[[#This Row],[Code machine]],'CODE mchn'!$A$4:$C$170,2,0)),"",VLOOKUP(Tableau13[[#This Row],[Code machine]],'CODE mchn'!$A$4:$C$170,2,0))</f>
        <v>Béton</v>
      </c>
      <c r="D714" s="36" t="str">
        <f>IF(ISNA(VLOOKUP(Tableau13[[#This Row],[Code machine]],'CODE mchn'!$A$4:$C$170,3,0)),"",VLOOKUP(Tableau13[[#This Row],[Code machine]],'CODE mchn'!$A$4:$C$170,3,0))</f>
        <v>Poyatos 1</v>
      </c>
      <c r="E714" s="105"/>
      <c r="F714" s="36"/>
      <c r="G714" s="36" t="s">
        <v>43</v>
      </c>
      <c r="H714" s="36" t="s">
        <v>1412</v>
      </c>
      <c r="I714" s="36" t="s">
        <v>13</v>
      </c>
      <c r="J714" s="106" t="s">
        <v>1413</v>
      </c>
      <c r="K714" s="71">
        <v>43864</v>
      </c>
      <c r="L714" s="36"/>
      <c r="M714" s="141">
        <v>2</v>
      </c>
      <c r="N714" s="108">
        <f>MONTH(Tableau13[[#This Row],[Date fin intervention]])</f>
        <v>2</v>
      </c>
      <c r="O714" s="108">
        <f>YEAR(Tableau13[[#This Row],[Date fin intervention]])</f>
        <v>2020</v>
      </c>
      <c r="P714" s="36"/>
    </row>
    <row r="715" spans="1:16">
      <c r="A715" s="162">
        <v>43864</v>
      </c>
      <c r="B715" s="163">
        <v>570</v>
      </c>
      <c r="C715" s="164" t="str">
        <f>IF(ISNA(VLOOKUP(Tableau13[[#This Row],[Code machine]],'CODE mchn'!$A$4:$C$170,2,0)),"",VLOOKUP(Tableau13[[#This Row],[Code machine]],'CODE mchn'!$A$4:$C$170,2,0))</f>
        <v>Acier</v>
      </c>
      <c r="D715" s="36" t="str">
        <f>IF(ISNA(VLOOKUP(Tableau13[[#This Row],[Code machine]],'CODE mchn'!$A$4:$C$170,3,0)),"",VLOOKUP(Tableau13[[#This Row],[Code machine]],'CODE mchn'!$A$4:$C$170,3,0))</f>
        <v>Sigmatic</v>
      </c>
      <c r="E715" s="105"/>
      <c r="F715" s="69"/>
      <c r="G715" s="69" t="s">
        <v>1442</v>
      </c>
      <c r="H715" s="69" t="s">
        <v>1443</v>
      </c>
      <c r="I715" s="69" t="s">
        <v>13</v>
      </c>
      <c r="J715" s="164" t="s">
        <v>1444</v>
      </c>
      <c r="K715" s="165">
        <v>43864</v>
      </c>
      <c r="L715" s="69"/>
      <c r="M715" s="166">
        <v>2</v>
      </c>
      <c r="N715" s="167">
        <f>MONTH(Tableau13[[#This Row],[Date fin intervention]])</f>
        <v>2</v>
      </c>
      <c r="O715" s="167">
        <f>YEAR(Tableau13[[#This Row],[Date fin intervention]])</f>
        <v>2020</v>
      </c>
      <c r="P715" s="69"/>
    </row>
    <row r="716" spans="1:16">
      <c r="A716" s="162">
        <v>43864</v>
      </c>
      <c r="B716" s="163">
        <v>606</v>
      </c>
      <c r="C716" s="164" t="str">
        <f>IF(ISNA(VLOOKUP(Tableau13[[#This Row],[Code machine]],'CODE mchn'!$A$4:$C$170,2,0)),"",VLOOKUP(Tableau13[[#This Row],[Code machine]],'CODE mchn'!$A$4:$C$170,2,0))</f>
        <v>Acier</v>
      </c>
      <c r="D716" s="36" t="str">
        <f>IF(ISNA(VLOOKUP(Tableau13[[#This Row],[Code machine]],'CODE mchn'!$A$4:$C$170,3,0)),"",VLOOKUP(Tableau13[[#This Row],[Code machine]],'CODE mchn'!$A$4:$C$170,3,0))</f>
        <v>Vitari 2</v>
      </c>
      <c r="E716" s="105"/>
      <c r="F716" s="69"/>
      <c r="G716" s="69" t="s">
        <v>10</v>
      </c>
      <c r="H716" s="69" t="s">
        <v>1445</v>
      </c>
      <c r="I716" s="69" t="s">
        <v>13</v>
      </c>
      <c r="J716" s="164" t="s">
        <v>1446</v>
      </c>
      <c r="K716" s="165">
        <v>43864</v>
      </c>
      <c r="L716" s="69"/>
      <c r="M716" s="166">
        <v>1</v>
      </c>
      <c r="N716" s="167">
        <f>MONTH(Tableau13[[#This Row],[Date fin intervention]])</f>
        <v>2</v>
      </c>
      <c r="O716" s="167">
        <f>YEAR(Tableau13[[#This Row],[Date fin intervention]])</f>
        <v>2020</v>
      </c>
      <c r="P716" s="69"/>
    </row>
    <row r="717" spans="1:16">
      <c r="A717" s="168">
        <v>43864</v>
      </c>
      <c r="B717" s="169">
        <v>700</v>
      </c>
      <c r="C717" s="170" t="str">
        <f>IF(ISNA(VLOOKUP(Tableau13[[#This Row],[Code machine]],'CODE mchn'!$A$4:$C$170,2,0)),"",VLOOKUP(Tableau13[[#This Row],[Code machine]],'CODE mchn'!$A$4:$C$170,2,0))</f>
        <v>Béton</v>
      </c>
      <c r="D717" s="36" t="str">
        <f>IF(ISNA(VLOOKUP(Tableau13[[#This Row],[Code machine]],'CODE mchn'!$A$4:$C$170,3,0)),"",VLOOKUP(Tableau13[[#This Row],[Code machine]],'CODE mchn'!$A$4:$C$170,3,0))</f>
        <v>Poyatos 1</v>
      </c>
      <c r="E717" s="105"/>
      <c r="F717" s="70"/>
      <c r="G717" s="70" t="s">
        <v>118</v>
      </c>
      <c r="H717" s="70" t="s">
        <v>1502</v>
      </c>
      <c r="I717" s="70" t="s">
        <v>13</v>
      </c>
      <c r="J717" s="170" t="s">
        <v>119</v>
      </c>
      <c r="K717" s="171">
        <v>43864</v>
      </c>
      <c r="L717" s="70"/>
      <c r="M717" s="172">
        <v>40</v>
      </c>
      <c r="N717" s="173">
        <f>MONTH(Tableau13[[#This Row],[Date fin intervention]])</f>
        <v>2</v>
      </c>
      <c r="O717" s="173">
        <f>YEAR(Tableau13[[#This Row],[Date fin intervention]])</f>
        <v>2020</v>
      </c>
      <c r="P717" s="70"/>
    </row>
    <row r="718" spans="1:16">
      <c r="A718" s="104">
        <v>43865</v>
      </c>
      <c r="B718" s="105">
        <v>800</v>
      </c>
      <c r="C718" s="106" t="str">
        <f>IF(ISNA(VLOOKUP(Tableau13[[#This Row],[Code machine]],'CODE mchn'!$A$4:$C$170,2,0)),"",VLOOKUP(Tableau13[[#This Row],[Code machine]],'CODE mchn'!$A$4:$C$170,2,0))</f>
        <v>Béton</v>
      </c>
      <c r="D718" s="36" t="str">
        <f>IF(ISNA(VLOOKUP(Tableau13[[#This Row],[Code machine]],'CODE mchn'!$A$4:$C$170,3,0)),"",VLOOKUP(Tableau13[[#This Row],[Code machine]],'CODE mchn'!$A$4:$C$170,3,0))</f>
        <v>Poyatos 2</v>
      </c>
      <c r="E718" s="105"/>
      <c r="F718" s="36"/>
      <c r="G718" s="36" t="s">
        <v>809</v>
      </c>
      <c r="H718" s="36" t="s">
        <v>1414</v>
      </c>
      <c r="I718" s="36" t="s">
        <v>13</v>
      </c>
      <c r="J718" s="106" t="s">
        <v>1415</v>
      </c>
      <c r="K718" s="71">
        <v>43865</v>
      </c>
      <c r="L718" s="36"/>
      <c r="M718" s="141">
        <v>1</v>
      </c>
      <c r="N718" s="108">
        <f>MONTH(Tableau13[[#This Row],[Date fin intervention]])</f>
        <v>2</v>
      </c>
      <c r="O718" s="108">
        <f>YEAR(Tableau13[[#This Row],[Date fin intervention]])</f>
        <v>2020</v>
      </c>
      <c r="P718" s="36"/>
    </row>
    <row r="719" spans="1:16">
      <c r="A719" s="104">
        <v>43865</v>
      </c>
      <c r="B719" s="105">
        <v>700</v>
      </c>
      <c r="C719" s="106" t="str">
        <f>IF(ISNA(VLOOKUP(Tableau13[[#This Row],[Code machine]],'CODE mchn'!$A$4:$C$170,2,0)),"",VLOOKUP(Tableau13[[#This Row],[Code machine]],'CODE mchn'!$A$4:$C$170,2,0))</f>
        <v>Béton</v>
      </c>
      <c r="D719" s="36" t="str">
        <f>IF(ISNA(VLOOKUP(Tableau13[[#This Row],[Code machine]],'CODE mchn'!$A$4:$C$170,3,0)),"",VLOOKUP(Tableau13[[#This Row],[Code machine]],'CODE mchn'!$A$4:$C$170,3,0))</f>
        <v>Poyatos 1</v>
      </c>
      <c r="E719" s="105"/>
      <c r="F719" s="36"/>
      <c r="G719" s="36" t="s">
        <v>809</v>
      </c>
      <c r="H719" s="36" t="s">
        <v>1416</v>
      </c>
      <c r="I719" s="36" t="s">
        <v>13</v>
      </c>
      <c r="J719" s="106" t="s">
        <v>1417</v>
      </c>
      <c r="K719" s="71">
        <v>43865</v>
      </c>
      <c r="L719" s="36"/>
      <c r="M719" s="141">
        <v>2</v>
      </c>
      <c r="N719" s="108">
        <f>MONTH(Tableau13[[#This Row],[Date fin intervention]])</f>
        <v>2</v>
      </c>
      <c r="O719" s="108">
        <f>YEAR(Tableau13[[#This Row],[Date fin intervention]])</f>
        <v>2020</v>
      </c>
      <c r="P719" s="36"/>
    </row>
    <row r="720" spans="1:16">
      <c r="A720" s="162">
        <v>43865</v>
      </c>
      <c r="B720" s="163">
        <v>582</v>
      </c>
      <c r="C720" s="164" t="str">
        <f>IF(ISNA(VLOOKUP(Tableau13[[#This Row],[Code machine]],'CODE mchn'!$A$4:$C$170,2,0)),"",VLOOKUP(Tableau13[[#This Row],[Code machine]],'CODE mchn'!$A$4:$C$170,2,0))</f>
        <v>Acier</v>
      </c>
      <c r="D720" s="36" t="str">
        <f>IF(ISNA(VLOOKUP(Tableau13[[#This Row],[Code machine]],'CODE mchn'!$A$4:$C$170,3,0)),"",VLOOKUP(Tableau13[[#This Row],[Code machine]],'CODE mchn'!$A$4:$C$170,3,0))</f>
        <v>Teurema 2</v>
      </c>
      <c r="E720" s="105"/>
      <c r="F720" s="69"/>
      <c r="G720" s="69" t="s">
        <v>1447</v>
      </c>
      <c r="H720" s="69" t="s">
        <v>1448</v>
      </c>
      <c r="I720" s="69" t="s">
        <v>13</v>
      </c>
      <c r="J720" s="164" t="s">
        <v>1449</v>
      </c>
      <c r="K720" s="165">
        <v>43865</v>
      </c>
      <c r="L720" s="69"/>
      <c r="M720" s="166">
        <v>1</v>
      </c>
      <c r="N720" s="167">
        <f>MONTH(Tableau13[[#This Row],[Date fin intervention]])</f>
        <v>2</v>
      </c>
      <c r="O720" s="167">
        <f>YEAR(Tableau13[[#This Row],[Date fin intervention]])</f>
        <v>2020</v>
      </c>
      <c r="P720" s="69"/>
    </row>
    <row r="721" spans="1:16" ht="42.75">
      <c r="A721" s="104">
        <v>43866</v>
      </c>
      <c r="B721" s="105">
        <v>700</v>
      </c>
      <c r="C721" s="106" t="str">
        <f>IF(ISNA(VLOOKUP(Tableau13[[#This Row],[Code machine]],'CODE mchn'!$A$4:$C$170,2,0)),"",VLOOKUP(Tableau13[[#This Row],[Code machine]],'CODE mchn'!$A$4:$C$170,2,0))</f>
        <v>Béton</v>
      </c>
      <c r="D721" s="36" t="str">
        <f>IF(ISNA(VLOOKUP(Tableau13[[#This Row],[Code machine]],'CODE mchn'!$A$4:$C$170,3,0)),"",VLOOKUP(Tableau13[[#This Row],[Code machine]],'CODE mchn'!$A$4:$C$170,3,0))</f>
        <v>Poyatos 1</v>
      </c>
      <c r="E721" s="105"/>
      <c r="F721" s="36"/>
      <c r="G721" s="36" t="s">
        <v>20</v>
      </c>
      <c r="H721" s="36" t="s">
        <v>1088</v>
      </c>
      <c r="I721" s="36" t="s">
        <v>13</v>
      </c>
      <c r="J721" s="106" t="s">
        <v>722</v>
      </c>
      <c r="K721" s="71">
        <v>43867</v>
      </c>
      <c r="L721" s="36"/>
      <c r="M721" s="141" t="s">
        <v>2259</v>
      </c>
      <c r="N721" s="108">
        <f>MONTH(Tableau13[[#This Row],[Date fin intervention]])</f>
        <v>2</v>
      </c>
      <c r="O721" s="108">
        <f>YEAR(Tableau13[[#This Row],[Date fin intervention]])</f>
        <v>2020</v>
      </c>
      <c r="P721" s="36"/>
    </row>
    <row r="722" spans="1:16" ht="42.75">
      <c r="A722" s="162">
        <v>43866</v>
      </c>
      <c r="B722" s="163">
        <v>606</v>
      </c>
      <c r="C722" s="164" t="str">
        <f>IF(ISNA(VLOOKUP(Tableau13[[#This Row],[Code machine]],'CODE mchn'!$A$4:$C$170,2,0)),"",VLOOKUP(Tableau13[[#This Row],[Code machine]],'CODE mchn'!$A$4:$C$170,2,0))</f>
        <v>Acier</v>
      </c>
      <c r="D722" s="36" t="str">
        <f>IF(ISNA(VLOOKUP(Tableau13[[#This Row],[Code machine]],'CODE mchn'!$A$4:$C$170,3,0)),"",VLOOKUP(Tableau13[[#This Row],[Code machine]],'CODE mchn'!$A$4:$C$170,3,0))</f>
        <v>Vitari 2</v>
      </c>
      <c r="E722" s="105"/>
      <c r="F722" s="69"/>
      <c r="G722" s="69" t="s">
        <v>1450</v>
      </c>
      <c r="H722" s="69" t="s">
        <v>1284</v>
      </c>
      <c r="I722" s="69" t="s">
        <v>13</v>
      </c>
      <c r="J722" s="164" t="s">
        <v>725</v>
      </c>
      <c r="K722" s="165">
        <v>43868</v>
      </c>
      <c r="L722" s="69"/>
      <c r="M722" s="166" t="s">
        <v>2259</v>
      </c>
      <c r="N722" s="167">
        <f>MONTH(Tableau13[[#This Row],[Date fin intervention]])</f>
        <v>2</v>
      </c>
      <c r="O722" s="167">
        <f>YEAR(Tableau13[[#This Row],[Date fin intervention]])</f>
        <v>2020</v>
      </c>
      <c r="P722" s="69"/>
    </row>
    <row r="723" spans="1:16">
      <c r="A723" s="104">
        <v>43867</v>
      </c>
      <c r="B723" s="105">
        <v>700</v>
      </c>
      <c r="C723" s="106" t="str">
        <f>IF(ISNA(VLOOKUP(Tableau13[[#This Row],[Code machine]],'CODE mchn'!$A$4:$C$170,2,0)),"",VLOOKUP(Tableau13[[#This Row],[Code machine]],'CODE mchn'!$A$4:$C$170,2,0))</f>
        <v>Béton</v>
      </c>
      <c r="D723" s="36" t="str">
        <f>IF(ISNA(VLOOKUP(Tableau13[[#This Row],[Code machine]],'CODE mchn'!$A$4:$C$170,3,0)),"",VLOOKUP(Tableau13[[#This Row],[Code machine]],'CODE mchn'!$A$4:$C$170,3,0))</f>
        <v>Poyatos 1</v>
      </c>
      <c r="E723" s="105"/>
      <c r="F723" s="36"/>
      <c r="G723" s="36" t="s">
        <v>43</v>
      </c>
      <c r="H723" s="36" t="s">
        <v>1418</v>
      </c>
      <c r="I723" s="36" t="s">
        <v>13</v>
      </c>
      <c r="J723" s="106" t="s">
        <v>1266</v>
      </c>
      <c r="K723" s="71">
        <v>43867</v>
      </c>
      <c r="L723" s="36"/>
      <c r="M723" s="127"/>
      <c r="N723" s="108">
        <f>MONTH(Tableau13[[#This Row],[Date fin intervention]])</f>
        <v>2</v>
      </c>
      <c r="O723" s="108">
        <f>YEAR(Tableau13[[#This Row],[Date fin intervention]])</f>
        <v>2020</v>
      </c>
      <c r="P723" s="36"/>
    </row>
    <row r="724" spans="1:16">
      <c r="A724" s="104">
        <v>43868</v>
      </c>
      <c r="B724" s="105">
        <v>700</v>
      </c>
      <c r="C724" s="106" t="str">
        <f>IF(ISNA(VLOOKUP(Tableau13[[#This Row],[Code machine]],'CODE mchn'!$A$4:$C$170,2,0)),"",VLOOKUP(Tableau13[[#This Row],[Code machine]],'CODE mchn'!$A$4:$C$170,2,0))</f>
        <v>Béton</v>
      </c>
      <c r="D724" s="36" t="str">
        <f>IF(ISNA(VLOOKUP(Tableau13[[#This Row],[Code machine]],'CODE mchn'!$A$4:$C$170,3,0)),"",VLOOKUP(Tableau13[[#This Row],[Code machine]],'CODE mchn'!$A$4:$C$170,3,0))</f>
        <v>Poyatos 1</v>
      </c>
      <c r="E724" s="105"/>
      <c r="F724" s="36"/>
      <c r="G724" s="36" t="s">
        <v>1132</v>
      </c>
      <c r="H724" s="36" t="s">
        <v>1419</v>
      </c>
      <c r="I724" s="36" t="s">
        <v>13</v>
      </c>
      <c r="J724" s="106" t="s">
        <v>418</v>
      </c>
      <c r="K724" s="71">
        <v>43868</v>
      </c>
      <c r="L724" s="36"/>
      <c r="M724" s="141">
        <v>30</v>
      </c>
      <c r="N724" s="108">
        <f>MONTH(Tableau13[[#This Row],[Date fin intervention]])</f>
        <v>2</v>
      </c>
      <c r="O724" s="108">
        <f>YEAR(Tableau13[[#This Row],[Date fin intervention]])</f>
        <v>2020</v>
      </c>
      <c r="P724" s="36"/>
    </row>
    <row r="725" spans="1:16">
      <c r="A725" s="104">
        <v>43868</v>
      </c>
      <c r="B725" s="105">
        <v>700</v>
      </c>
      <c r="C725" s="106" t="str">
        <f>IF(ISNA(VLOOKUP(Tableau13[[#This Row],[Code machine]],'CODE mchn'!$A$4:$C$170,2,0)),"",VLOOKUP(Tableau13[[#This Row],[Code machine]],'CODE mchn'!$A$4:$C$170,2,0))</f>
        <v>Béton</v>
      </c>
      <c r="D725" s="36" t="str">
        <f>IF(ISNA(VLOOKUP(Tableau13[[#This Row],[Code machine]],'CODE mchn'!$A$4:$C$170,3,0)),"",VLOOKUP(Tableau13[[#This Row],[Code machine]],'CODE mchn'!$A$4:$C$170,3,0))</f>
        <v>Poyatos 1</v>
      </c>
      <c r="E725" s="105"/>
      <c r="F725" s="36"/>
      <c r="G725" s="36" t="s">
        <v>394</v>
      </c>
      <c r="H725" s="36" t="s">
        <v>1420</v>
      </c>
      <c r="I725" s="36" t="s">
        <v>13</v>
      </c>
      <c r="J725" s="106" t="s">
        <v>1421</v>
      </c>
      <c r="K725" s="71">
        <v>43868</v>
      </c>
      <c r="L725" s="36"/>
      <c r="M725" s="127"/>
      <c r="N725" s="108">
        <f>MONTH(Tableau13[[#This Row],[Date fin intervention]])</f>
        <v>2</v>
      </c>
      <c r="O725" s="108">
        <f>YEAR(Tableau13[[#This Row],[Date fin intervention]])</f>
        <v>2020</v>
      </c>
      <c r="P725" s="36"/>
    </row>
    <row r="726" spans="1:16">
      <c r="A726" s="162">
        <v>43868</v>
      </c>
      <c r="B726" s="163">
        <v>590</v>
      </c>
      <c r="C726" s="164" t="str">
        <f>IF(ISNA(VLOOKUP(Tableau13[[#This Row],[Code machine]],'CODE mchn'!$A$4:$C$170,2,0)),"",VLOOKUP(Tableau13[[#This Row],[Code machine]],'CODE mchn'!$A$4:$C$170,2,0))</f>
        <v>Acier</v>
      </c>
      <c r="D726" s="36" t="str">
        <f>IF(ISNA(VLOOKUP(Tableau13[[#This Row],[Code machine]],'CODE mchn'!$A$4:$C$170,3,0)),"",VLOOKUP(Tableau13[[#This Row],[Code machine]],'CODE mchn'!$A$4:$C$170,3,0))</f>
        <v>Teurema 3</v>
      </c>
      <c r="E726" s="105"/>
      <c r="F726" s="69"/>
      <c r="G726" s="69" t="s">
        <v>643</v>
      </c>
      <c r="H726" s="69" t="s">
        <v>352</v>
      </c>
      <c r="I726" s="69" t="s">
        <v>13</v>
      </c>
      <c r="J726" s="164" t="s">
        <v>1451</v>
      </c>
      <c r="K726" s="165">
        <v>43868</v>
      </c>
      <c r="L726" s="69"/>
      <c r="M726" s="166">
        <v>1</v>
      </c>
      <c r="N726" s="167">
        <f>MONTH(Tableau13[[#This Row],[Date fin intervention]])</f>
        <v>2</v>
      </c>
      <c r="O726" s="167">
        <f>YEAR(Tableau13[[#This Row],[Date fin intervention]])</f>
        <v>2020</v>
      </c>
      <c r="P726" s="69"/>
    </row>
    <row r="727" spans="1:16">
      <c r="A727" s="162">
        <v>43868</v>
      </c>
      <c r="B727" s="163">
        <v>565</v>
      </c>
      <c r="C727" s="164" t="str">
        <f>IF(ISNA(VLOOKUP(Tableau13[[#This Row],[Code machine]],'CODE mchn'!$A$4:$C$170,2,0)),"",VLOOKUP(Tableau13[[#This Row],[Code machine]],'CODE mchn'!$A$4:$C$170,2,0))</f>
        <v>Acier</v>
      </c>
      <c r="D727" s="36" t="str">
        <f>IF(ISNA(VLOOKUP(Tableau13[[#This Row],[Code machine]],'CODE mchn'!$A$4:$C$170,3,0)),"",VLOOKUP(Tableau13[[#This Row],[Code machine]],'CODE mchn'!$A$4:$C$170,3,0))</f>
        <v>EVG GE12</v>
      </c>
      <c r="E727" s="105"/>
      <c r="F727" s="69"/>
      <c r="G727" s="69" t="s">
        <v>104</v>
      </c>
      <c r="H727" s="69" t="s">
        <v>1147</v>
      </c>
      <c r="I727" s="69" t="s">
        <v>13</v>
      </c>
      <c r="J727" s="164" t="s">
        <v>1452</v>
      </c>
      <c r="K727" s="165">
        <v>43868</v>
      </c>
      <c r="L727" s="69"/>
      <c r="M727" s="166">
        <v>1</v>
      </c>
      <c r="N727" s="167">
        <f>MONTH(Tableau13[[#This Row],[Date fin intervention]])</f>
        <v>2</v>
      </c>
      <c r="O727" s="167">
        <f>YEAR(Tableau13[[#This Row],[Date fin intervention]])</f>
        <v>2020</v>
      </c>
      <c r="P727" s="69"/>
    </row>
    <row r="728" spans="1:16">
      <c r="A728" s="162">
        <v>43869</v>
      </c>
      <c r="B728" s="163">
        <v>565</v>
      </c>
      <c r="C728" s="164" t="str">
        <f>IF(ISNA(VLOOKUP(Tableau13[[#This Row],[Code machine]],'CODE mchn'!$A$4:$C$170,2,0)),"",VLOOKUP(Tableau13[[#This Row],[Code machine]],'CODE mchn'!$A$4:$C$170,2,0))</f>
        <v>Acier</v>
      </c>
      <c r="D728" s="36" t="str">
        <f>IF(ISNA(VLOOKUP(Tableau13[[#This Row],[Code machine]],'CODE mchn'!$A$4:$C$170,3,0)),"",VLOOKUP(Tableau13[[#This Row],[Code machine]],'CODE mchn'!$A$4:$C$170,3,0))</f>
        <v>EVG GE12</v>
      </c>
      <c r="E728" s="105"/>
      <c r="F728" s="69"/>
      <c r="G728" s="69" t="s">
        <v>104</v>
      </c>
      <c r="H728" s="69" t="s">
        <v>1147</v>
      </c>
      <c r="I728" s="69" t="s">
        <v>13</v>
      </c>
      <c r="J728" s="164" t="s">
        <v>1146</v>
      </c>
      <c r="K728" s="165">
        <v>43869</v>
      </c>
      <c r="L728" s="69"/>
      <c r="M728" s="166">
        <v>2</v>
      </c>
      <c r="N728" s="167">
        <f>MONTH(Tableau13[[#This Row],[Date fin intervention]])</f>
        <v>2</v>
      </c>
      <c r="O728" s="167">
        <f>YEAR(Tableau13[[#This Row],[Date fin intervention]])</f>
        <v>2020</v>
      </c>
      <c r="P728" s="69"/>
    </row>
    <row r="729" spans="1:16">
      <c r="A729" s="162">
        <v>43869</v>
      </c>
      <c r="B729" s="163">
        <v>606</v>
      </c>
      <c r="C729" s="164" t="str">
        <f>IF(ISNA(VLOOKUP(Tableau13[[#This Row],[Code machine]],'CODE mchn'!$A$4:$C$170,2,0)),"",VLOOKUP(Tableau13[[#This Row],[Code machine]],'CODE mchn'!$A$4:$C$170,2,0))</f>
        <v>Acier</v>
      </c>
      <c r="D729" s="36" t="str">
        <f>IF(ISNA(VLOOKUP(Tableau13[[#This Row],[Code machine]],'CODE mchn'!$A$4:$C$170,3,0)),"",VLOOKUP(Tableau13[[#This Row],[Code machine]],'CODE mchn'!$A$4:$C$170,3,0))</f>
        <v>Vitari 2</v>
      </c>
      <c r="E729" s="105"/>
      <c r="F729" s="69"/>
      <c r="G729" s="69" t="s">
        <v>10</v>
      </c>
      <c r="H729" s="69" t="s">
        <v>1453</v>
      </c>
      <c r="I729" s="69" t="s">
        <v>13</v>
      </c>
      <c r="J729" s="164" t="s">
        <v>1454</v>
      </c>
      <c r="K729" s="165">
        <v>43869</v>
      </c>
      <c r="L729" s="69"/>
      <c r="M729" s="166">
        <v>1</v>
      </c>
      <c r="N729" s="167">
        <f>MONTH(Tableau13[[#This Row],[Date fin intervention]])</f>
        <v>2</v>
      </c>
      <c r="O729" s="167">
        <f>YEAR(Tableau13[[#This Row],[Date fin intervention]])</f>
        <v>2020</v>
      </c>
      <c r="P729" s="69"/>
    </row>
    <row r="730" spans="1:16">
      <c r="A730" s="162">
        <v>43869</v>
      </c>
      <c r="B730" s="163">
        <v>590</v>
      </c>
      <c r="C730" s="164" t="str">
        <f>IF(ISNA(VLOOKUP(Tableau13[[#This Row],[Code machine]],'CODE mchn'!$A$4:$C$170,2,0)),"",VLOOKUP(Tableau13[[#This Row],[Code machine]],'CODE mchn'!$A$4:$C$170,2,0))</f>
        <v>Acier</v>
      </c>
      <c r="D730" s="36" t="str">
        <f>IF(ISNA(VLOOKUP(Tableau13[[#This Row],[Code machine]],'CODE mchn'!$A$4:$C$170,3,0)),"",VLOOKUP(Tableau13[[#This Row],[Code machine]],'CODE mchn'!$A$4:$C$170,3,0))</f>
        <v>Teurema 3</v>
      </c>
      <c r="E730" s="105"/>
      <c r="F730" s="69"/>
      <c r="G730" s="69" t="s">
        <v>1060</v>
      </c>
      <c r="H730" s="69" t="s">
        <v>449</v>
      </c>
      <c r="I730" s="69" t="s">
        <v>13</v>
      </c>
      <c r="J730" s="164" t="s">
        <v>1169</v>
      </c>
      <c r="K730" s="165">
        <v>43869</v>
      </c>
      <c r="L730" s="69"/>
      <c r="M730" s="166">
        <v>2</v>
      </c>
      <c r="N730" s="167">
        <f>MONTH(Tableau13[[#This Row],[Date fin intervention]])</f>
        <v>2</v>
      </c>
      <c r="O730" s="167">
        <f>YEAR(Tableau13[[#This Row],[Date fin intervention]])</f>
        <v>2020</v>
      </c>
      <c r="P730" s="69"/>
    </row>
    <row r="731" spans="1:16" ht="42.75">
      <c r="A731" s="162">
        <v>43871</v>
      </c>
      <c r="B731" s="163">
        <v>605</v>
      </c>
      <c r="C731" s="164" t="str">
        <f>IF(ISNA(VLOOKUP(Tableau13[[#This Row],[Code machine]],'CODE mchn'!$A$4:$C$170,2,0)),"",VLOOKUP(Tableau13[[#This Row],[Code machine]],'CODE mchn'!$A$4:$C$170,2,0))</f>
        <v>Acier</v>
      </c>
      <c r="D731" s="36" t="str">
        <f>IF(ISNA(VLOOKUP(Tableau13[[#This Row],[Code machine]],'CODE mchn'!$A$4:$C$170,3,0)),"",VLOOKUP(Tableau13[[#This Row],[Code machine]],'CODE mchn'!$A$4:$C$170,3,0))</f>
        <v>Vitari 1</v>
      </c>
      <c r="E731" s="105"/>
      <c r="F731" s="69"/>
      <c r="G731" s="69" t="s">
        <v>10</v>
      </c>
      <c r="H731" s="69" t="s">
        <v>1455</v>
      </c>
      <c r="I731" s="69" t="s">
        <v>13</v>
      </c>
      <c r="J731" s="164" t="s">
        <v>1456</v>
      </c>
      <c r="K731" s="165">
        <v>43872</v>
      </c>
      <c r="L731" s="69"/>
      <c r="M731" s="166" t="s">
        <v>2259</v>
      </c>
      <c r="N731" s="167">
        <f>MONTH(Tableau13[[#This Row],[Date fin intervention]])</f>
        <v>2</v>
      </c>
      <c r="O731" s="167">
        <f>YEAR(Tableau13[[#This Row],[Date fin intervention]])</f>
        <v>2020</v>
      </c>
      <c r="P731" s="69"/>
    </row>
    <row r="732" spans="1:16">
      <c r="A732" s="104">
        <v>43872</v>
      </c>
      <c r="B732" s="105">
        <v>700</v>
      </c>
      <c r="C732" s="106" t="str">
        <f>IF(ISNA(VLOOKUP(Tableau13[[#This Row],[Code machine]],'CODE mchn'!$A$4:$C$170,2,0)),"",VLOOKUP(Tableau13[[#This Row],[Code machine]],'CODE mchn'!$A$4:$C$170,2,0))</f>
        <v>Béton</v>
      </c>
      <c r="D732" s="36" t="str">
        <f>IF(ISNA(VLOOKUP(Tableau13[[#This Row],[Code machine]],'CODE mchn'!$A$4:$C$170,3,0)),"",VLOOKUP(Tableau13[[#This Row],[Code machine]],'CODE mchn'!$A$4:$C$170,3,0))</f>
        <v>Poyatos 1</v>
      </c>
      <c r="E732" s="105"/>
      <c r="F732" s="36"/>
      <c r="G732" s="36" t="s">
        <v>291</v>
      </c>
      <c r="H732" s="36" t="s">
        <v>1422</v>
      </c>
      <c r="I732" s="36" t="s">
        <v>13</v>
      </c>
      <c r="J732" s="106" t="s">
        <v>1423</v>
      </c>
      <c r="K732" s="71">
        <v>43872</v>
      </c>
      <c r="L732" s="36"/>
      <c r="M732" s="141">
        <v>2</v>
      </c>
      <c r="N732" s="108">
        <f>MONTH(Tableau13[[#This Row],[Date fin intervention]])</f>
        <v>2</v>
      </c>
      <c r="O732" s="108">
        <f>YEAR(Tableau13[[#This Row],[Date fin intervention]])</f>
        <v>2020</v>
      </c>
      <c r="P732" s="36"/>
    </row>
    <row r="733" spans="1:16">
      <c r="A733" s="104">
        <v>43872</v>
      </c>
      <c r="B733" s="105">
        <v>800</v>
      </c>
      <c r="C733" s="106" t="str">
        <f>IF(ISNA(VLOOKUP(Tableau13[[#This Row],[Code machine]],'CODE mchn'!$A$4:$C$170,2,0)),"",VLOOKUP(Tableau13[[#This Row],[Code machine]],'CODE mchn'!$A$4:$C$170,2,0))</f>
        <v>Béton</v>
      </c>
      <c r="D733" s="36" t="str">
        <f>IF(ISNA(VLOOKUP(Tableau13[[#This Row],[Code machine]],'CODE mchn'!$A$4:$C$170,3,0)),"",VLOOKUP(Tableau13[[#This Row],[Code machine]],'CODE mchn'!$A$4:$C$170,3,0))</f>
        <v>Poyatos 2</v>
      </c>
      <c r="E733" s="105"/>
      <c r="F733" s="36"/>
      <c r="G733" s="36" t="s">
        <v>809</v>
      </c>
      <c r="H733" s="36" t="s">
        <v>968</v>
      </c>
      <c r="I733" s="36" t="s">
        <v>13</v>
      </c>
      <c r="J733" s="106" t="s">
        <v>1424</v>
      </c>
      <c r="K733" s="71">
        <v>43872</v>
      </c>
      <c r="L733" s="36"/>
      <c r="M733" s="141">
        <v>2</v>
      </c>
      <c r="N733" s="108">
        <f>MONTH(Tableau13[[#This Row],[Date fin intervention]])</f>
        <v>2</v>
      </c>
      <c r="O733" s="108">
        <f>YEAR(Tableau13[[#This Row],[Date fin intervention]])</f>
        <v>2020</v>
      </c>
      <c r="P733" s="36"/>
    </row>
    <row r="734" spans="1:16">
      <c r="A734" s="162">
        <v>43872</v>
      </c>
      <c r="B734" s="163">
        <v>440</v>
      </c>
      <c r="C734" s="164" t="str">
        <f>IF(ISNA(VLOOKUP(Tableau13[[#This Row],[Code machine]],'CODE mchn'!$A$4:$C$170,2,0)),"",VLOOKUP(Tableau13[[#This Row],[Code machine]],'CODE mchn'!$A$4:$C$170,2,0))</f>
        <v>Compresseurs</v>
      </c>
      <c r="D734" s="36" t="str">
        <f>IF(ISNA(VLOOKUP(Tableau13[[#This Row],[Code machine]],'CODE mchn'!$A$4:$C$170,3,0)),"",VLOOKUP(Tableau13[[#This Row],[Code machine]],'CODE mchn'!$A$4:$C$170,3,0))</f>
        <v>GA 37 (schlatter)</v>
      </c>
      <c r="E734" s="105"/>
      <c r="F734" s="69"/>
      <c r="G734" s="69" t="s">
        <v>1458</v>
      </c>
      <c r="H734" s="69" t="s">
        <v>1459</v>
      </c>
      <c r="I734" s="69" t="s">
        <v>13</v>
      </c>
      <c r="J734" s="164" t="s">
        <v>1460</v>
      </c>
      <c r="K734" s="165">
        <v>43872</v>
      </c>
      <c r="L734" s="69"/>
      <c r="M734" s="166">
        <v>40</v>
      </c>
      <c r="N734" s="167">
        <f>MONTH(Tableau13[[#This Row],[Date fin intervention]])</f>
        <v>2</v>
      </c>
      <c r="O734" s="167">
        <f>YEAR(Tableau13[[#This Row],[Date fin intervention]])</f>
        <v>2020</v>
      </c>
      <c r="P734" s="69"/>
    </row>
    <row r="735" spans="1:16">
      <c r="A735" s="162">
        <v>43873</v>
      </c>
      <c r="B735" s="163">
        <v>800</v>
      </c>
      <c r="C735" s="164" t="str">
        <f>IF(ISNA(VLOOKUP(Tableau13[[#This Row],[Code machine]],'CODE mchn'!$A$4:$C$170,2,0)),"",VLOOKUP(Tableau13[[#This Row],[Code machine]],'CODE mchn'!$A$4:$C$170,2,0))</f>
        <v>Béton</v>
      </c>
      <c r="D735" s="36" t="str">
        <f>IF(ISNA(VLOOKUP(Tableau13[[#This Row],[Code machine]],'CODE mchn'!$A$4:$C$170,3,0)),"",VLOOKUP(Tableau13[[#This Row],[Code machine]],'CODE mchn'!$A$4:$C$170,3,0))</f>
        <v>Poyatos 2</v>
      </c>
      <c r="E735" s="105"/>
      <c r="F735" s="69"/>
      <c r="G735" s="69" t="s">
        <v>185</v>
      </c>
      <c r="H735" s="69" t="s">
        <v>654</v>
      </c>
      <c r="I735" s="69" t="s">
        <v>13</v>
      </c>
      <c r="J735" s="164" t="s">
        <v>655</v>
      </c>
      <c r="K735" s="165">
        <v>43873</v>
      </c>
      <c r="L735" s="174"/>
      <c r="M735" s="166">
        <v>2</v>
      </c>
      <c r="N735" s="167">
        <f>MONTH(Tableau13[[#This Row],[Date fin intervention]])</f>
        <v>2</v>
      </c>
      <c r="O735" s="167">
        <f>YEAR(Tableau13[[#This Row],[Date fin intervention]])</f>
        <v>2020</v>
      </c>
      <c r="P735" s="69"/>
    </row>
    <row r="736" spans="1:16" ht="28.5">
      <c r="A736" s="162">
        <v>43873</v>
      </c>
      <c r="B736" s="163">
        <v>583</v>
      </c>
      <c r="C736" s="164" t="str">
        <f>IF(ISNA(VLOOKUP(Tableau13[[#This Row],[Code machine]],'CODE mchn'!$A$4:$C$170,2,0)),"",VLOOKUP(Tableau13[[#This Row],[Code machine]],'CODE mchn'!$A$4:$C$170,2,0))</f>
        <v>Ponts roulants</v>
      </c>
      <c r="D736" s="36" t="str">
        <f>IF(ISNA(VLOOKUP(Tableau13[[#This Row],[Code machine]],'CODE mchn'!$A$4:$C$170,3,0)),"",VLOOKUP(Tableau13[[#This Row],[Code machine]],'CODE mchn'!$A$4:$C$170,3,0))</f>
        <v>Pont roulant Abus 5T (teurema1)</v>
      </c>
      <c r="E736" s="105"/>
      <c r="F736" s="69"/>
      <c r="G736" s="69" t="s">
        <v>667</v>
      </c>
      <c r="H736" s="69" t="s">
        <v>1461</v>
      </c>
      <c r="I736" s="69" t="s">
        <v>13</v>
      </c>
      <c r="J736" s="164" t="s">
        <v>1462</v>
      </c>
      <c r="K736" s="165">
        <v>43873</v>
      </c>
      <c r="L736" s="69"/>
      <c r="M736" s="166">
        <v>2</v>
      </c>
      <c r="N736" s="167">
        <f>MONTH(Tableau13[[#This Row],[Date fin intervention]])</f>
        <v>2</v>
      </c>
      <c r="O736" s="167">
        <f>YEAR(Tableau13[[#This Row],[Date fin intervention]])</f>
        <v>2020</v>
      </c>
      <c r="P736" s="69"/>
    </row>
    <row r="737" spans="1:16">
      <c r="A737" s="162">
        <v>43873</v>
      </c>
      <c r="B737" s="163">
        <v>605</v>
      </c>
      <c r="C737" s="164" t="str">
        <f>IF(ISNA(VLOOKUP(Tableau13[[#This Row],[Code machine]],'CODE mchn'!$A$4:$C$170,2,0)),"",VLOOKUP(Tableau13[[#This Row],[Code machine]],'CODE mchn'!$A$4:$C$170,2,0))</f>
        <v>Acier</v>
      </c>
      <c r="D737" s="36" t="str">
        <f>IF(ISNA(VLOOKUP(Tableau13[[#This Row],[Code machine]],'CODE mchn'!$A$4:$C$170,3,0)),"",VLOOKUP(Tableau13[[#This Row],[Code machine]],'CODE mchn'!$A$4:$C$170,3,0))</f>
        <v>Vitari 1</v>
      </c>
      <c r="E737" s="105"/>
      <c r="F737" s="69"/>
      <c r="G737" s="69" t="s">
        <v>78</v>
      </c>
      <c r="H737" s="69" t="s">
        <v>1463</v>
      </c>
      <c r="I737" s="69" t="s">
        <v>13</v>
      </c>
      <c r="J737" s="164" t="s">
        <v>1464</v>
      </c>
      <c r="K737" s="165">
        <v>43873</v>
      </c>
      <c r="L737" s="69"/>
      <c r="M737" s="166">
        <v>1</v>
      </c>
      <c r="N737" s="167">
        <f>MONTH(Tableau13[[#This Row],[Date fin intervention]])</f>
        <v>2</v>
      </c>
      <c r="O737" s="167">
        <f>YEAR(Tableau13[[#This Row],[Date fin intervention]])</f>
        <v>2020</v>
      </c>
      <c r="P737" s="69"/>
    </row>
    <row r="738" spans="1:16">
      <c r="A738" s="162">
        <v>43873</v>
      </c>
      <c r="B738" s="163">
        <v>581</v>
      </c>
      <c r="C738" s="164" t="str">
        <f>IF(ISNA(VLOOKUP(Tableau13[[#This Row],[Code machine]],'CODE mchn'!$A$4:$C$170,2,0)),"",VLOOKUP(Tableau13[[#This Row],[Code machine]],'CODE mchn'!$A$4:$C$170,2,0))</f>
        <v>Acier</v>
      </c>
      <c r="D738" s="36" t="str">
        <f>IF(ISNA(VLOOKUP(Tableau13[[#This Row],[Code machine]],'CODE mchn'!$A$4:$C$170,3,0)),"",VLOOKUP(Tableau13[[#This Row],[Code machine]],'CODE mchn'!$A$4:$C$170,3,0))</f>
        <v>Teurema 1</v>
      </c>
      <c r="E738" s="105"/>
      <c r="F738" s="69"/>
      <c r="G738" s="69" t="s">
        <v>279</v>
      </c>
      <c r="H738" s="69" t="s">
        <v>1465</v>
      </c>
      <c r="I738" s="69" t="s">
        <v>13</v>
      </c>
      <c r="J738" s="164" t="s">
        <v>1466</v>
      </c>
      <c r="K738" s="165">
        <v>43873</v>
      </c>
      <c r="L738" s="69"/>
      <c r="M738" s="166">
        <v>40</v>
      </c>
      <c r="N738" s="167">
        <f>MONTH(Tableau13[[#This Row],[Date fin intervention]])</f>
        <v>2</v>
      </c>
      <c r="O738" s="167">
        <f>YEAR(Tableau13[[#This Row],[Date fin intervention]])</f>
        <v>2020</v>
      </c>
      <c r="P738" s="69"/>
    </row>
    <row r="739" spans="1:16">
      <c r="A739" s="162">
        <v>43873</v>
      </c>
      <c r="B739" s="163">
        <v>620</v>
      </c>
      <c r="C739" s="164" t="str">
        <f>IF(ISNA(VLOOKUP(Tableau13[[#This Row],[Code machine]],'CODE mchn'!$A$4:$C$170,2,0)),"",VLOOKUP(Tableau13[[#This Row],[Code machine]],'CODE mchn'!$A$4:$C$170,2,0))</f>
        <v>Acier</v>
      </c>
      <c r="D739" s="36" t="str">
        <f>IF(ISNA(VLOOKUP(Tableau13[[#This Row],[Code machine]],'CODE mchn'!$A$4:$C$170,3,0)),"",VLOOKUP(Tableau13[[#This Row],[Code machine]],'CODE mchn'!$A$4:$C$170,3,0))</f>
        <v>EVG PN 2</v>
      </c>
      <c r="E739" s="105"/>
      <c r="F739" s="69"/>
      <c r="G739" s="69" t="s">
        <v>1467</v>
      </c>
      <c r="H739" s="69" t="s">
        <v>1468</v>
      </c>
      <c r="I739" s="69" t="s">
        <v>13</v>
      </c>
      <c r="J739" s="164" t="s">
        <v>1469</v>
      </c>
      <c r="K739" s="165">
        <v>43873</v>
      </c>
      <c r="L739" s="69"/>
      <c r="M739" s="166">
        <v>1</v>
      </c>
      <c r="N739" s="167">
        <f>MONTH(Tableau13[[#This Row],[Date fin intervention]])</f>
        <v>2</v>
      </c>
      <c r="O739" s="167">
        <f>YEAR(Tableau13[[#This Row],[Date fin intervention]])</f>
        <v>2020</v>
      </c>
      <c r="P739" s="69"/>
    </row>
    <row r="740" spans="1:16">
      <c r="A740" s="162">
        <v>43873</v>
      </c>
      <c r="B740" s="163">
        <v>565</v>
      </c>
      <c r="C740" s="164" t="str">
        <f>IF(ISNA(VLOOKUP(Tableau13[[#This Row],[Code machine]],'CODE mchn'!$A$4:$C$170,2,0)),"",VLOOKUP(Tableau13[[#This Row],[Code machine]],'CODE mchn'!$A$4:$C$170,2,0))</f>
        <v>Acier</v>
      </c>
      <c r="D740" s="36" t="str">
        <f>IF(ISNA(VLOOKUP(Tableau13[[#This Row],[Code machine]],'CODE mchn'!$A$4:$C$170,3,0)),"",VLOOKUP(Tableau13[[#This Row],[Code machine]],'CODE mchn'!$A$4:$C$170,3,0))</f>
        <v>EVG GE12</v>
      </c>
      <c r="E740" s="105"/>
      <c r="F740" s="69"/>
      <c r="G740" s="69" t="s">
        <v>104</v>
      </c>
      <c r="H740" s="69" t="s">
        <v>1471</v>
      </c>
      <c r="I740" s="69" t="s">
        <v>13</v>
      </c>
      <c r="J740" s="164" t="s">
        <v>1472</v>
      </c>
      <c r="K740" s="165">
        <v>43873</v>
      </c>
      <c r="L740" s="69"/>
      <c r="M740" s="166">
        <v>2</v>
      </c>
      <c r="N740" s="167">
        <f>MONTH(Tableau13[[#This Row],[Date fin intervention]])</f>
        <v>2</v>
      </c>
      <c r="O740" s="167">
        <f>YEAR(Tableau13[[#This Row],[Date fin intervention]])</f>
        <v>2020</v>
      </c>
      <c r="P740" s="69"/>
    </row>
    <row r="741" spans="1:16">
      <c r="A741" s="162">
        <v>43874</v>
      </c>
      <c r="B741" s="163">
        <v>800</v>
      </c>
      <c r="C741" s="164" t="str">
        <f>IF(ISNA(VLOOKUP(Tableau13[[#This Row],[Code machine]],'CODE mchn'!$A$4:$C$170,2,0)),"",VLOOKUP(Tableau13[[#This Row],[Code machine]],'CODE mchn'!$A$4:$C$170,2,0))</f>
        <v>Béton</v>
      </c>
      <c r="D741" s="36" t="str">
        <f>IF(ISNA(VLOOKUP(Tableau13[[#This Row],[Code machine]],'CODE mchn'!$A$4:$C$170,3,0)),"",VLOOKUP(Tableau13[[#This Row],[Code machine]],'CODE mchn'!$A$4:$C$170,3,0))</f>
        <v>Poyatos 2</v>
      </c>
      <c r="E741" s="105"/>
      <c r="F741" s="69"/>
      <c r="G741" s="69" t="s">
        <v>110</v>
      </c>
      <c r="H741" s="69" t="s">
        <v>1427</v>
      </c>
      <c r="I741" s="69" t="s">
        <v>13</v>
      </c>
      <c r="J741" s="164" t="s">
        <v>1428</v>
      </c>
      <c r="K741" s="165">
        <v>43874</v>
      </c>
      <c r="L741" s="69"/>
      <c r="M741" s="166">
        <v>2</v>
      </c>
      <c r="N741" s="167">
        <f>MONTH(Tableau13[[#This Row],[Date fin intervention]])</f>
        <v>2</v>
      </c>
      <c r="O741" s="167">
        <f>YEAR(Tableau13[[#This Row],[Date fin intervention]])</f>
        <v>2020</v>
      </c>
      <c r="P741" s="69"/>
    </row>
    <row r="742" spans="1:16" ht="28.5">
      <c r="A742" s="162">
        <v>43874</v>
      </c>
      <c r="B742" s="163">
        <v>800</v>
      </c>
      <c r="C742" s="164" t="str">
        <f>IF(ISNA(VLOOKUP(Tableau13[[#This Row],[Code machine]],'CODE mchn'!$A$4:$C$170,2,0)),"",VLOOKUP(Tableau13[[#This Row],[Code machine]],'CODE mchn'!$A$4:$C$170,2,0))</f>
        <v>Béton</v>
      </c>
      <c r="D742" s="36" t="str">
        <f>IF(ISNA(VLOOKUP(Tableau13[[#This Row],[Code machine]],'CODE mchn'!$A$4:$C$170,3,0)),"",VLOOKUP(Tableau13[[#This Row],[Code machine]],'CODE mchn'!$A$4:$C$170,3,0))</f>
        <v>Poyatos 2</v>
      </c>
      <c r="E742" s="105"/>
      <c r="F742" s="69"/>
      <c r="G742" s="69" t="s">
        <v>306</v>
      </c>
      <c r="H742" s="69" t="s">
        <v>1429</v>
      </c>
      <c r="I742" s="69" t="s">
        <v>107</v>
      </c>
      <c r="J742" s="164" t="s">
        <v>1430</v>
      </c>
      <c r="K742" s="165">
        <v>43874</v>
      </c>
      <c r="L742" s="69" t="s">
        <v>1431</v>
      </c>
      <c r="M742" s="166">
        <v>1</v>
      </c>
      <c r="N742" s="167">
        <f>MONTH(Tableau13[[#This Row],[Date fin intervention]])</f>
        <v>2</v>
      </c>
      <c r="O742" s="167">
        <f>YEAR(Tableau13[[#This Row],[Date fin intervention]])</f>
        <v>2020</v>
      </c>
      <c r="P742" s="69"/>
    </row>
    <row r="743" spans="1:16">
      <c r="A743" s="162">
        <v>43874</v>
      </c>
      <c r="B743" s="163">
        <v>581</v>
      </c>
      <c r="C743" s="164" t="str">
        <f>IF(ISNA(VLOOKUP(Tableau13[[#This Row],[Code machine]],'CODE mchn'!$A$4:$C$170,2,0)),"",VLOOKUP(Tableau13[[#This Row],[Code machine]],'CODE mchn'!$A$4:$C$170,2,0))</f>
        <v>Acier</v>
      </c>
      <c r="D743" s="36" t="str">
        <f>IF(ISNA(VLOOKUP(Tableau13[[#This Row],[Code machine]],'CODE mchn'!$A$4:$C$170,3,0)),"",VLOOKUP(Tableau13[[#This Row],[Code machine]],'CODE mchn'!$A$4:$C$170,3,0))</f>
        <v>Teurema 1</v>
      </c>
      <c r="E743" s="105"/>
      <c r="F743" s="69"/>
      <c r="G743" s="69" t="s">
        <v>1060</v>
      </c>
      <c r="H743" s="69" t="s">
        <v>1356</v>
      </c>
      <c r="I743" s="69" t="s">
        <v>13</v>
      </c>
      <c r="J743" s="164" t="s">
        <v>1357</v>
      </c>
      <c r="K743" s="165">
        <v>43874</v>
      </c>
      <c r="L743" s="69"/>
      <c r="M743" s="166">
        <v>2</v>
      </c>
      <c r="N743" s="167">
        <f>MONTH(Tableau13[[#This Row],[Date fin intervention]])</f>
        <v>2</v>
      </c>
      <c r="O743" s="167">
        <f>YEAR(Tableau13[[#This Row],[Date fin intervention]])</f>
        <v>2020</v>
      </c>
      <c r="P743" s="69"/>
    </row>
    <row r="744" spans="1:16">
      <c r="A744" s="162">
        <v>43874</v>
      </c>
      <c r="B744" s="163">
        <v>565</v>
      </c>
      <c r="C744" s="164" t="str">
        <f>IF(ISNA(VLOOKUP(Tableau13[[#This Row],[Code machine]],'CODE mchn'!$A$4:$C$170,2,0)),"",VLOOKUP(Tableau13[[#This Row],[Code machine]],'CODE mchn'!$A$4:$C$170,2,0))</f>
        <v>Acier</v>
      </c>
      <c r="D744" s="36" t="str">
        <f>IF(ISNA(VLOOKUP(Tableau13[[#This Row],[Code machine]],'CODE mchn'!$A$4:$C$170,3,0)),"",VLOOKUP(Tableau13[[#This Row],[Code machine]],'CODE mchn'!$A$4:$C$170,3,0))</f>
        <v>EVG GE12</v>
      </c>
      <c r="E744" s="105"/>
      <c r="F744" s="69"/>
      <c r="G744" s="69" t="s">
        <v>519</v>
      </c>
      <c r="H744" s="69" t="s">
        <v>350</v>
      </c>
      <c r="I744" s="69" t="s">
        <v>13</v>
      </c>
      <c r="J744" s="164" t="s">
        <v>1470</v>
      </c>
      <c r="K744" s="165">
        <v>43874</v>
      </c>
      <c r="L744" s="69"/>
      <c r="M744" s="166">
        <v>2</v>
      </c>
      <c r="N744" s="167">
        <f>MONTH(Tableau13[[#This Row],[Date fin intervention]])</f>
        <v>2</v>
      </c>
      <c r="O744" s="167">
        <f>YEAR(Tableau13[[#This Row],[Date fin intervention]])</f>
        <v>2020</v>
      </c>
      <c r="P744" s="69"/>
    </row>
    <row r="745" spans="1:16">
      <c r="A745" s="162">
        <v>43875</v>
      </c>
      <c r="B745" s="163">
        <v>700</v>
      </c>
      <c r="C745" s="164" t="str">
        <f>IF(ISNA(VLOOKUP(Tableau13[[#This Row],[Code machine]],'CODE mchn'!$A$4:$C$170,2,0)),"",VLOOKUP(Tableau13[[#This Row],[Code machine]],'CODE mchn'!$A$4:$C$170,2,0))</f>
        <v>Béton</v>
      </c>
      <c r="D745" s="36" t="str">
        <f>IF(ISNA(VLOOKUP(Tableau13[[#This Row],[Code machine]],'CODE mchn'!$A$4:$C$170,3,0)),"",VLOOKUP(Tableau13[[#This Row],[Code machine]],'CODE mchn'!$A$4:$C$170,3,0))</f>
        <v>Poyatos 1</v>
      </c>
      <c r="E745" s="105"/>
      <c r="F745" s="69"/>
      <c r="G745" s="69" t="s">
        <v>120</v>
      </c>
      <c r="H745" s="69" t="s">
        <v>689</v>
      </c>
      <c r="I745" s="69" t="s">
        <v>13</v>
      </c>
      <c r="J745" s="164" t="s">
        <v>1207</v>
      </c>
      <c r="K745" s="165">
        <v>43875</v>
      </c>
      <c r="L745" s="69"/>
      <c r="M745" s="127"/>
      <c r="N745" s="167">
        <f>MONTH(Tableau13[[#This Row],[Date fin intervention]])</f>
        <v>2</v>
      </c>
      <c r="O745" s="167">
        <f>YEAR(Tableau13[[#This Row],[Date fin intervention]])</f>
        <v>2020</v>
      </c>
      <c r="P745" s="69"/>
    </row>
    <row r="746" spans="1:16">
      <c r="A746" s="162">
        <v>43875</v>
      </c>
      <c r="B746" s="163">
        <v>700</v>
      </c>
      <c r="C746" s="164" t="str">
        <f>IF(ISNA(VLOOKUP(Tableau13[[#This Row],[Code machine]],'CODE mchn'!$A$4:$C$170,2,0)),"",VLOOKUP(Tableau13[[#This Row],[Code machine]],'CODE mchn'!$A$4:$C$170,2,0))</f>
        <v>Béton</v>
      </c>
      <c r="D746" s="36" t="str">
        <f>IF(ISNA(VLOOKUP(Tableau13[[#This Row],[Code machine]],'CODE mchn'!$A$4:$C$170,3,0)),"",VLOOKUP(Tableau13[[#This Row],[Code machine]],'CODE mchn'!$A$4:$C$170,3,0))</f>
        <v>Poyatos 1</v>
      </c>
      <c r="E746" s="105"/>
      <c r="F746" s="69"/>
      <c r="G746" s="69" t="s">
        <v>291</v>
      </c>
      <c r="H746" s="69" t="s">
        <v>376</v>
      </c>
      <c r="I746" s="69" t="s">
        <v>13</v>
      </c>
      <c r="J746" s="164" t="s">
        <v>1242</v>
      </c>
      <c r="K746" s="165">
        <v>43875</v>
      </c>
      <c r="L746" s="69"/>
      <c r="M746" s="127"/>
      <c r="N746" s="167">
        <f>MONTH(Tableau13[[#This Row],[Date fin intervention]])</f>
        <v>2</v>
      </c>
      <c r="O746" s="167">
        <f>YEAR(Tableau13[[#This Row],[Date fin intervention]])</f>
        <v>2020</v>
      </c>
      <c r="P746" s="69"/>
    </row>
    <row r="747" spans="1:16">
      <c r="A747" s="162">
        <v>43875</v>
      </c>
      <c r="B747" s="163">
        <v>582</v>
      </c>
      <c r="C747" s="164" t="str">
        <f>IF(ISNA(VLOOKUP(Tableau13[[#This Row],[Code machine]],'CODE mchn'!$A$4:$C$170,2,0)),"",VLOOKUP(Tableau13[[#This Row],[Code machine]],'CODE mchn'!$A$4:$C$170,2,0))</f>
        <v>Acier</v>
      </c>
      <c r="D747" s="36" t="str">
        <f>IF(ISNA(VLOOKUP(Tableau13[[#This Row],[Code machine]],'CODE mchn'!$A$4:$C$170,3,0)),"",VLOOKUP(Tableau13[[#This Row],[Code machine]],'CODE mchn'!$A$4:$C$170,3,0))</f>
        <v>Teurema 2</v>
      </c>
      <c r="E747" s="105"/>
      <c r="F747" s="69"/>
      <c r="G747" s="69" t="s">
        <v>1473</v>
      </c>
      <c r="H747" s="69" t="s">
        <v>449</v>
      </c>
      <c r="I747" s="69" t="s">
        <v>13</v>
      </c>
      <c r="J747" s="164" t="s">
        <v>1474</v>
      </c>
      <c r="K747" s="165">
        <v>43875</v>
      </c>
      <c r="L747" s="69"/>
      <c r="M747" s="141">
        <v>1</v>
      </c>
      <c r="N747" s="167">
        <f>MONTH(Tableau13[[#This Row],[Date fin intervention]])</f>
        <v>2</v>
      </c>
      <c r="O747" s="167">
        <f>YEAR(Tableau13[[#This Row],[Date fin intervention]])</f>
        <v>2020</v>
      </c>
      <c r="P747" s="69"/>
    </row>
    <row r="748" spans="1:16" ht="42.75">
      <c r="A748" s="104">
        <v>43876</v>
      </c>
      <c r="B748" s="105">
        <v>565</v>
      </c>
      <c r="C748" s="106" t="str">
        <f>IF(ISNA(VLOOKUP(Tableau13[[#This Row],[Code machine]],'CODE mchn'!$A$4:$C$170,2,0)),"",VLOOKUP(Tableau13[[#This Row],[Code machine]],'CODE mchn'!$A$4:$C$170,2,0))</f>
        <v>Acier</v>
      </c>
      <c r="D748" s="36" t="str">
        <f>IF(ISNA(VLOOKUP(Tableau13[[#This Row],[Code machine]],'CODE mchn'!$A$4:$C$170,3,0)),"",VLOOKUP(Tableau13[[#This Row],[Code machine]],'CODE mchn'!$A$4:$C$170,3,0))</f>
        <v>EVG GE12</v>
      </c>
      <c r="E748" s="105"/>
      <c r="F748" s="36"/>
      <c r="G748" s="36" t="s">
        <v>770</v>
      </c>
      <c r="H748" s="36" t="s">
        <v>1475</v>
      </c>
      <c r="I748" s="36" t="s">
        <v>13</v>
      </c>
      <c r="J748" s="106" t="s">
        <v>1489</v>
      </c>
      <c r="K748" s="71">
        <v>43885</v>
      </c>
      <c r="L748" s="36" t="s">
        <v>1583</v>
      </c>
      <c r="M748" s="141" t="s">
        <v>2259</v>
      </c>
      <c r="N748" s="108">
        <f>MONTH(Tableau13[[#This Row],[Date fin intervention]])</f>
        <v>2</v>
      </c>
      <c r="O748" s="108">
        <f>YEAR(Tableau13[[#This Row],[Date fin intervention]])</f>
        <v>2020</v>
      </c>
      <c r="P748" s="36"/>
    </row>
    <row r="749" spans="1:16">
      <c r="A749" s="175">
        <v>43876</v>
      </c>
      <c r="B749" s="176">
        <v>565</v>
      </c>
      <c r="C749" s="177" t="str">
        <f>IF(ISNA(VLOOKUP(Tableau13[[#This Row],[Code machine]],'CODE mchn'!$A$4:$C$170,2,0)),"",VLOOKUP(Tableau13[[#This Row],[Code machine]],'CODE mchn'!$A$4:$C$170,2,0))</f>
        <v>Acier</v>
      </c>
      <c r="D749" s="36" t="str">
        <f>IF(ISNA(VLOOKUP(Tableau13[[#This Row],[Code machine]],'CODE mchn'!$A$4:$C$170,3,0)),"",VLOOKUP(Tableau13[[#This Row],[Code machine]],'CODE mchn'!$A$4:$C$170,3,0))</f>
        <v>EVG GE12</v>
      </c>
      <c r="E749" s="105"/>
      <c r="F749" s="39"/>
      <c r="G749" s="39" t="s">
        <v>1717</v>
      </c>
      <c r="H749" s="39" t="s">
        <v>1718</v>
      </c>
      <c r="I749" s="39" t="s">
        <v>13</v>
      </c>
      <c r="J749" s="177" t="s">
        <v>1719</v>
      </c>
      <c r="K749" s="178">
        <v>43876</v>
      </c>
      <c r="L749" s="39"/>
      <c r="M749" s="179">
        <v>30</v>
      </c>
      <c r="N749" s="180">
        <f>MONTH(Tableau13[[#This Row],[Date fin intervention]])</f>
        <v>2</v>
      </c>
      <c r="O749" s="180">
        <f>YEAR(Tableau13[[#This Row],[Date fin intervention]])</f>
        <v>2020</v>
      </c>
      <c r="P749" s="39"/>
    </row>
    <row r="750" spans="1:16">
      <c r="A750" s="162">
        <v>43877</v>
      </c>
      <c r="B750" s="163">
        <v>700</v>
      </c>
      <c r="C750" s="164" t="str">
        <f>IF(ISNA(VLOOKUP(Tableau13[[#This Row],[Code machine]],'CODE mchn'!$A$4:$C$170,2,0)),"",VLOOKUP(Tableau13[[#This Row],[Code machine]],'CODE mchn'!$A$4:$C$170,2,0))</f>
        <v>Béton</v>
      </c>
      <c r="D750" s="36" t="str">
        <f>IF(ISNA(VLOOKUP(Tableau13[[#This Row],[Code machine]],'CODE mchn'!$A$4:$C$170,3,0)),"",VLOOKUP(Tableau13[[#This Row],[Code machine]],'CODE mchn'!$A$4:$C$170,3,0))</f>
        <v>Poyatos 1</v>
      </c>
      <c r="E750" s="105"/>
      <c r="F750" s="69"/>
      <c r="G750" s="69" t="s">
        <v>118</v>
      </c>
      <c r="H750" s="69" t="s">
        <v>1432</v>
      </c>
      <c r="I750" s="69" t="s">
        <v>13</v>
      </c>
      <c r="J750" s="164" t="s">
        <v>1433</v>
      </c>
      <c r="K750" s="165">
        <v>43877</v>
      </c>
      <c r="L750" s="69"/>
      <c r="M750" s="166">
        <v>7</v>
      </c>
      <c r="N750" s="167">
        <f>MONTH(Tableau13[[#This Row],[Date fin intervention]])</f>
        <v>2</v>
      </c>
      <c r="O750" s="167">
        <f>YEAR(Tableau13[[#This Row],[Date fin intervention]])</f>
        <v>2020</v>
      </c>
      <c r="P750" s="69"/>
    </row>
    <row r="751" spans="1:16">
      <c r="A751" s="162">
        <v>43877</v>
      </c>
      <c r="B751" s="163">
        <v>700</v>
      </c>
      <c r="C751" s="164" t="str">
        <f>IF(ISNA(VLOOKUP(Tableau13[[#This Row],[Code machine]],'CODE mchn'!$A$4:$C$170,2,0)),"",VLOOKUP(Tableau13[[#This Row],[Code machine]],'CODE mchn'!$A$4:$C$170,2,0))</f>
        <v>Béton</v>
      </c>
      <c r="D751" s="36" t="str">
        <f>IF(ISNA(VLOOKUP(Tableau13[[#This Row],[Code machine]],'CODE mchn'!$A$4:$C$170,3,0)),"",VLOOKUP(Tableau13[[#This Row],[Code machine]],'CODE mchn'!$A$4:$C$170,3,0))</f>
        <v>Poyatos 1</v>
      </c>
      <c r="E751" s="105"/>
      <c r="F751" s="69"/>
      <c r="G751" s="69" t="s">
        <v>291</v>
      </c>
      <c r="H751" s="69" t="s">
        <v>1434</v>
      </c>
      <c r="I751" s="69" t="s">
        <v>13</v>
      </c>
      <c r="J751" s="164" t="s">
        <v>1435</v>
      </c>
      <c r="K751" s="165">
        <v>43877</v>
      </c>
      <c r="L751" s="69"/>
      <c r="M751" s="166">
        <v>7</v>
      </c>
      <c r="N751" s="167">
        <f>MONTH(Tableau13[[#This Row],[Date fin intervention]])</f>
        <v>2</v>
      </c>
      <c r="O751" s="167">
        <f>YEAR(Tableau13[[#This Row],[Date fin intervention]])</f>
        <v>2020</v>
      </c>
      <c r="P751" s="69"/>
    </row>
    <row r="752" spans="1:16">
      <c r="A752" s="104">
        <v>43878</v>
      </c>
      <c r="B752" s="105">
        <v>570</v>
      </c>
      <c r="C752" s="106" t="str">
        <f>IF(ISNA(VLOOKUP(Tableau13[[#This Row],[Code machine]],'CODE mchn'!$A$4:$C$170,2,0)),"",VLOOKUP(Tableau13[[#This Row],[Code machine]],'CODE mchn'!$A$4:$C$170,2,0))</f>
        <v>Acier</v>
      </c>
      <c r="D752" s="36" t="str">
        <f>IF(ISNA(VLOOKUP(Tableau13[[#This Row],[Code machine]],'CODE mchn'!$A$4:$C$170,3,0)),"",VLOOKUP(Tableau13[[#This Row],[Code machine]],'CODE mchn'!$A$4:$C$170,3,0))</f>
        <v>Sigmatic</v>
      </c>
      <c r="E752" s="105"/>
      <c r="F752" s="36"/>
      <c r="G752" s="36" t="s">
        <v>470</v>
      </c>
      <c r="H752" s="36" t="s">
        <v>1476</v>
      </c>
      <c r="I752" s="36" t="s">
        <v>342</v>
      </c>
      <c r="J752" s="106" t="s">
        <v>1477</v>
      </c>
      <c r="K752" s="71">
        <v>43878</v>
      </c>
      <c r="L752" s="36"/>
      <c r="M752" s="141">
        <v>3</v>
      </c>
      <c r="N752" s="108">
        <f>MONTH(Tableau13[[#This Row],[Date fin intervention]])</f>
        <v>2</v>
      </c>
      <c r="O752" s="108">
        <f>YEAR(Tableau13[[#This Row],[Date fin intervention]])</f>
        <v>2020</v>
      </c>
      <c r="P752" s="36"/>
    </row>
    <row r="753" spans="1:16">
      <c r="A753" s="162">
        <v>43879</v>
      </c>
      <c r="B753" s="163">
        <v>700</v>
      </c>
      <c r="C753" s="164" t="str">
        <f>IF(ISNA(VLOOKUP(Tableau13[[#This Row],[Code machine]],'CODE mchn'!$A$4:$C$170,2,0)),"",VLOOKUP(Tableau13[[#This Row],[Code machine]],'CODE mchn'!$A$4:$C$170,2,0))</f>
        <v>Béton</v>
      </c>
      <c r="D753" s="36" t="str">
        <f>IF(ISNA(VLOOKUP(Tableau13[[#This Row],[Code machine]],'CODE mchn'!$A$4:$C$170,3,0)),"",VLOOKUP(Tableau13[[#This Row],[Code machine]],'CODE mchn'!$A$4:$C$170,3,0))</f>
        <v>Poyatos 1</v>
      </c>
      <c r="E753" s="105"/>
      <c r="F753" s="69"/>
      <c r="G753" s="69" t="s">
        <v>20</v>
      </c>
      <c r="H753" s="69" t="s">
        <v>1436</v>
      </c>
      <c r="I753" s="69" t="s">
        <v>13</v>
      </c>
      <c r="J753" s="164" t="s">
        <v>1437</v>
      </c>
      <c r="K753" s="165">
        <v>43879</v>
      </c>
      <c r="L753" s="69" t="s">
        <v>1438</v>
      </c>
      <c r="M753" s="166">
        <v>1</v>
      </c>
      <c r="N753" s="167">
        <f>MONTH(Tableau13[[#This Row],[Date fin intervention]])</f>
        <v>2</v>
      </c>
      <c r="O753" s="167">
        <f>YEAR(Tableau13[[#This Row],[Date fin intervention]])</f>
        <v>2020</v>
      </c>
      <c r="P753" s="69"/>
    </row>
    <row r="754" spans="1:16">
      <c r="A754" s="104">
        <v>43879</v>
      </c>
      <c r="B754" s="105">
        <v>605</v>
      </c>
      <c r="C754" s="106" t="str">
        <f>IF(ISNA(VLOOKUP(Tableau13[[#This Row],[Code machine]],'CODE mchn'!$A$4:$C$170,2,0)),"",VLOOKUP(Tableau13[[#This Row],[Code machine]],'CODE mchn'!$A$4:$C$170,2,0))</f>
        <v>Acier</v>
      </c>
      <c r="D754" s="36" t="str">
        <f>IF(ISNA(VLOOKUP(Tableau13[[#This Row],[Code machine]],'CODE mchn'!$A$4:$C$170,3,0)),"",VLOOKUP(Tableau13[[#This Row],[Code machine]],'CODE mchn'!$A$4:$C$170,3,0))</f>
        <v>Vitari 1</v>
      </c>
      <c r="E754" s="105"/>
      <c r="F754" s="36"/>
      <c r="G754" s="36" t="s">
        <v>75</v>
      </c>
      <c r="H754" s="36" t="s">
        <v>1052</v>
      </c>
      <c r="I754" s="36" t="s">
        <v>13</v>
      </c>
      <c r="J754" s="106" t="s">
        <v>1478</v>
      </c>
      <c r="K754" s="71">
        <v>43879</v>
      </c>
      <c r="L754" s="36"/>
      <c r="M754" s="141">
        <v>1</v>
      </c>
      <c r="N754" s="108">
        <f>MONTH(Tableau13[[#This Row],[Date fin intervention]])</f>
        <v>2</v>
      </c>
      <c r="O754" s="108">
        <f>YEAR(Tableau13[[#This Row],[Date fin intervention]])</f>
        <v>2020</v>
      </c>
      <c r="P754" s="36"/>
    </row>
    <row r="755" spans="1:16">
      <c r="A755" s="104">
        <v>43881</v>
      </c>
      <c r="B755" s="105">
        <v>534</v>
      </c>
      <c r="C755" s="106" t="str">
        <f>IF(ISNA(VLOOKUP(Tableau13[[#This Row],[Code machine]],'CODE mchn'!$A$4:$C$170,2,0)),"",VLOOKUP(Tableau13[[#This Row],[Code machine]],'CODE mchn'!$A$4:$C$170,2,0))</f>
        <v>Enrobage</v>
      </c>
      <c r="D755" s="36" t="str">
        <f>IF(ISNA(VLOOKUP(Tableau13[[#This Row],[Code machine]],'CODE mchn'!$A$4:$C$170,3,0)),"",VLOOKUP(Tableau13[[#This Row],[Code machine]],'CODE mchn'!$A$4:$C$170,3,0))</f>
        <v>ELKON 2</v>
      </c>
      <c r="E755" s="105"/>
      <c r="F755" s="36"/>
      <c r="G755" s="36" t="s">
        <v>1479</v>
      </c>
      <c r="H755" s="36" t="s">
        <v>1480</v>
      </c>
      <c r="I755" s="36" t="s">
        <v>13</v>
      </c>
      <c r="J755" s="106" t="s">
        <v>1481</v>
      </c>
      <c r="K755" s="71">
        <v>43881</v>
      </c>
      <c r="L755" s="36"/>
      <c r="M755" s="141">
        <v>1</v>
      </c>
      <c r="N755" s="108">
        <f>MONTH(Tableau13[[#This Row],[Date fin intervention]])</f>
        <v>2</v>
      </c>
      <c r="O755" s="108">
        <f>YEAR(Tableau13[[#This Row],[Date fin intervention]])</f>
        <v>2020</v>
      </c>
      <c r="P755" s="36"/>
    </row>
    <row r="756" spans="1:16">
      <c r="A756" s="104">
        <v>43881</v>
      </c>
      <c r="B756" s="105">
        <v>581</v>
      </c>
      <c r="C756" s="106" t="str">
        <f>IF(ISNA(VLOOKUP(Tableau13[[#This Row],[Code machine]],'CODE mchn'!$A$4:$C$170,2,0)),"",VLOOKUP(Tableau13[[#This Row],[Code machine]],'CODE mchn'!$A$4:$C$170,2,0))</f>
        <v>Acier</v>
      </c>
      <c r="D756" s="36" t="str">
        <f>IF(ISNA(VLOOKUP(Tableau13[[#This Row],[Code machine]],'CODE mchn'!$A$4:$C$170,3,0)),"",VLOOKUP(Tableau13[[#This Row],[Code machine]],'CODE mchn'!$A$4:$C$170,3,0))</f>
        <v>Teurema 1</v>
      </c>
      <c r="E756" s="105"/>
      <c r="F756" s="36"/>
      <c r="G756" s="36" t="s">
        <v>1060</v>
      </c>
      <c r="H756" s="36" t="s">
        <v>810</v>
      </c>
      <c r="I756" s="36" t="s">
        <v>13</v>
      </c>
      <c r="J756" s="106" t="s">
        <v>1171</v>
      </c>
      <c r="K756" s="71">
        <v>43881</v>
      </c>
      <c r="L756" s="36"/>
      <c r="M756" s="141">
        <v>2</v>
      </c>
      <c r="N756" s="108">
        <f>MONTH(Tableau13[[#This Row],[Date fin intervention]])</f>
        <v>2</v>
      </c>
      <c r="O756" s="108">
        <f>YEAR(Tableau13[[#This Row],[Date fin intervention]])</f>
        <v>2020</v>
      </c>
      <c r="P756" s="36"/>
    </row>
    <row r="757" spans="1:16">
      <c r="A757" s="104">
        <v>43882</v>
      </c>
      <c r="B757" s="105">
        <v>620</v>
      </c>
      <c r="C757" s="106" t="str">
        <f>IF(ISNA(VLOOKUP(Tableau13[[#This Row],[Code machine]],'CODE mchn'!$A$4:$C$170,2,0)),"",VLOOKUP(Tableau13[[#This Row],[Code machine]],'CODE mchn'!$A$4:$C$170,2,0))</f>
        <v>Acier</v>
      </c>
      <c r="D757" s="36" t="str">
        <f>IF(ISNA(VLOOKUP(Tableau13[[#This Row],[Code machine]],'CODE mchn'!$A$4:$C$170,3,0)),"",VLOOKUP(Tableau13[[#This Row],[Code machine]],'CODE mchn'!$A$4:$C$170,3,0))</f>
        <v>EVG PN 2</v>
      </c>
      <c r="E757" s="105"/>
      <c r="F757" s="36"/>
      <c r="G757" s="36" t="s">
        <v>664</v>
      </c>
      <c r="H757" s="36" t="s">
        <v>350</v>
      </c>
      <c r="I757" s="36" t="s">
        <v>13</v>
      </c>
      <c r="J757" s="106" t="s">
        <v>1490</v>
      </c>
      <c r="K757" s="71">
        <v>43882</v>
      </c>
      <c r="L757" s="36"/>
      <c r="M757" s="141">
        <v>2</v>
      </c>
      <c r="N757" s="108">
        <f>MONTH(Tableau13[[#This Row],[Date fin intervention]])</f>
        <v>2</v>
      </c>
      <c r="O757" s="108">
        <f>YEAR(Tableau13[[#This Row],[Date fin intervention]])</f>
        <v>2020</v>
      </c>
      <c r="P757" s="36"/>
    </row>
    <row r="758" spans="1:16">
      <c r="A758" s="104">
        <v>43883</v>
      </c>
      <c r="B758" s="105">
        <v>700</v>
      </c>
      <c r="C758" s="106" t="str">
        <f>IF(ISNA(VLOOKUP(Tableau13[[#This Row],[Code machine]],'CODE mchn'!$A$4:$C$170,2,0)),"",VLOOKUP(Tableau13[[#This Row],[Code machine]],'CODE mchn'!$A$4:$C$170,2,0))</f>
        <v>Béton</v>
      </c>
      <c r="D758" s="36" t="str">
        <f>IF(ISNA(VLOOKUP(Tableau13[[#This Row],[Code machine]],'CODE mchn'!$A$4:$C$170,3,0)),"",VLOOKUP(Tableau13[[#This Row],[Code machine]],'CODE mchn'!$A$4:$C$170,3,0))</f>
        <v>Poyatos 1</v>
      </c>
      <c r="E758" s="105"/>
      <c r="F758" s="36"/>
      <c r="G758" s="36" t="s">
        <v>291</v>
      </c>
      <c r="H758" s="36" t="s">
        <v>408</v>
      </c>
      <c r="I758" s="36" t="s">
        <v>13</v>
      </c>
      <c r="J758" s="106" t="s">
        <v>818</v>
      </c>
      <c r="K758" s="71">
        <v>43883</v>
      </c>
      <c r="L758" s="36"/>
      <c r="M758" s="141">
        <v>1</v>
      </c>
      <c r="N758" s="108">
        <f>MONTH(Tableau13[[#This Row],[Date fin intervention]])</f>
        <v>2</v>
      </c>
      <c r="O758" s="108">
        <f>YEAR(Tableau13[[#This Row],[Date fin intervention]])</f>
        <v>2020</v>
      </c>
      <c r="P758" s="36"/>
    </row>
    <row r="759" spans="1:16">
      <c r="A759" s="104">
        <v>43883</v>
      </c>
      <c r="B759" s="105">
        <v>700</v>
      </c>
      <c r="C759" s="106" t="str">
        <f>IF(ISNA(VLOOKUP(Tableau13[[#This Row],[Code machine]],'CODE mchn'!$A$4:$C$170,2,0)),"",VLOOKUP(Tableau13[[#This Row],[Code machine]],'CODE mchn'!$A$4:$C$170,2,0))</f>
        <v>Béton</v>
      </c>
      <c r="D759" s="36" t="str">
        <f>IF(ISNA(VLOOKUP(Tableau13[[#This Row],[Code machine]],'CODE mchn'!$A$4:$C$170,3,0)),"",VLOOKUP(Tableau13[[#This Row],[Code machine]],'CODE mchn'!$A$4:$C$170,3,0))</f>
        <v>Poyatos 1</v>
      </c>
      <c r="E759" s="105"/>
      <c r="F759" s="36"/>
      <c r="G759" s="36" t="s">
        <v>46</v>
      </c>
      <c r="H759" s="36" t="s">
        <v>1482</v>
      </c>
      <c r="I759" s="36" t="s">
        <v>13</v>
      </c>
      <c r="J759" s="106" t="s">
        <v>1483</v>
      </c>
      <c r="K759" s="71">
        <v>43883</v>
      </c>
      <c r="L759" s="36"/>
      <c r="M759" s="141">
        <v>1</v>
      </c>
      <c r="N759" s="108">
        <f>MONTH(Tableau13[[#This Row],[Date fin intervention]])</f>
        <v>2</v>
      </c>
      <c r="O759" s="108">
        <f>YEAR(Tableau13[[#This Row],[Date fin intervention]])</f>
        <v>2020</v>
      </c>
      <c r="P759" s="36"/>
    </row>
    <row r="760" spans="1:16" ht="42.75">
      <c r="A760" s="104">
        <v>43883</v>
      </c>
      <c r="B760" s="105">
        <v>605</v>
      </c>
      <c r="C760" s="106" t="str">
        <f>IF(ISNA(VLOOKUP(Tableau13[[#This Row],[Code machine]],'CODE mchn'!$A$4:$C$170,2,0)),"",VLOOKUP(Tableau13[[#This Row],[Code machine]],'CODE mchn'!$A$4:$C$170,2,0))</f>
        <v>Acier</v>
      </c>
      <c r="D760" s="36" t="str">
        <f>IF(ISNA(VLOOKUP(Tableau13[[#This Row],[Code machine]],'CODE mchn'!$A$4:$C$170,3,0)),"",VLOOKUP(Tableau13[[#This Row],[Code machine]],'CODE mchn'!$A$4:$C$170,3,0))</f>
        <v>Vitari 1</v>
      </c>
      <c r="E760" s="105"/>
      <c r="F760" s="36"/>
      <c r="G760" s="36" t="s">
        <v>78</v>
      </c>
      <c r="H760" s="36" t="s">
        <v>1491</v>
      </c>
      <c r="I760" s="36" t="s">
        <v>13</v>
      </c>
      <c r="J760" s="106" t="s">
        <v>1492</v>
      </c>
      <c r="K760" s="71">
        <v>43885</v>
      </c>
      <c r="L760" s="36"/>
      <c r="M760" s="141" t="s">
        <v>2259</v>
      </c>
      <c r="N760" s="108">
        <f>MONTH(Tableau13[[#This Row],[Date fin intervention]])</f>
        <v>2</v>
      </c>
      <c r="O760" s="108">
        <f>YEAR(Tableau13[[#This Row],[Date fin intervention]])</f>
        <v>2020</v>
      </c>
      <c r="P760" s="36"/>
    </row>
    <row r="761" spans="1:16" ht="42.75">
      <c r="A761" s="104">
        <v>43884</v>
      </c>
      <c r="B761" s="105">
        <v>580</v>
      </c>
      <c r="C761" s="106" t="str">
        <f>IF(ISNA(VLOOKUP(Tableau13[[#This Row],[Code machine]],'CODE mchn'!$A$4:$C$170,2,0)),"",VLOOKUP(Tableau13[[#This Row],[Code machine]],'CODE mchn'!$A$4:$C$170,2,0))</f>
        <v>Acier</v>
      </c>
      <c r="D761" s="36" t="str">
        <f>IF(ISNA(VLOOKUP(Tableau13[[#This Row],[Code machine]],'CODE mchn'!$A$4:$C$170,3,0)),"",VLOOKUP(Tableau13[[#This Row],[Code machine]],'CODE mchn'!$A$4:$C$170,3,0))</f>
        <v>Techno Impiante</v>
      </c>
      <c r="E761" s="105"/>
      <c r="F761" s="36"/>
      <c r="G761" s="36" t="s">
        <v>612</v>
      </c>
      <c r="H761" s="36" t="s">
        <v>1493</v>
      </c>
      <c r="I761" s="36" t="s">
        <v>13</v>
      </c>
      <c r="J761" s="106" t="s">
        <v>1494</v>
      </c>
      <c r="K761" s="71">
        <v>43893</v>
      </c>
      <c r="L761" s="36"/>
      <c r="M761" s="141" t="s">
        <v>2259</v>
      </c>
      <c r="N761" s="108">
        <f>MONTH(Tableau13[[#This Row],[Date fin intervention]])</f>
        <v>3</v>
      </c>
      <c r="O761" s="108">
        <f>YEAR(Tableau13[[#This Row],[Date fin intervention]])</f>
        <v>2020</v>
      </c>
      <c r="P761" s="36"/>
    </row>
    <row r="762" spans="1:16">
      <c r="A762" s="104">
        <v>43885</v>
      </c>
      <c r="B762" s="105">
        <v>700</v>
      </c>
      <c r="C762" s="106" t="str">
        <f>IF(ISNA(VLOOKUP(Tableau13[[#This Row],[Code machine]],'CODE mchn'!$A$4:$C$170,2,0)),"",VLOOKUP(Tableau13[[#This Row],[Code machine]],'CODE mchn'!$A$4:$C$170,2,0))</f>
        <v>Béton</v>
      </c>
      <c r="D762" s="36" t="str">
        <f>IF(ISNA(VLOOKUP(Tableau13[[#This Row],[Code machine]],'CODE mchn'!$A$4:$C$170,3,0)),"",VLOOKUP(Tableau13[[#This Row],[Code machine]],'CODE mchn'!$A$4:$C$170,3,0))</f>
        <v>Poyatos 1</v>
      </c>
      <c r="E762" s="105"/>
      <c r="F762" s="36"/>
      <c r="G762" s="36" t="s">
        <v>1484</v>
      </c>
      <c r="H762" s="36" t="s">
        <v>1485</v>
      </c>
      <c r="I762" s="36" t="s">
        <v>13</v>
      </c>
      <c r="J762" s="106" t="s">
        <v>1486</v>
      </c>
      <c r="K762" s="71">
        <v>43885</v>
      </c>
      <c r="L762" s="36"/>
      <c r="M762" s="141">
        <v>2</v>
      </c>
      <c r="N762" s="108">
        <f>MONTH(Tableau13[[#This Row],[Date fin intervention]])</f>
        <v>2</v>
      </c>
      <c r="O762" s="108">
        <f>YEAR(Tableau13[[#This Row],[Date fin intervention]])</f>
        <v>2020</v>
      </c>
      <c r="P762" s="36"/>
    </row>
    <row r="763" spans="1:16">
      <c r="A763" s="104">
        <v>43885</v>
      </c>
      <c r="B763" s="105">
        <v>800</v>
      </c>
      <c r="C763" s="106" t="str">
        <f>IF(ISNA(VLOOKUP(Tableau13[[#This Row],[Code machine]],'CODE mchn'!$A$4:$C$170,2,0)),"",VLOOKUP(Tableau13[[#This Row],[Code machine]],'CODE mchn'!$A$4:$C$170,2,0))</f>
        <v>Béton</v>
      </c>
      <c r="D763" s="36" t="str">
        <f>IF(ISNA(VLOOKUP(Tableau13[[#This Row],[Code machine]],'CODE mchn'!$A$4:$C$170,3,0)),"",VLOOKUP(Tableau13[[#This Row],[Code machine]],'CODE mchn'!$A$4:$C$170,3,0))</f>
        <v>Poyatos 2</v>
      </c>
      <c r="E763" s="105"/>
      <c r="F763" s="36"/>
      <c r="G763" s="36" t="s">
        <v>110</v>
      </c>
      <c r="H763" s="36" t="s">
        <v>1487</v>
      </c>
      <c r="I763" s="36" t="s">
        <v>13</v>
      </c>
      <c r="J763" s="106" t="s">
        <v>1488</v>
      </c>
      <c r="K763" s="71">
        <v>43885</v>
      </c>
      <c r="L763" s="36"/>
      <c r="M763" s="141">
        <v>1</v>
      </c>
      <c r="N763" s="108">
        <f>MONTH(Tableau13[[#This Row],[Date fin intervention]])</f>
        <v>2</v>
      </c>
      <c r="O763" s="108">
        <f>YEAR(Tableau13[[#This Row],[Date fin intervention]])</f>
        <v>2020</v>
      </c>
      <c r="P763" s="36"/>
    </row>
    <row r="764" spans="1:16">
      <c r="A764" s="168">
        <v>43885</v>
      </c>
      <c r="B764" s="169">
        <v>605</v>
      </c>
      <c r="C764" s="170" t="str">
        <f>IF(ISNA(VLOOKUP(Tableau13[[#This Row],[Code machine]],'CODE mchn'!$A$4:$C$170,2,0)),"",VLOOKUP(Tableau13[[#This Row],[Code machine]],'CODE mchn'!$A$4:$C$170,2,0))</f>
        <v>Acier</v>
      </c>
      <c r="D764" s="36" t="str">
        <f>IF(ISNA(VLOOKUP(Tableau13[[#This Row],[Code machine]],'CODE mchn'!$A$4:$C$170,3,0)),"",VLOOKUP(Tableau13[[#This Row],[Code machine]],'CODE mchn'!$A$4:$C$170,3,0))</f>
        <v>Vitari 1</v>
      </c>
      <c r="E764" s="105"/>
      <c r="F764" s="70"/>
      <c r="G764" s="70" t="s">
        <v>10</v>
      </c>
      <c r="H764" s="70" t="s">
        <v>1507</v>
      </c>
      <c r="I764" s="70" t="s">
        <v>13</v>
      </c>
      <c r="J764" s="170" t="s">
        <v>1508</v>
      </c>
      <c r="K764" s="171">
        <v>43885</v>
      </c>
      <c r="L764" s="70"/>
      <c r="M764" s="172">
        <v>2</v>
      </c>
      <c r="N764" s="173">
        <f>MONTH(Tableau13[[#This Row],[Date fin intervention]])</f>
        <v>2</v>
      </c>
      <c r="O764" s="173">
        <f>YEAR(Tableau13[[#This Row],[Date fin intervention]])</f>
        <v>2020</v>
      </c>
      <c r="P764" s="70"/>
    </row>
    <row r="765" spans="1:16" ht="28.5">
      <c r="A765" s="168">
        <v>43886</v>
      </c>
      <c r="B765" s="169">
        <v>607</v>
      </c>
      <c r="C765" s="170" t="str">
        <f>IF(ISNA(VLOOKUP(Tableau13[[#This Row],[Code machine]],'CODE mchn'!$A$4:$C$170,2,0)),"",VLOOKUP(Tableau13[[#This Row],[Code machine]],'CODE mchn'!$A$4:$C$170,2,0))</f>
        <v>Acier</v>
      </c>
      <c r="D765" s="36" t="str">
        <f>IF(ISNA(VLOOKUP(Tableau13[[#This Row],[Code machine]],'CODE mchn'!$A$4:$C$170,3,0)),"",VLOOKUP(Tableau13[[#This Row],[Code machine]],'CODE mchn'!$A$4:$C$170,3,0))</f>
        <v>Vitari 3</v>
      </c>
      <c r="E765" s="105"/>
      <c r="F765" s="70"/>
      <c r="G765" s="70" t="s">
        <v>75</v>
      </c>
      <c r="H765" s="70" t="s">
        <v>1509</v>
      </c>
      <c r="I765" s="70" t="s">
        <v>13</v>
      </c>
      <c r="J765" s="170" t="s">
        <v>1510</v>
      </c>
      <c r="K765" s="171">
        <v>43886</v>
      </c>
      <c r="L765" s="70"/>
      <c r="M765" s="172">
        <v>1</v>
      </c>
      <c r="N765" s="173">
        <f>MONTH(Tableau13[[#This Row],[Date fin intervention]])</f>
        <v>2</v>
      </c>
      <c r="O765" s="173">
        <f>YEAR(Tableau13[[#This Row],[Date fin intervention]])</f>
        <v>2020</v>
      </c>
      <c r="P765" s="70"/>
    </row>
    <row r="766" spans="1:16" ht="28.5">
      <c r="A766" s="168">
        <v>43887</v>
      </c>
      <c r="B766" s="169">
        <v>700</v>
      </c>
      <c r="C766" s="170" t="str">
        <f>IF(ISNA(VLOOKUP(Tableau13[[#This Row],[Code machine]],'CODE mchn'!$A$4:$C$170,2,0)),"",VLOOKUP(Tableau13[[#This Row],[Code machine]],'CODE mchn'!$A$4:$C$170,2,0))</f>
        <v>Béton</v>
      </c>
      <c r="D766" s="36" t="str">
        <f>IF(ISNA(VLOOKUP(Tableau13[[#This Row],[Code machine]],'CODE mchn'!$A$4:$C$170,3,0)),"",VLOOKUP(Tableau13[[#This Row],[Code machine]],'CODE mchn'!$A$4:$C$170,3,0))</f>
        <v>Poyatos 1</v>
      </c>
      <c r="E766" s="105"/>
      <c r="F766" s="70"/>
      <c r="G766" s="70" t="s">
        <v>331</v>
      </c>
      <c r="H766" s="70" t="s">
        <v>1495</v>
      </c>
      <c r="I766" s="70" t="s">
        <v>13</v>
      </c>
      <c r="J766" s="170" t="s">
        <v>332</v>
      </c>
      <c r="K766" s="171">
        <v>43887</v>
      </c>
      <c r="L766" s="70" t="s">
        <v>1496</v>
      </c>
      <c r="M766" s="172">
        <v>5</v>
      </c>
      <c r="N766" s="173">
        <f>MONTH(Tableau13[[#This Row],[Date fin intervention]])</f>
        <v>2</v>
      </c>
      <c r="O766" s="173">
        <f>YEAR(Tableau13[[#This Row],[Date fin intervention]])</f>
        <v>2020</v>
      </c>
      <c r="P766" s="70"/>
    </row>
    <row r="767" spans="1:16">
      <c r="A767" s="168">
        <v>43887</v>
      </c>
      <c r="B767" s="169">
        <v>800</v>
      </c>
      <c r="C767" s="170" t="str">
        <f>IF(ISNA(VLOOKUP(Tableau13[[#This Row],[Code machine]],'CODE mchn'!$A$4:$C$170,2,0)),"",VLOOKUP(Tableau13[[#This Row],[Code machine]],'CODE mchn'!$A$4:$C$170,2,0))</f>
        <v>Béton</v>
      </c>
      <c r="D767" s="36" t="str">
        <f>IF(ISNA(VLOOKUP(Tableau13[[#This Row],[Code machine]],'CODE mchn'!$A$4:$C$170,3,0)),"",VLOOKUP(Tableau13[[#This Row],[Code machine]],'CODE mchn'!$A$4:$C$170,3,0))</f>
        <v>Poyatos 2</v>
      </c>
      <c r="E767" s="105"/>
      <c r="F767" s="70"/>
      <c r="G767" s="70" t="s">
        <v>118</v>
      </c>
      <c r="H767" s="70" t="s">
        <v>1502</v>
      </c>
      <c r="I767" s="70" t="s">
        <v>13</v>
      </c>
      <c r="J767" s="170" t="s">
        <v>1497</v>
      </c>
      <c r="K767" s="171">
        <v>43887</v>
      </c>
      <c r="L767" s="70"/>
      <c r="M767" s="172">
        <v>1</v>
      </c>
      <c r="N767" s="173">
        <f>MONTH(Tableau13[[#This Row],[Date fin intervention]])</f>
        <v>2</v>
      </c>
      <c r="O767" s="173">
        <f>YEAR(Tableau13[[#This Row],[Date fin intervention]])</f>
        <v>2020</v>
      </c>
      <c r="P767" s="70"/>
    </row>
    <row r="768" spans="1:16">
      <c r="A768" s="168">
        <v>43887</v>
      </c>
      <c r="B768" s="169">
        <v>582</v>
      </c>
      <c r="C768" s="170" t="str">
        <f>IF(ISNA(VLOOKUP(Tableau13[[#This Row],[Code machine]],'CODE mchn'!$A$4:$C$170,2,0)),"",VLOOKUP(Tableau13[[#This Row],[Code machine]],'CODE mchn'!$A$4:$C$170,2,0))</f>
        <v>Acier</v>
      </c>
      <c r="D768" s="36" t="str">
        <f>IF(ISNA(VLOOKUP(Tableau13[[#This Row],[Code machine]],'CODE mchn'!$A$4:$C$170,3,0)),"",VLOOKUP(Tableau13[[#This Row],[Code machine]],'CODE mchn'!$A$4:$C$170,3,0))</f>
        <v>Teurema 2</v>
      </c>
      <c r="E768" s="105"/>
      <c r="F768" s="70"/>
      <c r="G768" s="70" t="s">
        <v>161</v>
      </c>
      <c r="H768" s="70" t="s">
        <v>767</v>
      </c>
      <c r="I768" s="70" t="s">
        <v>13</v>
      </c>
      <c r="J768" s="170" t="s">
        <v>1404</v>
      </c>
      <c r="K768" s="171">
        <v>43887</v>
      </c>
      <c r="L768" s="70"/>
      <c r="M768" s="172">
        <v>1</v>
      </c>
      <c r="N768" s="173">
        <f>MONTH(Tableau13[[#This Row],[Date fin intervention]])</f>
        <v>2</v>
      </c>
      <c r="O768" s="173">
        <f>YEAR(Tableau13[[#This Row],[Date fin intervention]])</f>
        <v>2020</v>
      </c>
      <c r="P768" s="70"/>
    </row>
    <row r="769" spans="1:16">
      <c r="A769" s="168">
        <v>43887</v>
      </c>
      <c r="B769" s="169">
        <v>581</v>
      </c>
      <c r="C769" s="170" t="str">
        <f>IF(ISNA(VLOOKUP(Tableau13[[#This Row],[Code machine]],'CODE mchn'!$A$4:$C$170,2,0)),"",VLOOKUP(Tableau13[[#This Row],[Code machine]],'CODE mchn'!$A$4:$C$170,2,0))</f>
        <v>Acier</v>
      </c>
      <c r="D769" s="36" t="str">
        <f>IF(ISNA(VLOOKUP(Tableau13[[#This Row],[Code machine]],'CODE mchn'!$A$4:$C$170,3,0)),"",VLOOKUP(Tableau13[[#This Row],[Code machine]],'CODE mchn'!$A$4:$C$170,3,0))</f>
        <v>Teurema 1</v>
      </c>
      <c r="E769" s="105"/>
      <c r="F769" s="70"/>
      <c r="G769" s="70" t="s">
        <v>1170</v>
      </c>
      <c r="H769" s="70" t="s">
        <v>458</v>
      </c>
      <c r="I769" s="70" t="s">
        <v>13</v>
      </c>
      <c r="J769" s="170" t="s">
        <v>896</v>
      </c>
      <c r="K769" s="171">
        <v>43888</v>
      </c>
      <c r="L769" s="70"/>
      <c r="M769" s="172">
        <v>40</v>
      </c>
      <c r="N769" s="173">
        <f>MONTH(Tableau13[[#This Row],[Date fin intervention]])</f>
        <v>2</v>
      </c>
      <c r="O769" s="173">
        <f>YEAR(Tableau13[[#This Row],[Date fin intervention]])</f>
        <v>2020</v>
      </c>
      <c r="P769" s="70"/>
    </row>
    <row r="770" spans="1:16">
      <c r="A770" s="168">
        <v>43888</v>
      </c>
      <c r="B770" s="169">
        <v>581</v>
      </c>
      <c r="C770" s="170" t="str">
        <f>IF(ISNA(VLOOKUP(Tableau13[[#This Row],[Code machine]],'CODE mchn'!$A$4:$C$170,2,0)),"",VLOOKUP(Tableau13[[#This Row],[Code machine]],'CODE mchn'!$A$4:$C$170,2,0))</f>
        <v>Acier</v>
      </c>
      <c r="D770" s="36" t="str">
        <f>IF(ISNA(VLOOKUP(Tableau13[[#This Row],[Code machine]],'CODE mchn'!$A$4:$C$170,3,0)),"",VLOOKUP(Tableau13[[#This Row],[Code machine]],'CODE mchn'!$A$4:$C$170,3,0))</f>
        <v>Teurema 1</v>
      </c>
      <c r="E770" s="105"/>
      <c r="F770" s="70"/>
      <c r="G770" s="70" t="s">
        <v>70</v>
      </c>
      <c r="H770" s="70" t="s">
        <v>1511</v>
      </c>
      <c r="I770" s="70" t="s">
        <v>13</v>
      </c>
      <c r="J770" s="170" t="s">
        <v>1512</v>
      </c>
      <c r="K770" s="171">
        <v>43888</v>
      </c>
      <c r="L770" s="70"/>
      <c r="M770" s="172">
        <v>1</v>
      </c>
      <c r="N770" s="173">
        <f>MONTH(Tableau13[[#This Row],[Date fin intervention]])</f>
        <v>2</v>
      </c>
      <c r="O770" s="173">
        <f>YEAR(Tableau13[[#This Row],[Date fin intervention]])</f>
        <v>2020</v>
      </c>
      <c r="P770" s="70"/>
    </row>
    <row r="771" spans="1:16">
      <c r="A771" s="168">
        <v>43888</v>
      </c>
      <c r="B771" s="169">
        <v>571</v>
      </c>
      <c r="C771" s="170" t="str">
        <f>IF(ISNA(VLOOKUP(Tableau13[[#This Row],[Code machine]],'CODE mchn'!$A$4:$C$170,2,0)),"",VLOOKUP(Tableau13[[#This Row],[Code machine]],'CODE mchn'!$A$4:$C$170,2,0))</f>
        <v>Acier</v>
      </c>
      <c r="D771" s="36" t="str">
        <f>IF(ISNA(VLOOKUP(Tableau13[[#This Row],[Code machine]],'CODE mchn'!$A$4:$C$170,3,0)),"",VLOOKUP(Tableau13[[#This Row],[Code machine]],'CODE mchn'!$A$4:$C$170,3,0))</f>
        <v>EVG PN 1</v>
      </c>
      <c r="E771" s="105"/>
      <c r="F771" s="70"/>
      <c r="G771" s="70" t="s">
        <v>982</v>
      </c>
      <c r="H771" s="70" t="s">
        <v>1226</v>
      </c>
      <c r="I771" s="70" t="s">
        <v>13</v>
      </c>
      <c r="J771" s="170" t="s">
        <v>1227</v>
      </c>
      <c r="K771" s="171">
        <v>43888</v>
      </c>
      <c r="L771" s="70"/>
      <c r="M771" s="172">
        <v>1</v>
      </c>
      <c r="N771" s="173">
        <f>MONTH(Tableau13[[#This Row],[Date fin intervention]])</f>
        <v>2</v>
      </c>
      <c r="O771" s="173">
        <f>YEAR(Tableau13[[#This Row],[Date fin intervention]])</f>
        <v>2020</v>
      </c>
      <c r="P771" s="70"/>
    </row>
    <row r="772" spans="1:16">
      <c r="A772" s="168">
        <v>43889</v>
      </c>
      <c r="B772" s="169">
        <v>700</v>
      </c>
      <c r="C772" s="170" t="str">
        <f>IF(ISNA(VLOOKUP(Tableau13[[#This Row],[Code machine]],'CODE mchn'!$A$4:$C$170,2,0)),"",VLOOKUP(Tableau13[[#This Row],[Code machine]],'CODE mchn'!$A$4:$C$170,2,0))</f>
        <v>Béton</v>
      </c>
      <c r="D772" s="36" t="str">
        <f>IF(ISNA(VLOOKUP(Tableau13[[#This Row],[Code machine]],'CODE mchn'!$A$4:$C$170,3,0)),"",VLOOKUP(Tableau13[[#This Row],[Code machine]],'CODE mchn'!$A$4:$C$170,3,0))</f>
        <v>Poyatos 1</v>
      </c>
      <c r="E772" s="105"/>
      <c r="F772" s="70"/>
      <c r="G772" s="70" t="s">
        <v>49</v>
      </c>
      <c r="H772" s="70" t="s">
        <v>1498</v>
      </c>
      <c r="I772" s="70" t="s">
        <v>13</v>
      </c>
      <c r="J772" s="170" t="s">
        <v>211</v>
      </c>
      <c r="K772" s="171">
        <v>43889</v>
      </c>
      <c r="L772" s="70"/>
      <c r="M772" s="172">
        <v>1</v>
      </c>
      <c r="N772" s="173">
        <f>MONTH(Tableau13[[#This Row],[Date fin intervention]])</f>
        <v>2</v>
      </c>
      <c r="O772" s="173">
        <f>YEAR(Tableau13[[#This Row],[Date fin intervention]])</f>
        <v>2020</v>
      </c>
      <c r="P772" s="70"/>
    </row>
    <row r="773" spans="1:16">
      <c r="A773" s="168">
        <v>43889</v>
      </c>
      <c r="B773" s="169">
        <v>571</v>
      </c>
      <c r="C773" s="170" t="str">
        <f>IF(ISNA(VLOOKUP(Tableau13[[#This Row],[Code machine]],'CODE mchn'!$A$4:$C$170,2,0)),"",VLOOKUP(Tableau13[[#This Row],[Code machine]],'CODE mchn'!$A$4:$C$170,2,0))</f>
        <v>Acier</v>
      </c>
      <c r="D773" s="36" t="str">
        <f>IF(ISNA(VLOOKUP(Tableau13[[#This Row],[Code machine]],'CODE mchn'!$A$4:$C$170,3,0)),"",VLOOKUP(Tableau13[[#This Row],[Code machine]],'CODE mchn'!$A$4:$C$170,3,0))</f>
        <v>EVG PN 1</v>
      </c>
      <c r="E773" s="105"/>
      <c r="F773" s="70"/>
      <c r="G773" s="70" t="s">
        <v>10</v>
      </c>
      <c r="H773" s="70" t="s">
        <v>1513</v>
      </c>
      <c r="I773" s="70" t="s">
        <v>13</v>
      </c>
      <c r="J773" s="170" t="s">
        <v>1514</v>
      </c>
      <c r="K773" s="171">
        <v>43889</v>
      </c>
      <c r="L773" s="70"/>
      <c r="M773" s="172">
        <v>1</v>
      </c>
      <c r="N773" s="173">
        <f>MONTH(Tableau13[[#This Row],[Date fin intervention]])</f>
        <v>2</v>
      </c>
      <c r="O773" s="173">
        <f>YEAR(Tableau13[[#This Row],[Date fin intervention]])</f>
        <v>2020</v>
      </c>
      <c r="P773" s="70"/>
    </row>
    <row r="774" spans="1:16" ht="28.5">
      <c r="A774" s="168">
        <v>43890</v>
      </c>
      <c r="B774" s="169">
        <v>700</v>
      </c>
      <c r="C774" s="170" t="str">
        <f>IF(ISNA(VLOOKUP(Tableau13[[#This Row],[Code machine]],'CODE mchn'!$A$4:$C$170,2,0)),"",VLOOKUP(Tableau13[[#This Row],[Code machine]],'CODE mchn'!$A$4:$C$170,2,0))</f>
        <v>Béton</v>
      </c>
      <c r="D774" s="36" t="str">
        <f>IF(ISNA(VLOOKUP(Tableau13[[#This Row],[Code machine]],'CODE mchn'!$A$4:$C$170,3,0)),"",VLOOKUP(Tableau13[[#This Row],[Code machine]],'CODE mchn'!$A$4:$C$170,3,0))</f>
        <v>Poyatos 1</v>
      </c>
      <c r="E774" s="105"/>
      <c r="F774" s="70"/>
      <c r="G774" s="70" t="s">
        <v>291</v>
      </c>
      <c r="H774" s="70" t="s">
        <v>1499</v>
      </c>
      <c r="I774" s="70" t="s">
        <v>13</v>
      </c>
      <c r="J774" s="170" t="s">
        <v>1500</v>
      </c>
      <c r="K774" s="171">
        <v>43890</v>
      </c>
      <c r="L774" s="70"/>
      <c r="M774" s="172">
        <v>2</v>
      </c>
      <c r="N774" s="173">
        <f>MONTH(Tableau13[[#This Row],[Date fin intervention]])</f>
        <v>2</v>
      </c>
      <c r="O774" s="173">
        <f>YEAR(Tableau13[[#This Row],[Date fin intervention]])</f>
        <v>2020</v>
      </c>
      <c r="P774" s="70"/>
    </row>
    <row r="775" spans="1:16">
      <c r="A775" s="168">
        <v>43893</v>
      </c>
      <c r="B775" s="169">
        <v>700</v>
      </c>
      <c r="C775" s="170" t="str">
        <f>IF(ISNA(VLOOKUP(Tableau13[[#This Row],[Code machine]],'CODE mchn'!$A$4:$C$170,2,0)),"",VLOOKUP(Tableau13[[#This Row],[Code machine]],'CODE mchn'!$A$4:$C$170,2,0))</f>
        <v>Béton</v>
      </c>
      <c r="D775" s="36" t="str">
        <f>IF(ISNA(VLOOKUP(Tableau13[[#This Row],[Code machine]],'CODE mchn'!$A$4:$C$170,3,0)),"",VLOOKUP(Tableau13[[#This Row],[Code machine]],'CODE mchn'!$A$4:$C$170,3,0))</f>
        <v>Poyatos 1</v>
      </c>
      <c r="E775" s="105"/>
      <c r="F775" s="70"/>
      <c r="G775" s="70" t="s">
        <v>20</v>
      </c>
      <c r="H775" s="70" t="s">
        <v>1188</v>
      </c>
      <c r="I775" s="70" t="s">
        <v>13</v>
      </c>
      <c r="J775" s="170" t="s">
        <v>1501</v>
      </c>
      <c r="K775" s="171">
        <v>43893</v>
      </c>
      <c r="L775" s="70"/>
      <c r="M775" s="172">
        <v>20</v>
      </c>
      <c r="N775" s="173">
        <f>MONTH(Tableau13[[#This Row],[Date fin intervention]])</f>
        <v>3</v>
      </c>
      <c r="O775" s="173">
        <f>YEAR(Tableau13[[#This Row],[Date fin intervention]])</f>
        <v>2020</v>
      </c>
      <c r="P775" s="70"/>
    </row>
    <row r="776" spans="1:16">
      <c r="A776" s="168">
        <v>43893</v>
      </c>
      <c r="B776" s="169">
        <v>606</v>
      </c>
      <c r="C776" s="170" t="str">
        <f>IF(ISNA(VLOOKUP(Tableau13[[#This Row],[Code machine]],'CODE mchn'!$A$4:$C$170,2,0)),"",VLOOKUP(Tableau13[[#This Row],[Code machine]],'CODE mchn'!$A$4:$C$170,2,0))</f>
        <v>Acier</v>
      </c>
      <c r="D776" s="36" t="str">
        <f>IF(ISNA(VLOOKUP(Tableau13[[#This Row],[Code machine]],'CODE mchn'!$A$4:$C$170,3,0)),"",VLOOKUP(Tableau13[[#This Row],[Code machine]],'CODE mchn'!$A$4:$C$170,3,0))</f>
        <v>Vitari 2</v>
      </c>
      <c r="E776" s="105"/>
      <c r="F776" s="70"/>
      <c r="G776" s="70" t="s">
        <v>1515</v>
      </c>
      <c r="H776" s="70" t="s">
        <v>1516</v>
      </c>
      <c r="I776" s="70" t="s">
        <v>13</v>
      </c>
      <c r="J776" s="170" t="s">
        <v>1517</v>
      </c>
      <c r="K776" s="171">
        <v>43893</v>
      </c>
      <c r="L776" s="70"/>
      <c r="M776" s="172">
        <v>40</v>
      </c>
      <c r="N776" s="173">
        <f>MONTH(Tableau13[[#This Row],[Date fin intervention]])</f>
        <v>3</v>
      </c>
      <c r="O776" s="173">
        <f>YEAR(Tableau13[[#This Row],[Date fin intervention]])</f>
        <v>2020</v>
      </c>
      <c r="P776" s="70"/>
    </row>
    <row r="777" spans="1:16">
      <c r="A777" s="168">
        <v>43893</v>
      </c>
      <c r="B777" s="169">
        <v>565</v>
      </c>
      <c r="C777" s="170" t="str">
        <f>IF(ISNA(VLOOKUP(Tableau13[[#This Row],[Code machine]],'CODE mchn'!$A$4:$C$170,2,0)),"",VLOOKUP(Tableau13[[#This Row],[Code machine]],'CODE mchn'!$A$4:$C$170,2,0))</f>
        <v>Acier</v>
      </c>
      <c r="D777" s="36" t="str">
        <f>IF(ISNA(VLOOKUP(Tableau13[[#This Row],[Code machine]],'CODE mchn'!$A$4:$C$170,3,0)),"",VLOOKUP(Tableau13[[#This Row],[Code machine]],'CODE mchn'!$A$4:$C$170,3,0))</f>
        <v>EVG GE12</v>
      </c>
      <c r="E777" s="105"/>
      <c r="F777" s="70"/>
      <c r="G777" s="70" t="s">
        <v>104</v>
      </c>
      <c r="H777" s="70" t="s">
        <v>1518</v>
      </c>
      <c r="I777" s="70" t="s">
        <v>13</v>
      </c>
      <c r="J777" s="170" t="s">
        <v>1519</v>
      </c>
      <c r="K777" s="171">
        <v>43893</v>
      </c>
      <c r="L777" s="70"/>
      <c r="M777" s="172">
        <v>1</v>
      </c>
      <c r="N777" s="173">
        <f>MONTH(Tableau13[[#This Row],[Date fin intervention]])</f>
        <v>3</v>
      </c>
      <c r="O777" s="173">
        <f>YEAR(Tableau13[[#This Row],[Date fin intervention]])</f>
        <v>2020</v>
      </c>
      <c r="P777" s="70"/>
    </row>
    <row r="778" spans="1:16">
      <c r="A778" s="168">
        <v>43894</v>
      </c>
      <c r="B778" s="169">
        <v>700</v>
      </c>
      <c r="C778" s="170" t="str">
        <f>IF(ISNA(VLOOKUP(Tableau13[[#This Row],[Code machine]],'CODE mchn'!$A$4:$C$170,2,0)),"",VLOOKUP(Tableau13[[#This Row],[Code machine]],'CODE mchn'!$A$4:$C$170,2,0))</f>
        <v>Béton</v>
      </c>
      <c r="D778" s="36" t="str">
        <f>IF(ISNA(VLOOKUP(Tableau13[[#This Row],[Code machine]],'CODE mchn'!$A$4:$C$170,3,0)),"",VLOOKUP(Tableau13[[#This Row],[Code machine]],'CODE mchn'!$A$4:$C$170,3,0))</f>
        <v>Poyatos 1</v>
      </c>
      <c r="E778" s="105"/>
      <c r="F778" s="70"/>
      <c r="G778" s="70" t="s">
        <v>185</v>
      </c>
      <c r="H778" s="70" t="s">
        <v>654</v>
      </c>
      <c r="I778" s="70" t="s">
        <v>13</v>
      </c>
      <c r="J778" s="170" t="s">
        <v>655</v>
      </c>
      <c r="K778" s="171">
        <v>43894</v>
      </c>
      <c r="L778" s="70"/>
      <c r="M778" s="172">
        <v>1</v>
      </c>
      <c r="N778" s="173">
        <f>MONTH(Tableau13[[#This Row],[Date fin intervention]])</f>
        <v>3</v>
      </c>
      <c r="O778" s="173">
        <f>YEAR(Tableau13[[#This Row],[Date fin intervention]])</f>
        <v>2020</v>
      </c>
      <c r="P778" s="70"/>
    </row>
    <row r="779" spans="1:16" ht="28.5">
      <c r="A779" s="168">
        <v>43894</v>
      </c>
      <c r="B779" s="169">
        <v>584</v>
      </c>
      <c r="C779" s="170" t="str">
        <f>IF(ISNA(VLOOKUP(Tableau13[[#This Row],[Code machine]],'CODE mchn'!$A$4:$C$170,2,0)),"",VLOOKUP(Tableau13[[#This Row],[Code machine]],'CODE mchn'!$A$4:$C$170,2,0))</f>
        <v>Ponts roulants</v>
      </c>
      <c r="D779" s="36" t="str">
        <f>IF(ISNA(VLOOKUP(Tableau13[[#This Row],[Code machine]],'CODE mchn'!$A$4:$C$170,3,0)),"",VLOOKUP(Tableau13[[#This Row],[Code machine]],'CODE mchn'!$A$4:$C$170,3,0))</f>
        <v>Pont roulant Demag 3,2T (teurema2)</v>
      </c>
      <c r="E779" s="105"/>
      <c r="F779" s="70"/>
      <c r="G779" s="70" t="s">
        <v>52</v>
      </c>
      <c r="H779" s="70" t="s">
        <v>863</v>
      </c>
      <c r="I779" s="70" t="s">
        <v>13</v>
      </c>
      <c r="J779" s="170" t="s">
        <v>1144</v>
      </c>
      <c r="K779" s="171">
        <v>43894</v>
      </c>
      <c r="L779" s="70"/>
      <c r="M779" s="172">
        <v>30</v>
      </c>
      <c r="N779" s="173">
        <f>MONTH(Tableau13[[#This Row],[Date fin intervention]])</f>
        <v>3</v>
      </c>
      <c r="O779" s="173">
        <f>YEAR(Tableau13[[#This Row],[Date fin intervention]])</f>
        <v>2020</v>
      </c>
      <c r="P779" s="70"/>
    </row>
    <row r="780" spans="1:16">
      <c r="A780" s="168">
        <v>43895</v>
      </c>
      <c r="B780" s="169">
        <v>700</v>
      </c>
      <c r="C780" s="170" t="str">
        <f>IF(ISNA(VLOOKUP(Tableau13[[#This Row],[Code machine]],'CODE mchn'!$A$4:$C$170,2,0)),"",VLOOKUP(Tableau13[[#This Row],[Code machine]],'CODE mchn'!$A$4:$C$170,2,0))</f>
        <v>Béton</v>
      </c>
      <c r="D780" s="36" t="str">
        <f>IF(ISNA(VLOOKUP(Tableau13[[#This Row],[Code machine]],'CODE mchn'!$A$4:$C$170,3,0)),"",VLOOKUP(Tableau13[[#This Row],[Code machine]],'CODE mchn'!$A$4:$C$170,3,0))</f>
        <v>Poyatos 1</v>
      </c>
      <c r="E780" s="105"/>
      <c r="F780" s="70"/>
      <c r="G780" s="70" t="s">
        <v>185</v>
      </c>
      <c r="H780" s="70" t="s">
        <v>1503</v>
      </c>
      <c r="I780" s="70" t="s">
        <v>13</v>
      </c>
      <c r="J780" s="170" t="s">
        <v>384</v>
      </c>
      <c r="K780" s="171">
        <v>43895</v>
      </c>
      <c r="L780" s="70"/>
      <c r="M780" s="172">
        <v>3</v>
      </c>
      <c r="N780" s="173">
        <f>MONTH(Tableau13[[#This Row],[Date fin intervention]])</f>
        <v>3</v>
      </c>
      <c r="O780" s="173">
        <f>YEAR(Tableau13[[#This Row],[Date fin intervention]])</f>
        <v>2020</v>
      </c>
      <c r="P780" s="70"/>
    </row>
    <row r="781" spans="1:16">
      <c r="A781" s="168">
        <v>43895</v>
      </c>
      <c r="B781" s="169">
        <v>605</v>
      </c>
      <c r="C781" s="170" t="str">
        <f>IF(ISNA(VLOOKUP(Tableau13[[#This Row],[Code machine]],'CODE mchn'!$A$4:$C$170,2,0)),"",VLOOKUP(Tableau13[[#This Row],[Code machine]],'CODE mchn'!$A$4:$C$170,2,0))</f>
        <v>Acier</v>
      </c>
      <c r="D781" s="36" t="str">
        <f>IF(ISNA(VLOOKUP(Tableau13[[#This Row],[Code machine]],'CODE mchn'!$A$4:$C$170,3,0)),"",VLOOKUP(Tableau13[[#This Row],[Code machine]],'CODE mchn'!$A$4:$C$170,3,0))</f>
        <v>Vitari 1</v>
      </c>
      <c r="E781" s="105"/>
      <c r="F781" s="70"/>
      <c r="G781" s="70" t="s">
        <v>1520</v>
      </c>
      <c r="H781" s="70" t="s">
        <v>1521</v>
      </c>
      <c r="I781" s="70" t="s">
        <v>13</v>
      </c>
      <c r="J781" s="170" t="s">
        <v>1522</v>
      </c>
      <c r="K781" s="171">
        <v>43895</v>
      </c>
      <c r="L781" s="70"/>
      <c r="M781" s="172">
        <v>1</v>
      </c>
      <c r="N781" s="173">
        <f>MONTH(Tableau13[[#This Row],[Date fin intervention]])</f>
        <v>3</v>
      </c>
      <c r="O781" s="173">
        <f>YEAR(Tableau13[[#This Row],[Date fin intervention]])</f>
        <v>2020</v>
      </c>
      <c r="P781" s="70"/>
    </row>
    <row r="782" spans="1:16">
      <c r="A782" s="168">
        <v>43895</v>
      </c>
      <c r="B782" s="169">
        <v>581</v>
      </c>
      <c r="C782" s="170" t="str">
        <f>IF(ISNA(VLOOKUP(Tableau13[[#This Row],[Code machine]],'CODE mchn'!$A$4:$C$170,2,0)),"",VLOOKUP(Tableau13[[#This Row],[Code machine]],'CODE mchn'!$A$4:$C$170,2,0))</f>
        <v>Acier</v>
      </c>
      <c r="D782" s="36" t="str">
        <f>IF(ISNA(VLOOKUP(Tableau13[[#This Row],[Code machine]],'CODE mchn'!$A$4:$C$170,3,0)),"",VLOOKUP(Tableau13[[#This Row],[Code machine]],'CODE mchn'!$A$4:$C$170,3,0))</f>
        <v>Teurema 1</v>
      </c>
      <c r="E782" s="105"/>
      <c r="F782" s="70"/>
      <c r="G782" s="70" t="s">
        <v>1473</v>
      </c>
      <c r="H782" s="70" t="s">
        <v>352</v>
      </c>
      <c r="I782" s="70" t="s">
        <v>13</v>
      </c>
      <c r="J782" s="170" t="s">
        <v>302</v>
      </c>
      <c r="K782" s="171">
        <v>43895</v>
      </c>
      <c r="L782" s="70"/>
      <c r="M782" s="172">
        <v>1</v>
      </c>
      <c r="N782" s="173">
        <f>MONTH(Tableau13[[#This Row],[Date fin intervention]])</f>
        <v>3</v>
      </c>
      <c r="O782" s="173">
        <f>YEAR(Tableau13[[#This Row],[Date fin intervention]])</f>
        <v>2020</v>
      </c>
      <c r="P782" s="70"/>
    </row>
    <row r="783" spans="1:16">
      <c r="A783" s="168">
        <v>43896</v>
      </c>
      <c r="B783" s="169">
        <v>700</v>
      </c>
      <c r="C783" s="170" t="str">
        <f>IF(ISNA(VLOOKUP(Tableau13[[#This Row],[Code machine]],'CODE mchn'!$A$4:$C$170,2,0)),"",VLOOKUP(Tableau13[[#This Row],[Code machine]],'CODE mchn'!$A$4:$C$170,2,0))</f>
        <v>Béton</v>
      </c>
      <c r="D783" s="36" t="str">
        <f>IF(ISNA(VLOOKUP(Tableau13[[#This Row],[Code machine]],'CODE mchn'!$A$4:$C$170,3,0)),"",VLOOKUP(Tableau13[[#This Row],[Code machine]],'CODE mchn'!$A$4:$C$170,3,0))</f>
        <v>Poyatos 1</v>
      </c>
      <c r="E783" s="105"/>
      <c r="F783" s="70"/>
      <c r="G783" s="70" t="s">
        <v>331</v>
      </c>
      <c r="H783" s="70" t="s">
        <v>1419</v>
      </c>
      <c r="I783" s="70" t="s">
        <v>13</v>
      </c>
      <c r="J783" s="170" t="s">
        <v>1504</v>
      </c>
      <c r="K783" s="171">
        <v>43896</v>
      </c>
      <c r="L783" s="70"/>
      <c r="M783" s="172">
        <v>40</v>
      </c>
      <c r="N783" s="173">
        <f>MONTH(Tableau13[[#This Row],[Date fin intervention]])</f>
        <v>3</v>
      </c>
      <c r="O783" s="173">
        <f>YEAR(Tableau13[[#This Row],[Date fin intervention]])</f>
        <v>2020</v>
      </c>
      <c r="P783" s="70"/>
    </row>
    <row r="784" spans="1:16">
      <c r="A784" s="168">
        <v>43897</v>
      </c>
      <c r="B784" s="169">
        <v>590</v>
      </c>
      <c r="C784" s="170" t="str">
        <f>IF(ISNA(VLOOKUP(Tableau13[[#This Row],[Code machine]],'CODE mchn'!$A$4:$C$170,2,0)),"",VLOOKUP(Tableau13[[#This Row],[Code machine]],'CODE mchn'!$A$4:$C$170,2,0))</f>
        <v>Acier</v>
      </c>
      <c r="D784" s="36" t="str">
        <f>IF(ISNA(VLOOKUP(Tableau13[[#This Row],[Code machine]],'CODE mchn'!$A$4:$C$170,3,0)),"",VLOOKUP(Tableau13[[#This Row],[Code machine]],'CODE mchn'!$A$4:$C$170,3,0))</f>
        <v>Teurema 3</v>
      </c>
      <c r="E784" s="105"/>
      <c r="F784" s="70"/>
      <c r="G784" s="70" t="s">
        <v>1249</v>
      </c>
      <c r="H784" s="70" t="s">
        <v>1523</v>
      </c>
      <c r="I784" s="70" t="s">
        <v>13</v>
      </c>
      <c r="J784" s="170" t="s">
        <v>1524</v>
      </c>
      <c r="K784" s="171">
        <v>43897</v>
      </c>
      <c r="L784" s="70"/>
      <c r="M784" s="172">
        <v>2</v>
      </c>
      <c r="N784" s="173">
        <f>MONTH(Tableau13[[#This Row],[Date fin intervention]])</f>
        <v>3</v>
      </c>
      <c r="O784" s="173">
        <f>YEAR(Tableau13[[#This Row],[Date fin intervention]])</f>
        <v>2020</v>
      </c>
      <c r="P784" s="70"/>
    </row>
    <row r="785" spans="1:16">
      <c r="A785" s="168">
        <v>43897</v>
      </c>
      <c r="B785" s="169">
        <v>700</v>
      </c>
      <c r="C785" s="170" t="str">
        <f>IF(ISNA(VLOOKUP(Tableau13[[#This Row],[Code machine]],'CODE mchn'!$A$4:$C$170,2,0)),"",VLOOKUP(Tableau13[[#This Row],[Code machine]],'CODE mchn'!$A$4:$C$170,2,0))</f>
        <v>Béton</v>
      </c>
      <c r="D785" s="36" t="str">
        <f>IF(ISNA(VLOOKUP(Tableau13[[#This Row],[Code machine]],'CODE mchn'!$A$4:$C$170,3,0)),"",VLOOKUP(Tableau13[[#This Row],[Code machine]],'CODE mchn'!$A$4:$C$170,3,0))</f>
        <v>Poyatos 1</v>
      </c>
      <c r="E785" s="105"/>
      <c r="F785" s="70"/>
      <c r="G785" s="70" t="s">
        <v>1544</v>
      </c>
      <c r="H785" s="70" t="s">
        <v>863</v>
      </c>
      <c r="I785" s="70" t="s">
        <v>13</v>
      </c>
      <c r="J785" s="170" t="s">
        <v>1545</v>
      </c>
      <c r="K785" s="171">
        <v>43897</v>
      </c>
      <c r="L785" s="70"/>
      <c r="M785" s="172">
        <v>1</v>
      </c>
      <c r="N785" s="173">
        <f>MONTH(Tableau13[[#This Row],[Date fin intervention]])</f>
        <v>3</v>
      </c>
      <c r="O785" s="173">
        <f>YEAR(Tableau13[[#This Row],[Date fin intervention]])</f>
        <v>2020</v>
      </c>
      <c r="P785" s="70"/>
    </row>
    <row r="786" spans="1:16">
      <c r="A786" s="168">
        <v>43899</v>
      </c>
      <c r="B786" s="169">
        <v>581</v>
      </c>
      <c r="C786" s="170" t="str">
        <f>IF(ISNA(VLOOKUP(Tableau13[[#This Row],[Code machine]],'CODE mchn'!$A$4:$C$170,2,0)),"",VLOOKUP(Tableau13[[#This Row],[Code machine]],'CODE mchn'!$A$4:$C$170,2,0))</f>
        <v>Acier</v>
      </c>
      <c r="D786" s="36" t="str">
        <f>IF(ISNA(VLOOKUP(Tableau13[[#This Row],[Code machine]],'CODE mchn'!$A$4:$C$170,3,0)),"",VLOOKUP(Tableau13[[#This Row],[Code machine]],'CODE mchn'!$A$4:$C$170,3,0))</f>
        <v>Teurema 1</v>
      </c>
      <c r="E786" s="105"/>
      <c r="F786" s="70"/>
      <c r="G786" s="70" t="s">
        <v>1294</v>
      </c>
      <c r="H786" s="70" t="s">
        <v>1525</v>
      </c>
      <c r="I786" s="70" t="s">
        <v>13</v>
      </c>
      <c r="J786" s="170" t="s">
        <v>1526</v>
      </c>
      <c r="K786" s="171">
        <v>43899</v>
      </c>
      <c r="L786" s="70"/>
      <c r="M786" s="172">
        <v>40</v>
      </c>
      <c r="N786" s="173">
        <f>MONTH(Tableau13[[#This Row],[Date fin intervention]])</f>
        <v>3</v>
      </c>
      <c r="O786" s="173">
        <f>YEAR(Tableau13[[#This Row],[Date fin intervention]])</f>
        <v>2020</v>
      </c>
      <c r="P786" s="70"/>
    </row>
    <row r="787" spans="1:16">
      <c r="A787" s="168">
        <v>43900</v>
      </c>
      <c r="B787" s="169">
        <v>560</v>
      </c>
      <c r="C787" s="170" t="str">
        <f>IF(ISNA(VLOOKUP(Tableau13[[#This Row],[Code machine]],'CODE mchn'!$A$4:$C$170,2,0)),"",VLOOKUP(Tableau13[[#This Row],[Code machine]],'CODE mchn'!$A$4:$C$170,2,0))</f>
        <v>Acier</v>
      </c>
      <c r="D787" s="36" t="str">
        <f>IF(ISNA(VLOOKUP(Tableau13[[#This Row],[Code machine]],'CODE mchn'!$A$4:$C$170,3,0)),"",VLOOKUP(Tableau13[[#This Row],[Code machine]],'CODE mchn'!$A$4:$C$170,3,0))</f>
        <v>Schlatter</v>
      </c>
      <c r="E787" s="105"/>
      <c r="F787" s="70"/>
      <c r="G787" s="70" t="s">
        <v>1527</v>
      </c>
      <c r="H787" s="70" t="s">
        <v>1528</v>
      </c>
      <c r="I787" s="70" t="s">
        <v>13</v>
      </c>
      <c r="J787" s="170" t="s">
        <v>1529</v>
      </c>
      <c r="K787" s="171">
        <v>43900</v>
      </c>
      <c r="L787" s="70"/>
      <c r="M787" s="172">
        <v>3</v>
      </c>
      <c r="N787" s="173">
        <f>MONTH(Tableau13[[#This Row],[Date fin intervention]])</f>
        <v>3</v>
      </c>
      <c r="O787" s="173">
        <f>YEAR(Tableau13[[#This Row],[Date fin intervention]])</f>
        <v>2020</v>
      </c>
      <c r="P787" s="70"/>
    </row>
    <row r="788" spans="1:16">
      <c r="A788" s="168">
        <v>43900</v>
      </c>
      <c r="B788" s="169">
        <v>570</v>
      </c>
      <c r="C788" s="170" t="str">
        <f>IF(ISNA(VLOOKUP(Tableau13[[#This Row],[Code machine]],'CODE mchn'!$A$4:$C$170,2,0)),"",VLOOKUP(Tableau13[[#This Row],[Code machine]],'CODE mchn'!$A$4:$C$170,2,0))</f>
        <v>Acier</v>
      </c>
      <c r="D788" s="36" t="str">
        <f>IF(ISNA(VLOOKUP(Tableau13[[#This Row],[Code machine]],'CODE mchn'!$A$4:$C$170,3,0)),"",VLOOKUP(Tableau13[[#This Row],[Code machine]],'CODE mchn'!$A$4:$C$170,3,0))</f>
        <v>Sigmatic</v>
      </c>
      <c r="E788" s="105"/>
      <c r="F788" s="70"/>
      <c r="G788" s="70" t="s">
        <v>52</v>
      </c>
      <c r="H788" s="70" t="s">
        <v>1530</v>
      </c>
      <c r="I788" s="70" t="s">
        <v>13</v>
      </c>
      <c r="J788" s="170" t="s">
        <v>1275</v>
      </c>
      <c r="K788" s="171">
        <v>43900</v>
      </c>
      <c r="L788" s="70"/>
      <c r="M788" s="172">
        <v>1</v>
      </c>
      <c r="N788" s="173">
        <f>MONTH(Tableau13[[#This Row],[Date fin intervention]])</f>
        <v>3</v>
      </c>
      <c r="O788" s="173">
        <f>YEAR(Tableau13[[#This Row],[Date fin intervention]])</f>
        <v>2020</v>
      </c>
      <c r="P788" s="70"/>
    </row>
    <row r="789" spans="1:16">
      <c r="A789" s="168">
        <v>43900</v>
      </c>
      <c r="B789" s="169">
        <v>700</v>
      </c>
      <c r="C789" s="170" t="str">
        <f>IF(ISNA(VLOOKUP(Tableau13[[#This Row],[Code machine]],'CODE mchn'!$A$4:$C$170,2,0)),"",VLOOKUP(Tableau13[[#This Row],[Code machine]],'CODE mchn'!$A$4:$C$170,2,0))</f>
        <v>Béton</v>
      </c>
      <c r="D789" s="36" t="str">
        <f>IF(ISNA(VLOOKUP(Tableau13[[#This Row],[Code machine]],'CODE mchn'!$A$4:$C$170,3,0)),"",VLOOKUP(Tableau13[[#This Row],[Code machine]],'CODE mchn'!$A$4:$C$170,3,0))</f>
        <v>Poyatos 1</v>
      </c>
      <c r="E789" s="105"/>
      <c r="F789" s="70"/>
      <c r="G789" s="70" t="s">
        <v>1132</v>
      </c>
      <c r="H789" s="70" t="s">
        <v>1546</v>
      </c>
      <c r="I789" s="70" t="s">
        <v>13</v>
      </c>
      <c r="J789" s="170" t="s">
        <v>1547</v>
      </c>
      <c r="K789" s="171">
        <v>43900</v>
      </c>
      <c r="L789" s="70"/>
      <c r="M789" s="172">
        <v>30</v>
      </c>
      <c r="N789" s="173">
        <f>MONTH(Tableau13[[#This Row],[Date fin intervention]])</f>
        <v>3</v>
      </c>
      <c r="O789" s="173">
        <f>YEAR(Tableau13[[#This Row],[Date fin intervention]])</f>
        <v>2020</v>
      </c>
      <c r="P789" s="70"/>
    </row>
    <row r="790" spans="1:16">
      <c r="A790" s="168">
        <v>43901</v>
      </c>
      <c r="B790" s="169">
        <v>571</v>
      </c>
      <c r="C790" s="170" t="str">
        <f>IF(ISNA(VLOOKUP(Tableau13[[#This Row],[Code machine]],'CODE mchn'!$A$4:$C$170,2,0)),"",VLOOKUP(Tableau13[[#This Row],[Code machine]],'CODE mchn'!$A$4:$C$170,2,0))</f>
        <v>Acier</v>
      </c>
      <c r="D790" s="36" t="str">
        <f>IF(ISNA(VLOOKUP(Tableau13[[#This Row],[Code machine]],'CODE mchn'!$A$4:$C$170,3,0)),"",VLOOKUP(Tableau13[[#This Row],[Code machine]],'CODE mchn'!$A$4:$C$170,3,0))</f>
        <v>EVG PN 1</v>
      </c>
      <c r="E790" s="105"/>
      <c r="F790" s="70"/>
      <c r="G790" s="70" t="s">
        <v>10</v>
      </c>
      <c r="H790" s="70" t="s">
        <v>1531</v>
      </c>
      <c r="I790" s="70" t="s">
        <v>13</v>
      </c>
      <c r="J790" s="170" t="s">
        <v>601</v>
      </c>
      <c r="K790" s="171">
        <v>43901</v>
      </c>
      <c r="L790" s="70"/>
      <c r="M790" s="172">
        <v>40</v>
      </c>
      <c r="N790" s="173">
        <f>MONTH(Tableau13[[#This Row],[Date fin intervention]])</f>
        <v>3</v>
      </c>
      <c r="O790" s="173">
        <f>YEAR(Tableau13[[#This Row],[Date fin intervention]])</f>
        <v>2020</v>
      </c>
      <c r="P790" s="70"/>
    </row>
    <row r="791" spans="1:16">
      <c r="A791" s="168">
        <v>43901</v>
      </c>
      <c r="B791" s="169">
        <v>700</v>
      </c>
      <c r="C791" s="170" t="str">
        <f>IF(ISNA(VLOOKUP(Tableau13[[#This Row],[Code machine]],'CODE mchn'!$A$4:$C$170,2,0)),"",VLOOKUP(Tableau13[[#This Row],[Code machine]],'CODE mchn'!$A$4:$C$170,2,0))</f>
        <v>Béton</v>
      </c>
      <c r="D791" s="36" t="str">
        <f>IF(ISNA(VLOOKUP(Tableau13[[#This Row],[Code machine]],'CODE mchn'!$A$4:$C$170,3,0)),"",VLOOKUP(Tableau13[[#This Row],[Code machine]],'CODE mchn'!$A$4:$C$170,3,0))</f>
        <v>Poyatos 1</v>
      </c>
      <c r="E791" s="105"/>
      <c r="F791" s="70"/>
      <c r="G791" s="70" t="s">
        <v>306</v>
      </c>
      <c r="H791" s="70" t="s">
        <v>1542</v>
      </c>
      <c r="I791" s="70" t="s">
        <v>13</v>
      </c>
      <c r="J791" s="170" t="s">
        <v>1543</v>
      </c>
      <c r="K791" s="171">
        <v>43901</v>
      </c>
      <c r="L791" s="70"/>
      <c r="M791" s="172">
        <v>2</v>
      </c>
      <c r="N791" s="173">
        <f>MONTH(Tableau13[[#This Row],[Date fin intervention]])</f>
        <v>3</v>
      </c>
      <c r="O791" s="173">
        <f>YEAR(Tableau13[[#This Row],[Date fin intervention]])</f>
        <v>2020</v>
      </c>
      <c r="P791" s="70"/>
    </row>
    <row r="792" spans="1:16" ht="42.75">
      <c r="A792" s="168">
        <v>43901</v>
      </c>
      <c r="B792" s="169">
        <v>700</v>
      </c>
      <c r="C792" s="170" t="str">
        <f>IF(ISNA(VLOOKUP(Tableau13[[#This Row],[Code machine]],'CODE mchn'!$A$4:$C$170,2,0)),"",VLOOKUP(Tableau13[[#This Row],[Code machine]],'CODE mchn'!$A$4:$C$170,2,0))</f>
        <v>Béton</v>
      </c>
      <c r="D792" s="36" t="str">
        <f>IF(ISNA(VLOOKUP(Tableau13[[#This Row],[Code machine]],'CODE mchn'!$A$4:$C$170,3,0)),"",VLOOKUP(Tableau13[[#This Row],[Code machine]],'CODE mchn'!$A$4:$C$170,3,0))</f>
        <v>Poyatos 1</v>
      </c>
      <c r="E792" s="105"/>
      <c r="F792" s="70"/>
      <c r="G792" s="70" t="s">
        <v>291</v>
      </c>
      <c r="H792" s="70" t="s">
        <v>1548</v>
      </c>
      <c r="I792" s="70" t="s">
        <v>13</v>
      </c>
      <c r="J792" s="170" t="s">
        <v>1549</v>
      </c>
      <c r="K792" s="171">
        <v>43902</v>
      </c>
      <c r="L792" s="70"/>
      <c r="M792" s="172" t="s">
        <v>2259</v>
      </c>
      <c r="N792" s="173">
        <f>MONTH(Tableau13[[#This Row],[Date fin intervention]])</f>
        <v>3</v>
      </c>
      <c r="O792" s="173">
        <f>YEAR(Tableau13[[#This Row],[Date fin intervention]])</f>
        <v>2020</v>
      </c>
      <c r="P792" s="70"/>
    </row>
    <row r="793" spans="1:16">
      <c r="A793" s="168">
        <v>43902</v>
      </c>
      <c r="B793" s="169">
        <v>606</v>
      </c>
      <c r="C793" s="170" t="str">
        <f>IF(ISNA(VLOOKUP(Tableau13[[#This Row],[Code machine]],'CODE mchn'!$A$4:$C$170,2,0)),"",VLOOKUP(Tableau13[[#This Row],[Code machine]],'CODE mchn'!$A$4:$C$170,2,0))</f>
        <v>Acier</v>
      </c>
      <c r="D793" s="36" t="str">
        <f>IF(ISNA(VLOOKUP(Tableau13[[#This Row],[Code machine]],'CODE mchn'!$A$4:$C$170,3,0)),"",VLOOKUP(Tableau13[[#This Row],[Code machine]],'CODE mchn'!$A$4:$C$170,3,0))</f>
        <v>Vitari 2</v>
      </c>
      <c r="E793" s="105"/>
      <c r="F793" s="70"/>
      <c r="G793" s="70" t="s">
        <v>78</v>
      </c>
      <c r="H793" s="70" t="s">
        <v>1532</v>
      </c>
      <c r="I793" s="70" t="s">
        <v>13</v>
      </c>
      <c r="J793" s="170" t="s">
        <v>1533</v>
      </c>
      <c r="K793" s="171">
        <v>43902</v>
      </c>
      <c r="L793" s="70"/>
      <c r="M793" s="172">
        <v>1</v>
      </c>
      <c r="N793" s="173">
        <f>MONTH(Tableau13[[#This Row],[Date fin intervention]])</f>
        <v>3</v>
      </c>
      <c r="O793" s="173">
        <f>YEAR(Tableau13[[#This Row],[Date fin intervention]])</f>
        <v>2020</v>
      </c>
      <c r="P793" s="70"/>
    </row>
    <row r="794" spans="1:16">
      <c r="A794" s="168">
        <v>43902</v>
      </c>
      <c r="B794" s="169">
        <v>800</v>
      </c>
      <c r="C794" s="170" t="str">
        <f>IF(ISNA(VLOOKUP(Tableau13[[#This Row],[Code machine]],'CODE mchn'!$A$4:$C$170,2,0)),"",VLOOKUP(Tableau13[[#This Row],[Code machine]],'CODE mchn'!$A$4:$C$170,2,0))</f>
        <v>Béton</v>
      </c>
      <c r="D794" s="36" t="str">
        <f>IF(ISNA(VLOOKUP(Tableau13[[#This Row],[Code machine]],'CODE mchn'!$A$4:$C$170,3,0)),"",VLOOKUP(Tableau13[[#This Row],[Code machine]],'CODE mchn'!$A$4:$C$170,3,0))</f>
        <v>Poyatos 2</v>
      </c>
      <c r="E794" s="105"/>
      <c r="F794" s="70"/>
      <c r="G794" s="70" t="s">
        <v>1552</v>
      </c>
      <c r="H794" s="70" t="s">
        <v>1553</v>
      </c>
      <c r="I794" s="70" t="s">
        <v>13</v>
      </c>
      <c r="J794" s="170" t="s">
        <v>1554</v>
      </c>
      <c r="K794" s="171">
        <v>43902</v>
      </c>
      <c r="L794" s="70"/>
      <c r="M794" s="172">
        <v>1</v>
      </c>
      <c r="N794" s="173">
        <f>MONTH(Tableau13[[#This Row],[Date fin intervention]])</f>
        <v>3</v>
      </c>
      <c r="O794" s="173">
        <f>YEAR(Tableau13[[#This Row],[Date fin intervention]])</f>
        <v>2020</v>
      </c>
      <c r="P794" s="70"/>
    </row>
    <row r="795" spans="1:16">
      <c r="A795" s="168">
        <v>43904</v>
      </c>
      <c r="B795" s="169">
        <v>565</v>
      </c>
      <c r="C795" s="170" t="str">
        <f>IF(ISNA(VLOOKUP(Tableau13[[#This Row],[Code machine]],'CODE mchn'!$A$4:$C$170,2,0)),"",VLOOKUP(Tableau13[[#This Row],[Code machine]],'CODE mchn'!$A$4:$C$170,2,0))</f>
        <v>Acier</v>
      </c>
      <c r="D795" s="36" t="str">
        <f>IF(ISNA(VLOOKUP(Tableau13[[#This Row],[Code machine]],'CODE mchn'!$A$4:$C$170,3,0)),"",VLOOKUP(Tableau13[[#This Row],[Code machine]],'CODE mchn'!$A$4:$C$170,3,0))</f>
        <v>EVG GE12</v>
      </c>
      <c r="E795" s="105"/>
      <c r="F795" s="70"/>
      <c r="G795" s="70" t="s">
        <v>104</v>
      </c>
      <c r="H795" s="70" t="s">
        <v>1147</v>
      </c>
      <c r="I795" s="70" t="s">
        <v>13</v>
      </c>
      <c r="J795" s="170" t="s">
        <v>1146</v>
      </c>
      <c r="K795" s="171">
        <v>43904</v>
      </c>
      <c r="L795" s="70"/>
      <c r="M795" s="172">
        <v>1</v>
      </c>
      <c r="N795" s="173">
        <f>MONTH(Tableau13[[#This Row],[Date fin intervention]])</f>
        <v>3</v>
      </c>
      <c r="O795" s="173">
        <f>YEAR(Tableau13[[#This Row],[Date fin intervention]])</f>
        <v>2020</v>
      </c>
      <c r="P795" s="70"/>
    </row>
    <row r="796" spans="1:16" ht="42.75">
      <c r="A796" s="168">
        <v>43905</v>
      </c>
      <c r="B796" s="169">
        <v>800</v>
      </c>
      <c r="C796" s="170" t="str">
        <f>IF(ISNA(VLOOKUP(Tableau13[[#This Row],[Code machine]],'CODE mchn'!$A$4:$C$170,2,0)),"",VLOOKUP(Tableau13[[#This Row],[Code machine]],'CODE mchn'!$A$4:$C$170,2,0))</f>
        <v>Béton</v>
      </c>
      <c r="D796" s="36" t="str">
        <f>IF(ISNA(VLOOKUP(Tableau13[[#This Row],[Code machine]],'CODE mchn'!$A$4:$C$170,3,0)),"",VLOOKUP(Tableau13[[#This Row],[Code machine]],'CODE mchn'!$A$4:$C$170,3,0))</f>
        <v>Poyatos 2</v>
      </c>
      <c r="E796" s="105"/>
      <c r="F796" s="70"/>
      <c r="G796" s="70" t="s">
        <v>185</v>
      </c>
      <c r="H796" s="70" t="s">
        <v>1578</v>
      </c>
      <c r="I796" s="70" t="s">
        <v>13</v>
      </c>
      <c r="J796" s="170" t="s">
        <v>1579</v>
      </c>
      <c r="K796" s="171">
        <v>43937</v>
      </c>
      <c r="L796" s="70"/>
      <c r="M796" s="172" t="s">
        <v>2259</v>
      </c>
      <c r="N796" s="173">
        <f>MONTH(Tableau13[[#This Row],[Date fin intervention]])</f>
        <v>4</v>
      </c>
      <c r="O796" s="173">
        <f>YEAR(Tableau13[[#This Row],[Date fin intervention]])</f>
        <v>2020</v>
      </c>
      <c r="P796" s="70"/>
    </row>
    <row r="797" spans="1:16" ht="42.75">
      <c r="A797" s="168">
        <v>43906</v>
      </c>
      <c r="B797" s="169">
        <v>700</v>
      </c>
      <c r="C797" s="170" t="str">
        <f>IF(ISNA(VLOOKUP(Tableau13[[#This Row],[Code machine]],'CODE mchn'!$A$4:$C$170,2,0)),"",VLOOKUP(Tableau13[[#This Row],[Code machine]],'CODE mchn'!$A$4:$C$170,2,0))</f>
        <v>Béton</v>
      </c>
      <c r="D797" s="36" t="str">
        <f>IF(ISNA(VLOOKUP(Tableau13[[#This Row],[Code machine]],'CODE mchn'!$A$4:$C$170,3,0)),"",VLOOKUP(Tableau13[[#This Row],[Code machine]],'CODE mchn'!$A$4:$C$170,3,0))</f>
        <v>Poyatos 1</v>
      </c>
      <c r="E797" s="105"/>
      <c r="F797" s="70"/>
      <c r="G797" s="70" t="s">
        <v>291</v>
      </c>
      <c r="H797" s="70" t="s">
        <v>1550</v>
      </c>
      <c r="I797" s="70" t="s">
        <v>13</v>
      </c>
      <c r="J797" s="170" t="s">
        <v>1551</v>
      </c>
      <c r="K797" s="171">
        <v>43907</v>
      </c>
      <c r="L797" s="70"/>
      <c r="M797" s="172" t="s">
        <v>2259</v>
      </c>
      <c r="N797" s="173">
        <f>MONTH(Tableau13[[#This Row],[Date fin intervention]])</f>
        <v>3</v>
      </c>
      <c r="O797" s="173">
        <f>YEAR(Tableau13[[#This Row],[Date fin intervention]])</f>
        <v>2020</v>
      </c>
      <c r="P797" s="70"/>
    </row>
    <row r="798" spans="1:16">
      <c r="A798" s="168">
        <v>43906</v>
      </c>
      <c r="B798" s="169">
        <v>560</v>
      </c>
      <c r="C798" s="170" t="str">
        <f>IF(ISNA(VLOOKUP(Tableau13[[#This Row],[Code machine]],'CODE mchn'!$A$4:$C$170,2,0)),"",VLOOKUP(Tableau13[[#This Row],[Code machine]],'CODE mchn'!$A$4:$C$170,2,0))</f>
        <v>Acier</v>
      </c>
      <c r="D798" s="36" t="str">
        <f>IF(ISNA(VLOOKUP(Tableau13[[#This Row],[Code machine]],'CODE mchn'!$A$4:$C$170,3,0)),"",VLOOKUP(Tableau13[[#This Row],[Code machine]],'CODE mchn'!$A$4:$C$170,3,0))</f>
        <v>Schlatter</v>
      </c>
      <c r="E798" s="105"/>
      <c r="F798" s="70"/>
      <c r="G798" s="70" t="s">
        <v>463</v>
      </c>
      <c r="H798" s="70" t="s">
        <v>1555</v>
      </c>
      <c r="I798" s="70" t="s">
        <v>13</v>
      </c>
      <c r="J798" s="170" t="s">
        <v>1556</v>
      </c>
      <c r="K798" s="171">
        <v>43906</v>
      </c>
      <c r="L798" s="70"/>
      <c r="M798" s="172">
        <v>1</v>
      </c>
      <c r="N798" s="173">
        <f>MONTH(Tableau13[[#This Row],[Date fin intervention]])</f>
        <v>3</v>
      </c>
      <c r="O798" s="173">
        <f>YEAR(Tableau13[[#This Row],[Date fin intervention]])</f>
        <v>2020</v>
      </c>
      <c r="P798" s="70"/>
    </row>
    <row r="799" spans="1:16">
      <c r="A799" s="238">
        <v>43906</v>
      </c>
      <c r="B799" s="239">
        <v>565</v>
      </c>
      <c r="C799" s="240" t="str">
        <f>IF(ISNA(VLOOKUP(Tableau13[[#This Row],[Code machine]],'CODE mchn'!$A$4:$C$170,2,0)),"",VLOOKUP(Tableau13[[#This Row],[Code machine]],'CODE mchn'!$A$4:$C$170,2,0))</f>
        <v>Acier</v>
      </c>
      <c r="D799" s="241" t="str">
        <f>IF(ISNA(VLOOKUP(Tableau13[[#This Row],[Code machine]],'CODE mchn'!$A$4:$C$170,3,0)),"",VLOOKUP(Tableau13[[#This Row],[Code machine]],'CODE mchn'!$A$4:$C$170,3,0))</f>
        <v>EVG GE12</v>
      </c>
      <c r="E799" s="239"/>
      <c r="F799" s="241"/>
      <c r="G799" s="241" t="s">
        <v>1797</v>
      </c>
      <c r="H799" s="241" t="s">
        <v>4120</v>
      </c>
      <c r="I799" s="241" t="s">
        <v>30</v>
      </c>
      <c r="J799" s="249" t="s">
        <v>4123</v>
      </c>
      <c r="K799" s="242">
        <v>43906</v>
      </c>
      <c r="L799" s="241"/>
      <c r="M799" s="243">
        <v>45</v>
      </c>
      <c r="N799" s="243">
        <f>MONTH(Tableau13[[#This Row],[Date fin intervention]])</f>
        <v>3</v>
      </c>
      <c r="O799" s="243">
        <f>YEAR(Tableau13[[#This Row],[Date fin intervention]])</f>
        <v>2020</v>
      </c>
      <c r="P799" s="241"/>
    </row>
    <row r="800" spans="1:16" ht="42.75">
      <c r="A800" s="168">
        <v>43907</v>
      </c>
      <c r="B800" s="169">
        <v>800</v>
      </c>
      <c r="C800" s="170" t="str">
        <f>IF(ISNA(VLOOKUP(Tableau13[[#This Row],[Code machine]],'CODE mchn'!$A$4:$C$170,2,0)),"",VLOOKUP(Tableau13[[#This Row],[Code machine]],'CODE mchn'!$A$4:$C$170,2,0))</f>
        <v>Béton</v>
      </c>
      <c r="D800" s="36" t="str">
        <f>IF(ISNA(VLOOKUP(Tableau13[[#This Row],[Code machine]],'CODE mchn'!$A$4:$C$170,3,0)),"",VLOOKUP(Tableau13[[#This Row],[Code machine]],'CODE mchn'!$A$4:$C$170,3,0))</f>
        <v>Poyatos 2</v>
      </c>
      <c r="E800" s="105"/>
      <c r="F800" s="70"/>
      <c r="G800" s="70" t="s">
        <v>185</v>
      </c>
      <c r="H800" s="70" t="s">
        <v>1580</v>
      </c>
      <c r="I800" s="70" t="s">
        <v>13</v>
      </c>
      <c r="J800" s="170" t="s">
        <v>1581</v>
      </c>
      <c r="K800" s="171">
        <v>43908</v>
      </c>
      <c r="L800" s="70"/>
      <c r="M800" s="172" t="s">
        <v>2259</v>
      </c>
      <c r="N800" s="173">
        <f>MONTH(Tableau13[[#This Row],[Date fin intervention]])</f>
        <v>3</v>
      </c>
      <c r="O800" s="173">
        <f>YEAR(Tableau13[[#This Row],[Date fin intervention]])</f>
        <v>2020</v>
      </c>
      <c r="P800" s="70"/>
    </row>
    <row r="801" spans="1:16">
      <c r="A801" s="168">
        <v>43915</v>
      </c>
      <c r="B801" s="169">
        <v>565</v>
      </c>
      <c r="C801" s="170" t="str">
        <f>IF(ISNA(VLOOKUP(Tableau13[[#This Row],[Code machine]],'CODE mchn'!$A$4:$C$170,2,0)),"",VLOOKUP(Tableau13[[#This Row],[Code machine]],'CODE mchn'!$A$4:$C$170,2,0))</f>
        <v>Acier</v>
      </c>
      <c r="D801" s="36" t="str">
        <f>IF(ISNA(VLOOKUP(Tableau13[[#This Row],[Code machine]],'CODE mchn'!$A$4:$C$170,3,0)),"",VLOOKUP(Tableau13[[#This Row],[Code machine]],'CODE mchn'!$A$4:$C$170,3,0))</f>
        <v>EVG GE12</v>
      </c>
      <c r="E801" s="105"/>
      <c r="F801" s="70"/>
      <c r="G801" s="70" t="s">
        <v>519</v>
      </c>
      <c r="H801" s="70" t="s">
        <v>1557</v>
      </c>
      <c r="I801" s="70" t="s">
        <v>13</v>
      </c>
      <c r="J801" s="170" t="s">
        <v>1558</v>
      </c>
      <c r="K801" s="171">
        <v>43915</v>
      </c>
      <c r="L801" s="70"/>
      <c r="M801" s="172">
        <v>30</v>
      </c>
      <c r="N801" s="173">
        <f>MONTH(Tableau13[[#This Row],[Date fin intervention]])</f>
        <v>3</v>
      </c>
      <c r="O801" s="173">
        <f>YEAR(Tableau13[[#This Row],[Date fin intervention]])</f>
        <v>2020</v>
      </c>
      <c r="P801" s="70"/>
    </row>
    <row r="802" spans="1:16">
      <c r="A802" s="168">
        <v>43918</v>
      </c>
      <c r="B802" s="169">
        <v>565</v>
      </c>
      <c r="C802" s="170" t="str">
        <f>IF(ISNA(VLOOKUP(Tableau13[[#This Row],[Code machine]],'CODE mchn'!$A$4:$C$170,2,0)),"",VLOOKUP(Tableau13[[#This Row],[Code machine]],'CODE mchn'!$A$4:$C$170,2,0))</f>
        <v>Acier</v>
      </c>
      <c r="D802" s="36" t="str">
        <f>IF(ISNA(VLOOKUP(Tableau13[[#This Row],[Code machine]],'CODE mchn'!$A$4:$C$170,3,0)),"",VLOOKUP(Tableau13[[#This Row],[Code machine]],'CODE mchn'!$A$4:$C$170,3,0))</f>
        <v>EVG GE12</v>
      </c>
      <c r="E802" s="105"/>
      <c r="F802" s="70"/>
      <c r="G802" s="70" t="s">
        <v>1101</v>
      </c>
      <c r="H802" s="70" t="s">
        <v>1536</v>
      </c>
      <c r="I802" s="70" t="s">
        <v>13</v>
      </c>
      <c r="J802" s="170" t="s">
        <v>1537</v>
      </c>
      <c r="K802" s="171">
        <v>43918</v>
      </c>
      <c r="L802" s="70"/>
      <c r="M802" s="172">
        <v>1</v>
      </c>
      <c r="N802" s="173">
        <f>MONTH(Tableau13[[#This Row],[Date fin intervention]])</f>
        <v>3</v>
      </c>
      <c r="O802" s="173">
        <f>YEAR(Tableau13[[#This Row],[Date fin intervention]])</f>
        <v>2020</v>
      </c>
      <c r="P802" s="70"/>
    </row>
    <row r="803" spans="1:16">
      <c r="A803" s="168">
        <v>43918</v>
      </c>
      <c r="B803" s="169">
        <v>565</v>
      </c>
      <c r="C803" s="170" t="str">
        <f>IF(ISNA(VLOOKUP(Tableau13[[#This Row],[Code machine]],'CODE mchn'!$A$4:$C$170,2,0)),"",VLOOKUP(Tableau13[[#This Row],[Code machine]],'CODE mchn'!$A$4:$C$170,2,0))</f>
        <v>Acier</v>
      </c>
      <c r="D803" s="36" t="str">
        <f>IF(ISNA(VLOOKUP(Tableau13[[#This Row],[Code machine]],'CODE mchn'!$A$4:$C$170,3,0)),"",VLOOKUP(Tableau13[[#This Row],[Code machine]],'CODE mchn'!$A$4:$C$170,3,0))</f>
        <v>EVG GE12</v>
      </c>
      <c r="E803" s="105"/>
      <c r="F803" s="70"/>
      <c r="G803" s="70" t="s">
        <v>869</v>
      </c>
      <c r="H803" s="70" t="s">
        <v>742</v>
      </c>
      <c r="I803" s="70" t="s">
        <v>13</v>
      </c>
      <c r="J803" s="170" t="s">
        <v>743</v>
      </c>
      <c r="K803" s="171">
        <v>43918</v>
      </c>
      <c r="L803" s="70"/>
      <c r="M803" s="172">
        <v>1</v>
      </c>
      <c r="N803" s="173">
        <f>MONTH(Tableau13[[#This Row],[Date fin intervention]])</f>
        <v>3</v>
      </c>
      <c r="O803" s="173">
        <f>YEAR(Tableau13[[#This Row],[Date fin intervention]])</f>
        <v>2020</v>
      </c>
      <c r="P803" s="70"/>
    </row>
    <row r="804" spans="1:16">
      <c r="A804" s="168">
        <v>43924</v>
      </c>
      <c r="B804" s="169">
        <v>570</v>
      </c>
      <c r="C804" s="170" t="str">
        <f>IF(ISNA(VLOOKUP(Tableau13[[#This Row],[Code machine]],'CODE mchn'!$A$4:$C$170,2,0)),"",VLOOKUP(Tableau13[[#This Row],[Code machine]],'CODE mchn'!$A$4:$C$170,2,0))</f>
        <v>Acier</v>
      </c>
      <c r="D804" s="36" t="str">
        <f>IF(ISNA(VLOOKUP(Tableau13[[#This Row],[Code machine]],'CODE mchn'!$A$4:$C$170,3,0)),"",VLOOKUP(Tableau13[[#This Row],[Code machine]],'CODE mchn'!$A$4:$C$170,3,0))</f>
        <v>Sigmatic</v>
      </c>
      <c r="E804" s="105"/>
      <c r="F804" s="70"/>
      <c r="G804" s="70" t="s">
        <v>10</v>
      </c>
      <c r="H804" s="70" t="s">
        <v>1568</v>
      </c>
      <c r="I804" s="70" t="s">
        <v>13</v>
      </c>
      <c r="J804" s="170" t="s">
        <v>1569</v>
      </c>
      <c r="K804" s="171">
        <v>43924</v>
      </c>
      <c r="L804" s="70"/>
      <c r="M804" s="172">
        <v>1</v>
      </c>
      <c r="N804" s="173">
        <f>MONTH(Tableau13[[#This Row],[Date fin intervention]])</f>
        <v>4</v>
      </c>
      <c r="O804" s="173">
        <f>YEAR(Tableau13[[#This Row],[Date fin intervention]])</f>
        <v>2020</v>
      </c>
      <c r="P804" s="70"/>
    </row>
    <row r="805" spans="1:16">
      <c r="A805" s="168">
        <v>43929</v>
      </c>
      <c r="B805" s="169">
        <v>582</v>
      </c>
      <c r="C805" s="170" t="str">
        <f>IF(ISNA(VLOOKUP(Tableau13[[#This Row],[Code machine]],'CODE mchn'!$A$4:$C$170,2,0)),"",VLOOKUP(Tableau13[[#This Row],[Code machine]],'CODE mchn'!$A$4:$C$170,2,0))</f>
        <v>Acier</v>
      </c>
      <c r="D805" s="36" t="str">
        <f>IF(ISNA(VLOOKUP(Tableau13[[#This Row],[Code machine]],'CODE mchn'!$A$4:$C$170,3,0)),"",VLOOKUP(Tableau13[[#This Row],[Code machine]],'CODE mchn'!$A$4:$C$170,3,0))</f>
        <v>Teurema 2</v>
      </c>
      <c r="E805" s="105"/>
      <c r="F805" s="70"/>
      <c r="G805" s="70" t="s">
        <v>1570</v>
      </c>
      <c r="H805" s="70" t="s">
        <v>1070</v>
      </c>
      <c r="I805" s="70" t="s">
        <v>13</v>
      </c>
      <c r="J805" s="170" t="s">
        <v>1571</v>
      </c>
      <c r="K805" s="171">
        <v>43929</v>
      </c>
      <c r="L805" s="70"/>
      <c r="M805" s="172">
        <v>1</v>
      </c>
      <c r="N805" s="173">
        <f>MONTH(Tableau13[[#This Row],[Date fin intervention]])</f>
        <v>4</v>
      </c>
      <c r="O805" s="173">
        <f>YEAR(Tableau13[[#This Row],[Date fin intervention]])</f>
        <v>2020</v>
      </c>
      <c r="P805" s="70"/>
    </row>
    <row r="806" spans="1:16">
      <c r="A806" s="168">
        <v>43930</v>
      </c>
      <c r="B806" s="169">
        <v>700</v>
      </c>
      <c r="C806" s="170" t="str">
        <f>IF(ISNA(VLOOKUP(Tableau13[[#This Row],[Code machine]],'CODE mchn'!$A$4:$C$170,2,0)),"",VLOOKUP(Tableau13[[#This Row],[Code machine]],'CODE mchn'!$A$4:$C$170,2,0))</f>
        <v>Béton</v>
      </c>
      <c r="D806" s="36" t="str">
        <f>IF(ISNA(VLOOKUP(Tableau13[[#This Row],[Code machine]],'CODE mchn'!$A$4:$C$170,3,0)),"",VLOOKUP(Tableau13[[#This Row],[Code machine]],'CODE mchn'!$A$4:$C$170,3,0))</f>
        <v>Poyatos 1</v>
      </c>
      <c r="E806" s="105"/>
      <c r="F806" s="70"/>
      <c r="G806" s="70" t="s">
        <v>185</v>
      </c>
      <c r="H806" s="70" t="s">
        <v>1572</v>
      </c>
      <c r="I806" s="70" t="s">
        <v>13</v>
      </c>
      <c r="J806" s="170" t="s">
        <v>1573</v>
      </c>
      <c r="K806" s="171">
        <v>43930</v>
      </c>
      <c r="L806" s="70"/>
      <c r="M806" s="172">
        <v>3</v>
      </c>
      <c r="N806" s="173">
        <f>MONTH(Tableau13[[#This Row],[Date fin intervention]])</f>
        <v>4</v>
      </c>
      <c r="O806" s="173">
        <f>YEAR(Tableau13[[#This Row],[Date fin intervention]])</f>
        <v>2020</v>
      </c>
      <c r="P806" s="70"/>
    </row>
    <row r="807" spans="1:16">
      <c r="A807" s="168">
        <v>43931</v>
      </c>
      <c r="B807" s="169">
        <v>700</v>
      </c>
      <c r="C807" s="170" t="str">
        <f>IF(ISNA(VLOOKUP(Tableau13[[#This Row],[Code machine]],'CODE mchn'!$A$4:$C$170,2,0)),"",VLOOKUP(Tableau13[[#This Row],[Code machine]],'CODE mchn'!$A$4:$C$170,2,0))</f>
        <v>Béton</v>
      </c>
      <c r="D807" s="36" t="str">
        <f>IF(ISNA(VLOOKUP(Tableau13[[#This Row],[Code machine]],'CODE mchn'!$A$4:$C$170,3,0)),"",VLOOKUP(Tableau13[[#This Row],[Code machine]],'CODE mchn'!$A$4:$C$170,3,0))</f>
        <v>Poyatos 1</v>
      </c>
      <c r="E807" s="105"/>
      <c r="F807" s="70"/>
      <c r="G807" s="70" t="s">
        <v>397</v>
      </c>
      <c r="H807" s="70" t="s">
        <v>1574</v>
      </c>
      <c r="I807" s="70" t="s">
        <v>13</v>
      </c>
      <c r="J807" s="170" t="s">
        <v>1575</v>
      </c>
      <c r="K807" s="171">
        <v>43931</v>
      </c>
      <c r="L807" s="70"/>
      <c r="M807" s="172">
        <v>1</v>
      </c>
      <c r="N807" s="173">
        <f>MONTH(Tableau13[[#This Row],[Date fin intervention]])</f>
        <v>4</v>
      </c>
      <c r="O807" s="173">
        <f>YEAR(Tableau13[[#This Row],[Date fin intervention]])</f>
        <v>2020</v>
      </c>
      <c r="P807" s="70"/>
    </row>
    <row r="808" spans="1:16">
      <c r="A808" s="168">
        <v>43935</v>
      </c>
      <c r="B808" s="169">
        <v>582</v>
      </c>
      <c r="C808" s="170" t="str">
        <f>IF(ISNA(VLOOKUP(Tableau13[[#This Row],[Code machine]],'CODE mchn'!$A$4:$C$170,2,0)),"",VLOOKUP(Tableau13[[#This Row],[Code machine]],'CODE mchn'!$A$4:$C$170,2,0))</f>
        <v>Acier</v>
      </c>
      <c r="D808" s="36" t="str">
        <f>IF(ISNA(VLOOKUP(Tableau13[[#This Row],[Code machine]],'CODE mchn'!$A$4:$C$170,3,0)),"",VLOOKUP(Tableau13[[#This Row],[Code machine]],'CODE mchn'!$A$4:$C$170,3,0))</f>
        <v>Teurema 2</v>
      </c>
      <c r="E808" s="105"/>
      <c r="F808" s="70"/>
      <c r="G808" s="70" t="s">
        <v>1566</v>
      </c>
      <c r="H808" s="70" t="s">
        <v>1212</v>
      </c>
      <c r="I808" s="70" t="s">
        <v>13</v>
      </c>
      <c r="J808" s="170" t="s">
        <v>1567</v>
      </c>
      <c r="K808" s="171">
        <v>43935</v>
      </c>
      <c r="L808" s="70"/>
      <c r="M808" s="172">
        <v>1</v>
      </c>
      <c r="N808" s="173">
        <f>MONTH(Tableau13[[#This Row],[Date fin intervention]])</f>
        <v>4</v>
      </c>
      <c r="O808" s="173">
        <f>YEAR(Tableau13[[#This Row],[Date fin intervention]])</f>
        <v>2020</v>
      </c>
      <c r="P808" s="70"/>
    </row>
    <row r="809" spans="1:16">
      <c r="A809" s="168">
        <v>43937</v>
      </c>
      <c r="B809" s="169">
        <v>605</v>
      </c>
      <c r="C809" s="170" t="str">
        <f>IF(ISNA(VLOOKUP(Tableau13[[#This Row],[Code machine]],'CODE mchn'!$A$4:$C$170,2,0)),"",VLOOKUP(Tableau13[[#This Row],[Code machine]],'CODE mchn'!$A$4:$C$170,2,0))</f>
        <v>Acier</v>
      </c>
      <c r="D809" s="36" t="str">
        <f>IF(ISNA(VLOOKUP(Tableau13[[#This Row],[Code machine]],'CODE mchn'!$A$4:$C$170,3,0)),"",VLOOKUP(Tableau13[[#This Row],[Code machine]],'CODE mchn'!$A$4:$C$170,3,0))</f>
        <v>Vitari 1</v>
      </c>
      <c r="E809" s="105"/>
      <c r="F809" s="70"/>
      <c r="G809" s="70" t="s">
        <v>78</v>
      </c>
      <c r="H809" s="70" t="s">
        <v>1559</v>
      </c>
      <c r="I809" s="70" t="s">
        <v>13</v>
      </c>
      <c r="J809" s="170" t="s">
        <v>1560</v>
      </c>
      <c r="K809" s="171">
        <v>43937</v>
      </c>
      <c r="L809" s="70"/>
      <c r="M809" s="172">
        <v>1</v>
      </c>
      <c r="N809" s="173">
        <f>MONTH(Tableau13[[#This Row],[Date fin intervention]])</f>
        <v>4</v>
      </c>
      <c r="O809" s="173">
        <f>YEAR(Tableau13[[#This Row],[Date fin intervention]])</f>
        <v>2020</v>
      </c>
      <c r="P809" s="70"/>
    </row>
    <row r="810" spans="1:16" ht="42.75">
      <c r="A810" s="168">
        <v>43941</v>
      </c>
      <c r="B810" s="169">
        <v>606</v>
      </c>
      <c r="C810" s="170" t="str">
        <f>IF(ISNA(VLOOKUP(Tableau13[[#This Row],[Code machine]],'CODE mchn'!$A$4:$C$170,2,0)),"",VLOOKUP(Tableau13[[#This Row],[Code machine]],'CODE mchn'!$A$4:$C$170,2,0))</f>
        <v>Acier</v>
      </c>
      <c r="D810" s="36" t="str">
        <f>IF(ISNA(VLOOKUP(Tableau13[[#This Row],[Code machine]],'CODE mchn'!$A$4:$C$170,3,0)),"",VLOOKUP(Tableau13[[#This Row],[Code machine]],'CODE mchn'!$A$4:$C$170,3,0))</f>
        <v>Vitari 2</v>
      </c>
      <c r="E810" s="105"/>
      <c r="F810" s="70"/>
      <c r="G810" s="70" t="s">
        <v>664</v>
      </c>
      <c r="H810" s="70" t="s">
        <v>1534</v>
      </c>
      <c r="I810" s="70" t="s">
        <v>13</v>
      </c>
      <c r="J810" s="170" t="s">
        <v>1535</v>
      </c>
      <c r="K810" s="171">
        <v>43944</v>
      </c>
      <c r="L810" s="70"/>
      <c r="M810" s="172" t="s">
        <v>2259</v>
      </c>
      <c r="N810" s="173">
        <f>MONTH(Tableau13[[#This Row],[Date fin intervention]])</f>
        <v>4</v>
      </c>
      <c r="O810" s="173">
        <f>YEAR(Tableau13[[#This Row],[Date fin intervention]])</f>
        <v>2020</v>
      </c>
      <c r="P810" s="70"/>
    </row>
    <row r="811" spans="1:16" ht="28.5">
      <c r="A811" s="168">
        <v>43942</v>
      </c>
      <c r="B811" s="169">
        <v>560</v>
      </c>
      <c r="C811" s="170" t="str">
        <f>IF(ISNA(VLOOKUP(Tableau13[[#This Row],[Code machine]],'CODE mchn'!$A$4:$C$170,2,0)),"",VLOOKUP(Tableau13[[#This Row],[Code machine]],'CODE mchn'!$A$4:$C$170,2,0))</f>
        <v>Acier</v>
      </c>
      <c r="D811" s="36" t="str">
        <f>IF(ISNA(VLOOKUP(Tableau13[[#This Row],[Code machine]],'CODE mchn'!$A$4:$C$170,3,0)),"",VLOOKUP(Tableau13[[#This Row],[Code machine]],'CODE mchn'!$A$4:$C$170,3,0))</f>
        <v>Schlatter</v>
      </c>
      <c r="E811" s="105"/>
      <c r="F811" s="70"/>
      <c r="G811" s="70" t="s">
        <v>1538</v>
      </c>
      <c r="H811" s="70" t="s">
        <v>1539</v>
      </c>
      <c r="I811" s="70" t="s">
        <v>13</v>
      </c>
      <c r="J811" s="170" t="s">
        <v>1541</v>
      </c>
      <c r="K811" s="171">
        <v>43942</v>
      </c>
      <c r="L811" s="70" t="s">
        <v>1540</v>
      </c>
      <c r="M811" s="172">
        <v>30</v>
      </c>
      <c r="N811" s="173">
        <f>MONTH(Tableau13[[#This Row],[Date fin intervention]])</f>
        <v>4</v>
      </c>
      <c r="O811" s="173">
        <f>YEAR(Tableau13[[#This Row],[Date fin intervention]])</f>
        <v>2020</v>
      </c>
      <c r="P811" s="70"/>
    </row>
    <row r="812" spans="1:16" ht="42.75">
      <c r="A812" s="168">
        <v>43942</v>
      </c>
      <c r="B812" s="169">
        <v>562</v>
      </c>
      <c r="C812" s="170" t="str">
        <f>IF(ISNA(VLOOKUP(Tableau13[[#This Row],[Code machine]],'CODE mchn'!$A$4:$C$170,2,0)),"",VLOOKUP(Tableau13[[#This Row],[Code machine]],'CODE mchn'!$A$4:$C$170,2,0))</f>
        <v>Ponts roulants</v>
      </c>
      <c r="D812" s="36" t="str">
        <f>IF(ISNA(VLOOKUP(Tableau13[[#This Row],[Code machine]],'CODE mchn'!$A$4:$C$170,3,0)),"",VLOOKUP(Tableau13[[#This Row],[Code machine]],'CODE mchn'!$A$4:$C$170,3,0))</f>
        <v>Pont roulant GH Beasain 12T</v>
      </c>
      <c r="E812" s="105"/>
      <c r="F812" s="70"/>
      <c r="G812" s="70" t="s">
        <v>1563</v>
      </c>
      <c r="H812" s="70" t="s">
        <v>1564</v>
      </c>
      <c r="I812" s="70" t="s">
        <v>13</v>
      </c>
      <c r="J812" s="170" t="s">
        <v>1582</v>
      </c>
      <c r="K812" s="171">
        <v>43946</v>
      </c>
      <c r="L812" s="70" t="s">
        <v>82</v>
      </c>
      <c r="M812" s="172" t="s">
        <v>2259</v>
      </c>
      <c r="N812" s="173">
        <f>MONTH(Tableau13[[#This Row],[Date fin intervention]])</f>
        <v>4</v>
      </c>
      <c r="O812" s="173">
        <f>YEAR(Tableau13[[#This Row],[Date fin intervention]])</f>
        <v>2020</v>
      </c>
      <c r="P812" s="70"/>
    </row>
    <row r="813" spans="1:16">
      <c r="A813" s="168">
        <v>43942</v>
      </c>
      <c r="B813" s="169">
        <v>581</v>
      </c>
      <c r="C813" s="170" t="str">
        <f>IF(ISNA(VLOOKUP(Tableau13[[#This Row],[Code machine]],'CODE mchn'!$A$4:$C$170,2,0)),"",VLOOKUP(Tableau13[[#This Row],[Code machine]],'CODE mchn'!$A$4:$C$170,2,0))</f>
        <v>Acier</v>
      </c>
      <c r="D813" s="36" t="str">
        <f>IF(ISNA(VLOOKUP(Tableau13[[#This Row],[Code machine]],'CODE mchn'!$A$4:$C$170,3,0)),"",VLOOKUP(Tableau13[[#This Row],[Code machine]],'CODE mchn'!$A$4:$C$170,3,0))</f>
        <v>Teurema 1</v>
      </c>
      <c r="E813" s="105"/>
      <c r="F813" s="70"/>
      <c r="G813" s="70" t="s">
        <v>274</v>
      </c>
      <c r="H813" s="70" t="s">
        <v>764</v>
      </c>
      <c r="I813" s="70" t="s">
        <v>13</v>
      </c>
      <c r="J813" s="170" t="s">
        <v>585</v>
      </c>
      <c r="K813" s="171">
        <v>43942</v>
      </c>
      <c r="L813" s="70"/>
      <c r="M813" s="172">
        <v>3</v>
      </c>
      <c r="N813" s="173">
        <f>MONTH(Tableau13[[#This Row],[Date fin intervention]])</f>
        <v>4</v>
      </c>
      <c r="O813" s="173">
        <f>YEAR(Tableau13[[#This Row],[Date fin intervention]])</f>
        <v>2020</v>
      </c>
      <c r="P813" s="70"/>
    </row>
    <row r="814" spans="1:16">
      <c r="A814" s="168">
        <v>43943</v>
      </c>
      <c r="B814" s="169">
        <v>700</v>
      </c>
      <c r="C814" s="170" t="str">
        <f>IF(ISNA(VLOOKUP(Tableau13[[#This Row],[Code machine]],'CODE mchn'!$A$4:$C$170,2,0)),"",VLOOKUP(Tableau13[[#This Row],[Code machine]],'CODE mchn'!$A$4:$C$170,2,0))</f>
        <v>Béton</v>
      </c>
      <c r="D814" s="36" t="str">
        <f>IF(ISNA(VLOOKUP(Tableau13[[#This Row],[Code machine]],'CODE mchn'!$A$4:$C$170,3,0)),"",VLOOKUP(Tableau13[[#This Row],[Code machine]],'CODE mchn'!$A$4:$C$170,3,0))</f>
        <v>Poyatos 1</v>
      </c>
      <c r="E814" s="105"/>
      <c r="F814" s="70"/>
      <c r="G814" s="70" t="s">
        <v>291</v>
      </c>
      <c r="H814" s="70" t="s">
        <v>1561</v>
      </c>
      <c r="I814" s="70" t="s">
        <v>13</v>
      </c>
      <c r="J814" s="170" t="s">
        <v>1562</v>
      </c>
      <c r="K814" s="171">
        <v>43943</v>
      </c>
      <c r="L814" s="70"/>
      <c r="M814" s="172">
        <v>4</v>
      </c>
      <c r="N814" s="173">
        <f>MONTH(Tableau13[[#This Row],[Date fin intervention]])</f>
        <v>4</v>
      </c>
      <c r="O814" s="173">
        <f>YEAR(Tableau13[[#This Row],[Date fin intervention]])</f>
        <v>2020</v>
      </c>
      <c r="P814" s="70"/>
    </row>
    <row r="815" spans="1:16" ht="42.75">
      <c r="A815" s="168">
        <v>43943</v>
      </c>
      <c r="B815" s="169">
        <v>584</v>
      </c>
      <c r="C815" s="170" t="str">
        <f>IF(ISNA(VLOOKUP(Tableau13[[#This Row],[Code machine]],'CODE mchn'!$A$4:$C$170,2,0)),"",VLOOKUP(Tableau13[[#This Row],[Code machine]],'CODE mchn'!$A$4:$C$170,2,0))</f>
        <v>Ponts roulants</v>
      </c>
      <c r="D815" s="36" t="str">
        <f>IF(ISNA(VLOOKUP(Tableau13[[#This Row],[Code machine]],'CODE mchn'!$A$4:$C$170,3,0)),"",VLOOKUP(Tableau13[[#This Row],[Code machine]],'CODE mchn'!$A$4:$C$170,3,0))</f>
        <v>Pont roulant Demag 3,2T (teurema2)</v>
      </c>
      <c r="E815" s="105"/>
      <c r="F815" s="70"/>
      <c r="G815" s="70" t="s">
        <v>667</v>
      </c>
      <c r="H815" s="70" t="s">
        <v>1202</v>
      </c>
      <c r="I815" s="70" t="s">
        <v>13</v>
      </c>
      <c r="J815" s="170" t="s">
        <v>1614</v>
      </c>
      <c r="K815" s="171">
        <v>44102</v>
      </c>
      <c r="L815" s="36" t="s">
        <v>1622</v>
      </c>
      <c r="M815" s="172" t="s">
        <v>2259</v>
      </c>
      <c r="N815" s="173">
        <f>MONTH(Tableau13[[#This Row],[Date fin intervention]])</f>
        <v>9</v>
      </c>
      <c r="O815" s="173">
        <f>YEAR(Tableau13[[#This Row],[Date fin intervention]])</f>
        <v>2020</v>
      </c>
      <c r="P815" s="70"/>
    </row>
    <row r="816" spans="1:16" ht="28.5">
      <c r="A816" s="168">
        <v>43944</v>
      </c>
      <c r="B816" s="169">
        <v>583</v>
      </c>
      <c r="C816" s="170" t="str">
        <f>IF(ISNA(VLOOKUP(Tableau13[[#This Row],[Code machine]],'CODE mchn'!$A$4:$C$170,2,0)),"",VLOOKUP(Tableau13[[#This Row],[Code machine]],'CODE mchn'!$A$4:$C$170,2,0))</f>
        <v>Ponts roulants</v>
      </c>
      <c r="D816" s="36" t="str">
        <f>IF(ISNA(VLOOKUP(Tableau13[[#This Row],[Code machine]],'CODE mchn'!$A$4:$C$170,3,0)),"",VLOOKUP(Tableau13[[#This Row],[Code machine]],'CODE mchn'!$A$4:$C$170,3,0))</f>
        <v>Pont roulant Abus 5T (teurema1)</v>
      </c>
      <c r="E816" s="105"/>
      <c r="F816" s="70"/>
      <c r="G816" s="70" t="s">
        <v>667</v>
      </c>
      <c r="H816" s="70" t="s">
        <v>1565</v>
      </c>
      <c r="I816" s="70" t="s">
        <v>13</v>
      </c>
      <c r="J816" s="170" t="s">
        <v>1177</v>
      </c>
      <c r="K816" s="171">
        <v>43944</v>
      </c>
      <c r="L816" s="70"/>
      <c r="M816" s="172">
        <v>1</v>
      </c>
      <c r="N816" s="173">
        <f>MONTH(Tableau13[[#This Row],[Date fin intervention]])</f>
        <v>4</v>
      </c>
      <c r="O816" s="173">
        <f>YEAR(Tableau13[[#This Row],[Date fin intervention]])</f>
        <v>2020</v>
      </c>
      <c r="P816" s="70"/>
    </row>
    <row r="817" spans="1:16">
      <c r="A817" s="168">
        <v>43945</v>
      </c>
      <c r="B817" s="169">
        <v>606</v>
      </c>
      <c r="C817" s="170" t="str">
        <f>IF(ISNA(VLOOKUP(Tableau13[[#This Row],[Code machine]],'CODE mchn'!$A$4:$C$170,2,0)),"",VLOOKUP(Tableau13[[#This Row],[Code machine]],'CODE mchn'!$A$4:$C$170,2,0))</f>
        <v>Acier</v>
      </c>
      <c r="D817" s="36" t="str">
        <f>IF(ISNA(VLOOKUP(Tableau13[[#This Row],[Code machine]],'CODE mchn'!$A$4:$C$170,3,0)),"",VLOOKUP(Tableau13[[#This Row],[Code machine]],'CODE mchn'!$A$4:$C$170,3,0))</f>
        <v>Vitari 2</v>
      </c>
      <c r="E817" s="105"/>
      <c r="F817" s="70"/>
      <c r="G817" s="70" t="s">
        <v>664</v>
      </c>
      <c r="H817" s="70" t="s">
        <v>1576</v>
      </c>
      <c r="I817" s="70" t="s">
        <v>13</v>
      </c>
      <c r="J817" s="170" t="s">
        <v>1577</v>
      </c>
      <c r="K817" s="171">
        <v>43945</v>
      </c>
      <c r="L817" s="70"/>
      <c r="M817" s="172">
        <v>20</v>
      </c>
      <c r="N817" s="173">
        <f>MONTH(Tableau13[[#This Row],[Date fin intervention]])</f>
        <v>4</v>
      </c>
      <c r="O817" s="173">
        <f>YEAR(Tableau13[[#This Row],[Date fin intervention]])</f>
        <v>2020</v>
      </c>
      <c r="P817" s="70"/>
    </row>
    <row r="818" spans="1:16" ht="28.5">
      <c r="A818" s="168">
        <v>43946</v>
      </c>
      <c r="B818" s="169">
        <v>583</v>
      </c>
      <c r="C818" s="170" t="str">
        <f>IF(ISNA(VLOOKUP(Tableau13[[#This Row],[Code machine]],'CODE mchn'!$A$4:$C$170,2,0)),"",VLOOKUP(Tableau13[[#This Row],[Code machine]],'CODE mchn'!$A$4:$C$170,2,0))</f>
        <v>Ponts roulants</v>
      </c>
      <c r="D818" s="36" t="str">
        <f>IF(ISNA(VLOOKUP(Tableau13[[#This Row],[Code machine]],'CODE mchn'!$A$4:$C$170,3,0)),"",VLOOKUP(Tableau13[[#This Row],[Code machine]],'CODE mchn'!$A$4:$C$170,3,0))</f>
        <v>Pont roulant Abus 5T (teurema1)</v>
      </c>
      <c r="E818" s="105"/>
      <c r="F818" s="70"/>
      <c r="G818" s="70" t="s">
        <v>667</v>
      </c>
      <c r="H818" s="70" t="s">
        <v>1565</v>
      </c>
      <c r="I818" s="70" t="s">
        <v>13</v>
      </c>
      <c r="J818" s="170" t="s">
        <v>1177</v>
      </c>
      <c r="K818" s="171">
        <v>43946</v>
      </c>
      <c r="L818" s="70"/>
      <c r="M818" s="172">
        <v>1</v>
      </c>
      <c r="N818" s="173">
        <f>MONTH(Tableau13[[#This Row],[Date fin intervention]])</f>
        <v>4</v>
      </c>
      <c r="O818" s="173">
        <f>YEAR(Tableau13[[#This Row],[Date fin intervention]])</f>
        <v>2020</v>
      </c>
      <c r="P818" s="70"/>
    </row>
    <row r="819" spans="1:16" ht="42.75">
      <c r="A819" s="168">
        <v>43948</v>
      </c>
      <c r="B819" s="169">
        <v>581</v>
      </c>
      <c r="C819" s="170" t="str">
        <f>IF(ISNA(VLOOKUP(Tableau13[[#This Row],[Code machine]],'CODE mchn'!$A$4:$C$170,2,0)),"",VLOOKUP(Tableau13[[#This Row],[Code machine]],'CODE mchn'!$A$4:$C$170,2,0))</f>
        <v>Acier</v>
      </c>
      <c r="D819" s="36" t="str">
        <f>IF(ISNA(VLOOKUP(Tableau13[[#This Row],[Code machine]],'CODE mchn'!$A$4:$C$170,3,0)),"",VLOOKUP(Tableau13[[#This Row],[Code machine]],'CODE mchn'!$A$4:$C$170,3,0))</f>
        <v>Teurema 1</v>
      </c>
      <c r="E819" s="105"/>
      <c r="F819" s="70"/>
      <c r="G819" s="70" t="s">
        <v>274</v>
      </c>
      <c r="H819" s="70" t="s">
        <v>1587</v>
      </c>
      <c r="I819" s="70" t="s">
        <v>13</v>
      </c>
      <c r="J819" s="170" t="s">
        <v>1584</v>
      </c>
      <c r="K819" s="171">
        <v>43949</v>
      </c>
      <c r="L819" s="70"/>
      <c r="M819" s="172" t="s">
        <v>2259</v>
      </c>
      <c r="N819" s="173">
        <f>MONTH(Tableau13[[#This Row],[Date fin intervention]])</f>
        <v>4</v>
      </c>
      <c r="O819" s="173">
        <f>YEAR(Tableau13[[#This Row],[Date fin intervention]])</f>
        <v>2020</v>
      </c>
      <c r="P819" s="70"/>
    </row>
    <row r="820" spans="1:16" ht="42.75">
      <c r="A820" s="168">
        <v>43948</v>
      </c>
      <c r="B820" s="169">
        <v>606</v>
      </c>
      <c r="C820" s="170" t="str">
        <f>IF(ISNA(VLOOKUP(Tableau13[[#This Row],[Code machine]],'CODE mchn'!$A$4:$C$170,2,0)),"",VLOOKUP(Tableau13[[#This Row],[Code machine]],'CODE mchn'!$A$4:$C$170,2,0))</f>
        <v>Acier</v>
      </c>
      <c r="D820" s="36" t="str">
        <f>IF(ISNA(VLOOKUP(Tableau13[[#This Row],[Code machine]],'CODE mchn'!$A$4:$C$170,3,0)),"",VLOOKUP(Tableau13[[#This Row],[Code machine]],'CODE mchn'!$A$4:$C$170,3,0))</f>
        <v>Vitari 2</v>
      </c>
      <c r="E820" s="105"/>
      <c r="F820" s="70"/>
      <c r="G820" s="70" t="s">
        <v>664</v>
      </c>
      <c r="H820" s="70" t="s">
        <v>1585</v>
      </c>
      <c r="I820" s="70" t="s">
        <v>13</v>
      </c>
      <c r="J820" s="170" t="s">
        <v>1586</v>
      </c>
      <c r="K820" s="171">
        <v>43949</v>
      </c>
      <c r="L820" s="70"/>
      <c r="M820" s="172" t="s">
        <v>2259</v>
      </c>
      <c r="N820" s="173">
        <f>MONTH(Tableau13[[#This Row],[Date fin intervention]])</f>
        <v>4</v>
      </c>
      <c r="O820" s="173">
        <f>YEAR(Tableau13[[#This Row],[Date fin intervention]])</f>
        <v>2020</v>
      </c>
      <c r="P820" s="70"/>
    </row>
    <row r="821" spans="1:16" ht="28.5">
      <c r="A821" s="168">
        <v>43949</v>
      </c>
      <c r="B821" s="169">
        <v>591</v>
      </c>
      <c r="C821" s="170" t="str">
        <f>IF(ISNA(VLOOKUP(Tableau13[[#This Row],[Code machine]],'CODE mchn'!$A$4:$C$170,2,0)),"",VLOOKUP(Tableau13[[#This Row],[Code machine]],'CODE mchn'!$A$4:$C$170,2,0))</f>
        <v>Ponts roulants</v>
      </c>
      <c r="D821" s="36" t="str">
        <f>IF(ISNA(VLOOKUP(Tableau13[[#This Row],[Code machine]],'CODE mchn'!$A$4:$C$170,3,0)),"",VLOOKUP(Tableau13[[#This Row],[Code machine]],'CODE mchn'!$A$4:$C$170,3,0))</f>
        <v>Pont roulant Demag 5T(nouveau hangar)</v>
      </c>
      <c r="E821" s="105"/>
      <c r="F821" s="70"/>
      <c r="G821" s="70" t="s">
        <v>1170</v>
      </c>
      <c r="H821" s="70" t="s">
        <v>1578</v>
      </c>
      <c r="I821" s="70" t="s">
        <v>13</v>
      </c>
      <c r="J821" s="170" t="s">
        <v>1588</v>
      </c>
      <c r="K821" s="171">
        <v>43949</v>
      </c>
      <c r="L821" s="70"/>
      <c r="M821" s="172">
        <v>1</v>
      </c>
      <c r="N821" s="173">
        <f>MONTH(Tableau13[[#This Row],[Date fin intervention]])</f>
        <v>4</v>
      </c>
      <c r="O821" s="173">
        <f>YEAR(Tableau13[[#This Row],[Date fin intervention]])</f>
        <v>2020</v>
      </c>
      <c r="P821" s="70"/>
    </row>
    <row r="822" spans="1:16">
      <c r="A822" s="168">
        <v>43950</v>
      </c>
      <c r="B822" s="169">
        <v>605</v>
      </c>
      <c r="C822" s="170" t="str">
        <f>IF(ISNA(VLOOKUP(Tableau13[[#This Row],[Code machine]],'CODE mchn'!$A$4:$C$170,2,0)),"",VLOOKUP(Tableau13[[#This Row],[Code machine]],'CODE mchn'!$A$4:$C$170,2,0))</f>
        <v>Acier</v>
      </c>
      <c r="D822" s="36" t="str">
        <f>IF(ISNA(VLOOKUP(Tableau13[[#This Row],[Code machine]],'CODE mchn'!$A$4:$C$170,3,0)),"",VLOOKUP(Tableau13[[#This Row],[Code machine]],'CODE mchn'!$A$4:$C$170,3,0))</f>
        <v>Vitari 1</v>
      </c>
      <c r="E822" s="105"/>
      <c r="F822" s="70"/>
      <c r="G822" s="70" t="s">
        <v>78</v>
      </c>
      <c r="H822" s="70" t="s">
        <v>1589</v>
      </c>
      <c r="I822" s="70" t="s">
        <v>13</v>
      </c>
      <c r="J822" s="170" t="s">
        <v>1590</v>
      </c>
      <c r="K822" s="171">
        <v>43950</v>
      </c>
      <c r="L822" s="70"/>
      <c r="M822" s="172">
        <v>2</v>
      </c>
      <c r="N822" s="173">
        <f>MONTH(Tableau13[[#This Row],[Date fin intervention]])</f>
        <v>4</v>
      </c>
      <c r="O822" s="173">
        <f>YEAR(Tableau13[[#This Row],[Date fin intervention]])</f>
        <v>2020</v>
      </c>
      <c r="P822" s="70"/>
    </row>
    <row r="823" spans="1:16">
      <c r="A823" s="168">
        <v>43950</v>
      </c>
      <c r="B823" s="169">
        <v>800</v>
      </c>
      <c r="C823" s="170" t="str">
        <f>IF(ISNA(VLOOKUP(Tableau13[[#This Row],[Code machine]],'CODE mchn'!$A$4:$C$170,2,0)),"",VLOOKUP(Tableau13[[#This Row],[Code machine]],'CODE mchn'!$A$4:$C$170,2,0))</f>
        <v>Béton</v>
      </c>
      <c r="D823" s="36" t="str">
        <f>IF(ISNA(VLOOKUP(Tableau13[[#This Row],[Code machine]],'CODE mchn'!$A$4:$C$170,3,0)),"",VLOOKUP(Tableau13[[#This Row],[Code machine]],'CODE mchn'!$A$4:$C$170,3,0))</f>
        <v>Poyatos 2</v>
      </c>
      <c r="E823" s="105"/>
      <c r="F823" s="70"/>
      <c r="G823" s="70" t="s">
        <v>1591</v>
      </c>
      <c r="H823" s="70" t="s">
        <v>1592</v>
      </c>
      <c r="I823" s="70" t="s">
        <v>19</v>
      </c>
      <c r="J823" s="170" t="s">
        <v>1599</v>
      </c>
      <c r="K823" s="171">
        <v>43950</v>
      </c>
      <c r="L823" s="70"/>
      <c r="M823" s="172">
        <v>1</v>
      </c>
      <c r="N823" s="173">
        <f>MONTH(Tableau13[[#This Row],[Date fin intervention]])</f>
        <v>4</v>
      </c>
      <c r="O823" s="173">
        <f>YEAR(Tableau13[[#This Row],[Date fin intervention]])</f>
        <v>2020</v>
      </c>
      <c r="P823" s="70"/>
    </row>
    <row r="824" spans="1:16">
      <c r="A824" s="168">
        <v>43951</v>
      </c>
      <c r="B824" s="169">
        <v>607</v>
      </c>
      <c r="C824" s="170" t="str">
        <f>IF(ISNA(VLOOKUP(Tableau13[[#This Row],[Code machine]],'CODE mchn'!$A$4:$C$170,2,0)),"",VLOOKUP(Tableau13[[#This Row],[Code machine]],'CODE mchn'!$A$4:$C$170,2,0))</f>
        <v>Acier</v>
      </c>
      <c r="D824" s="36" t="str">
        <f>IF(ISNA(VLOOKUP(Tableau13[[#This Row],[Code machine]],'CODE mchn'!$A$4:$C$170,3,0)),"",VLOOKUP(Tableau13[[#This Row],[Code machine]],'CODE mchn'!$A$4:$C$170,3,0))</f>
        <v>Vitari 3</v>
      </c>
      <c r="E824" s="105"/>
      <c r="F824" s="70"/>
      <c r="G824" s="70" t="s">
        <v>10</v>
      </c>
      <c r="H824" s="70" t="s">
        <v>1593</v>
      </c>
      <c r="I824" s="70" t="s">
        <v>13</v>
      </c>
      <c r="J824" s="170" t="s">
        <v>1594</v>
      </c>
      <c r="K824" s="171">
        <v>43951</v>
      </c>
      <c r="L824" s="70"/>
      <c r="M824" s="172">
        <v>1</v>
      </c>
      <c r="N824" s="173">
        <f>MONTH(Tableau13[[#This Row],[Date fin intervention]])</f>
        <v>4</v>
      </c>
      <c r="O824" s="173">
        <f>YEAR(Tableau13[[#This Row],[Date fin intervention]])</f>
        <v>2020</v>
      </c>
      <c r="P824" s="70"/>
    </row>
    <row r="825" spans="1:16">
      <c r="A825" s="168">
        <v>43951</v>
      </c>
      <c r="B825" s="169">
        <v>571</v>
      </c>
      <c r="C825" s="170" t="str">
        <f>IF(ISNA(VLOOKUP(Tableau13[[#This Row],[Code machine]],'CODE mchn'!$A$4:$C$170,2,0)),"",VLOOKUP(Tableau13[[#This Row],[Code machine]],'CODE mchn'!$A$4:$C$170,2,0))</f>
        <v>Acier</v>
      </c>
      <c r="D825" s="36" t="str">
        <f>IF(ISNA(VLOOKUP(Tableau13[[#This Row],[Code machine]],'CODE mchn'!$A$4:$C$170,3,0)),"",VLOOKUP(Tableau13[[#This Row],[Code machine]],'CODE mchn'!$A$4:$C$170,3,0))</f>
        <v>EVG PN 1</v>
      </c>
      <c r="E825" s="105"/>
      <c r="F825" s="70"/>
      <c r="G825" s="70" t="s">
        <v>1595</v>
      </c>
      <c r="H825" s="70" t="s">
        <v>1596</v>
      </c>
      <c r="I825" s="70" t="s">
        <v>13</v>
      </c>
      <c r="J825" s="170" t="s">
        <v>811</v>
      </c>
      <c r="K825" s="171">
        <v>43951</v>
      </c>
      <c r="L825" s="70"/>
      <c r="M825" s="172">
        <v>1</v>
      </c>
      <c r="N825" s="173">
        <f>MONTH(Tableau13[[#This Row],[Date fin intervention]])</f>
        <v>4</v>
      </c>
      <c r="O825" s="173">
        <f>YEAR(Tableau13[[#This Row],[Date fin intervention]])</f>
        <v>2020</v>
      </c>
      <c r="P825" s="70"/>
    </row>
    <row r="826" spans="1:16">
      <c r="A826" s="238">
        <v>43952</v>
      </c>
      <c r="B826" s="239">
        <v>565</v>
      </c>
      <c r="C826" s="240" t="str">
        <f>IF(ISNA(VLOOKUP(Tableau13[[#This Row],[Code machine]],'CODE mchn'!$A$4:$C$170,2,0)),"",VLOOKUP(Tableau13[[#This Row],[Code machine]],'CODE mchn'!$A$4:$C$170,2,0))</f>
        <v>Acier</v>
      </c>
      <c r="D826" s="241" t="str">
        <f>IF(ISNA(VLOOKUP(Tableau13[[#This Row],[Code machine]],'CODE mchn'!$A$4:$C$170,3,0)),"",VLOOKUP(Tableau13[[#This Row],[Code machine]],'CODE mchn'!$A$4:$C$170,3,0))</f>
        <v>EVG GE12</v>
      </c>
      <c r="E826" s="239"/>
      <c r="F826" s="241"/>
      <c r="G826" s="241" t="s">
        <v>4122</v>
      </c>
      <c r="H826" s="241" t="s">
        <v>4120</v>
      </c>
      <c r="I826" s="241" t="s">
        <v>30</v>
      </c>
      <c r="J826" s="249" t="s">
        <v>4123</v>
      </c>
      <c r="K826" s="242">
        <v>43952</v>
      </c>
      <c r="L826" s="241"/>
      <c r="M826" s="243">
        <v>45</v>
      </c>
      <c r="N826" s="243">
        <f>MONTH(Tableau13[[#This Row],[Date fin intervention]])</f>
        <v>5</v>
      </c>
      <c r="O826" s="243">
        <f>YEAR(Tableau13[[#This Row],[Date fin intervention]])</f>
        <v>2020</v>
      </c>
      <c r="P826" s="241"/>
    </row>
    <row r="827" spans="1:16">
      <c r="A827" s="168">
        <v>43953</v>
      </c>
      <c r="B827" s="169">
        <v>571</v>
      </c>
      <c r="C827" s="170" t="str">
        <f>IF(ISNA(VLOOKUP(Tableau13[[#This Row],[Code machine]],'CODE mchn'!$A$4:$C$170,2,0)),"",VLOOKUP(Tableau13[[#This Row],[Code machine]],'CODE mchn'!$A$4:$C$170,2,0))</f>
        <v>Acier</v>
      </c>
      <c r="D827" s="36" t="str">
        <f>IF(ISNA(VLOOKUP(Tableau13[[#This Row],[Code machine]],'CODE mchn'!$A$4:$C$170,3,0)),"",VLOOKUP(Tableau13[[#This Row],[Code machine]],'CODE mchn'!$A$4:$C$170,3,0))</f>
        <v>EVG PN 1</v>
      </c>
      <c r="E827" s="105"/>
      <c r="F827" s="70"/>
      <c r="G827" s="70" t="s">
        <v>1467</v>
      </c>
      <c r="H827" s="70" t="s">
        <v>1597</v>
      </c>
      <c r="I827" s="70" t="s">
        <v>13</v>
      </c>
      <c r="J827" s="170" t="s">
        <v>1598</v>
      </c>
      <c r="K827" s="171">
        <v>43953</v>
      </c>
      <c r="L827" s="70"/>
      <c r="M827" s="172">
        <v>1</v>
      </c>
      <c r="N827" s="173">
        <f>MONTH(Tableau13[[#This Row],[Date fin intervention]])</f>
        <v>5</v>
      </c>
      <c r="O827" s="173">
        <f>YEAR(Tableau13[[#This Row],[Date fin intervention]])</f>
        <v>2020</v>
      </c>
      <c r="P827" s="70"/>
    </row>
    <row r="828" spans="1:16">
      <c r="A828" s="168">
        <v>43955</v>
      </c>
      <c r="B828" s="169">
        <v>700</v>
      </c>
      <c r="C828" s="170" t="str">
        <f>IF(ISNA(VLOOKUP(Tableau13[[#This Row],[Code machine]],'CODE mchn'!$A$4:$C$170,2,0)),"",VLOOKUP(Tableau13[[#This Row],[Code machine]],'CODE mchn'!$A$4:$C$170,2,0))</f>
        <v>Béton</v>
      </c>
      <c r="D828" s="36" t="str">
        <f>IF(ISNA(VLOOKUP(Tableau13[[#This Row],[Code machine]],'CODE mchn'!$A$4:$C$170,3,0)),"",VLOOKUP(Tableau13[[#This Row],[Code machine]],'CODE mchn'!$A$4:$C$170,3,0))</f>
        <v>Poyatos 1</v>
      </c>
      <c r="E828" s="105"/>
      <c r="F828" s="70"/>
      <c r="G828" s="70" t="s">
        <v>1132</v>
      </c>
      <c r="H828" s="70" t="s">
        <v>1419</v>
      </c>
      <c r="I828" s="70" t="s">
        <v>13</v>
      </c>
      <c r="J828" s="170" t="s">
        <v>1547</v>
      </c>
      <c r="K828" s="171">
        <v>43955</v>
      </c>
      <c r="L828" s="70"/>
      <c r="M828" s="172">
        <v>20</v>
      </c>
      <c r="N828" s="173">
        <f>MONTH(Tableau13[[#This Row],[Date fin intervention]])</f>
        <v>5</v>
      </c>
      <c r="O828" s="173">
        <f>YEAR(Tableau13[[#This Row],[Date fin intervention]])</f>
        <v>2020</v>
      </c>
      <c r="P828" s="70"/>
    </row>
    <row r="829" spans="1:16">
      <c r="A829" s="168">
        <v>43955</v>
      </c>
      <c r="B829" s="169">
        <v>565</v>
      </c>
      <c r="C829" s="170" t="str">
        <f>IF(ISNA(VLOOKUP(Tableau13[[#This Row],[Code machine]],'CODE mchn'!$A$4:$C$170,2,0)),"",VLOOKUP(Tableau13[[#This Row],[Code machine]],'CODE mchn'!$A$4:$C$170,2,0))</f>
        <v>Acier</v>
      </c>
      <c r="D829" s="36" t="str">
        <f>IF(ISNA(VLOOKUP(Tableau13[[#This Row],[Code machine]],'CODE mchn'!$A$4:$C$170,3,0)),"",VLOOKUP(Tableau13[[#This Row],[Code machine]],'CODE mchn'!$A$4:$C$170,3,0))</f>
        <v>EVG GE12</v>
      </c>
      <c r="E829" s="105"/>
      <c r="F829" s="70"/>
      <c r="G829" s="70" t="s">
        <v>463</v>
      </c>
      <c r="H829" s="70" t="s">
        <v>764</v>
      </c>
      <c r="I829" s="70" t="s">
        <v>13</v>
      </c>
      <c r="J829" s="170" t="s">
        <v>1600</v>
      </c>
      <c r="K829" s="171">
        <v>43955</v>
      </c>
      <c r="L829" s="70"/>
      <c r="M829" s="172">
        <v>1</v>
      </c>
      <c r="N829" s="173">
        <f>MONTH(Tableau13[[#This Row],[Date fin intervention]])</f>
        <v>5</v>
      </c>
      <c r="O829" s="173">
        <f>YEAR(Tableau13[[#This Row],[Date fin intervention]])</f>
        <v>2020</v>
      </c>
      <c r="P829" s="70"/>
    </row>
    <row r="830" spans="1:16" ht="28.5">
      <c r="A830" s="168">
        <v>43955</v>
      </c>
      <c r="B830" s="169">
        <v>604</v>
      </c>
      <c r="C830" s="170" t="str">
        <f>IF(ISNA(VLOOKUP(Tableau13[[#This Row],[Code machine]],'CODE mchn'!$A$4:$C$170,2,0)),"",VLOOKUP(Tableau13[[#This Row],[Code machine]],'CODE mchn'!$A$4:$C$170,2,0))</f>
        <v>Acier</v>
      </c>
      <c r="D830" s="36" t="str">
        <f>IF(ISNA(VLOOKUP(Tableau13[[#This Row],[Code machine]],'CODE mchn'!$A$4:$C$170,3,0)),"",VLOOKUP(Tableau13[[#This Row],[Code machine]],'CODE mchn'!$A$4:$C$170,3,0))</f>
        <v>TI</v>
      </c>
      <c r="E830" s="105"/>
      <c r="F830" s="70"/>
      <c r="G830" s="70" t="s">
        <v>1603</v>
      </c>
      <c r="H830" s="70" t="s">
        <v>1604</v>
      </c>
      <c r="I830" s="70" t="s">
        <v>13</v>
      </c>
      <c r="J830" s="170" t="s">
        <v>1605</v>
      </c>
      <c r="K830" s="171">
        <v>43955</v>
      </c>
      <c r="L830" s="70"/>
      <c r="M830" s="172">
        <v>1</v>
      </c>
      <c r="N830" s="173">
        <f>MONTH(Tableau13[[#This Row],[Date fin intervention]])</f>
        <v>5</v>
      </c>
      <c r="O830" s="173">
        <f>YEAR(Tableau13[[#This Row],[Date fin intervention]])</f>
        <v>2020</v>
      </c>
      <c r="P830" s="70"/>
    </row>
    <row r="831" spans="1:16">
      <c r="A831" s="168">
        <v>43956</v>
      </c>
      <c r="B831" s="169">
        <v>565</v>
      </c>
      <c r="C831" s="170" t="str">
        <f>IF(ISNA(VLOOKUP(Tableau13[[#This Row],[Code machine]],'CODE mchn'!$A$4:$C$170,2,0)),"",VLOOKUP(Tableau13[[#This Row],[Code machine]],'CODE mchn'!$A$4:$C$170,2,0))</f>
        <v>Acier</v>
      </c>
      <c r="D831" s="36" t="str">
        <f>IF(ISNA(VLOOKUP(Tableau13[[#This Row],[Code machine]],'CODE mchn'!$A$4:$C$170,3,0)),"",VLOOKUP(Tableau13[[#This Row],[Code machine]],'CODE mchn'!$A$4:$C$170,3,0))</f>
        <v>EVG GE12</v>
      </c>
      <c r="E831" s="105"/>
      <c r="F831" s="70"/>
      <c r="G831" s="70" t="s">
        <v>75</v>
      </c>
      <c r="H831" s="70" t="s">
        <v>1601</v>
      </c>
      <c r="I831" s="70" t="s">
        <v>13</v>
      </c>
      <c r="J831" s="170" t="s">
        <v>705</v>
      </c>
      <c r="K831" s="171">
        <v>43956</v>
      </c>
      <c r="L831" s="70"/>
      <c r="M831" s="172">
        <v>25</v>
      </c>
      <c r="N831" s="173">
        <f>MONTH(Tableau13[[#This Row],[Date fin intervention]])</f>
        <v>5</v>
      </c>
      <c r="O831" s="173">
        <f>YEAR(Tableau13[[#This Row],[Date fin intervention]])</f>
        <v>2020</v>
      </c>
      <c r="P831" s="70"/>
    </row>
    <row r="832" spans="1:16">
      <c r="A832" s="168">
        <v>43956</v>
      </c>
      <c r="B832" s="169">
        <v>571</v>
      </c>
      <c r="C832" s="170" t="str">
        <f>IF(ISNA(VLOOKUP(Tableau13[[#This Row],[Code machine]],'CODE mchn'!$A$4:$C$170,2,0)),"",VLOOKUP(Tableau13[[#This Row],[Code machine]],'CODE mchn'!$A$4:$C$170,2,0))</f>
        <v>Acier</v>
      </c>
      <c r="D832" s="36" t="str">
        <f>IF(ISNA(VLOOKUP(Tableau13[[#This Row],[Code machine]],'CODE mchn'!$A$4:$C$170,3,0)),"",VLOOKUP(Tableau13[[#This Row],[Code machine]],'CODE mchn'!$A$4:$C$170,3,0))</f>
        <v>EVG PN 1</v>
      </c>
      <c r="E832" s="105"/>
      <c r="F832" s="70"/>
      <c r="G832" s="70" t="s">
        <v>463</v>
      </c>
      <c r="H832" s="70" t="s">
        <v>1606</v>
      </c>
      <c r="I832" s="70" t="s">
        <v>30</v>
      </c>
      <c r="J832" s="170" t="s">
        <v>1607</v>
      </c>
      <c r="K832" s="171">
        <v>43956</v>
      </c>
      <c r="L832" s="70"/>
      <c r="M832" s="172">
        <v>1</v>
      </c>
      <c r="N832" s="173">
        <f>MONTH(Tableau13[[#This Row],[Date fin intervention]])</f>
        <v>5</v>
      </c>
      <c r="O832" s="173">
        <f>YEAR(Tableau13[[#This Row],[Date fin intervention]])</f>
        <v>2020</v>
      </c>
      <c r="P832" s="70"/>
    </row>
    <row r="833" spans="1:16">
      <c r="A833" s="168">
        <v>43956</v>
      </c>
      <c r="B833" s="169">
        <v>800</v>
      </c>
      <c r="C833" s="170" t="str">
        <f>IF(ISNA(VLOOKUP(Tableau13[[#This Row],[Code machine]],'CODE mchn'!$A$4:$C$170,2,0)),"",VLOOKUP(Tableau13[[#This Row],[Code machine]],'CODE mchn'!$A$4:$C$170,2,0))</f>
        <v>Béton</v>
      </c>
      <c r="D833" s="36" t="str">
        <f>IF(ISNA(VLOOKUP(Tableau13[[#This Row],[Code machine]],'CODE mchn'!$A$4:$C$170,3,0)),"",VLOOKUP(Tableau13[[#This Row],[Code machine]],'CODE mchn'!$A$4:$C$170,3,0))</f>
        <v>Poyatos 2</v>
      </c>
      <c r="E833" s="105"/>
      <c r="F833" s="70"/>
      <c r="G833" s="70" t="s">
        <v>110</v>
      </c>
      <c r="H833" s="70" t="s">
        <v>1610</v>
      </c>
      <c r="I833" s="70" t="s">
        <v>13</v>
      </c>
      <c r="J833" s="170" t="s">
        <v>1611</v>
      </c>
      <c r="K833" s="171">
        <v>43956</v>
      </c>
      <c r="L833" s="70"/>
      <c r="M833" s="172">
        <v>20</v>
      </c>
      <c r="N833" s="173">
        <f>MONTH(Tableau13[[#This Row],[Date fin intervention]])</f>
        <v>5</v>
      </c>
      <c r="O833" s="173">
        <f>YEAR(Tableau13[[#This Row],[Date fin intervention]])</f>
        <v>2020</v>
      </c>
      <c r="P833" s="70"/>
    </row>
    <row r="834" spans="1:16">
      <c r="A834" s="168">
        <v>43959</v>
      </c>
      <c r="B834" s="169">
        <v>565</v>
      </c>
      <c r="C834" s="170" t="str">
        <f>IF(ISNA(VLOOKUP(Tableau13[[#This Row],[Code machine]],'CODE mchn'!$A$4:$C$170,2,0)),"",VLOOKUP(Tableau13[[#This Row],[Code machine]],'CODE mchn'!$A$4:$C$170,2,0))</f>
        <v>Acier</v>
      </c>
      <c r="D834" s="36" t="str">
        <f>IF(ISNA(VLOOKUP(Tableau13[[#This Row],[Code machine]],'CODE mchn'!$A$4:$C$170,3,0)),"",VLOOKUP(Tableau13[[#This Row],[Code machine]],'CODE mchn'!$A$4:$C$170,3,0))</f>
        <v>EVG GE12</v>
      </c>
      <c r="E834" s="105"/>
      <c r="F834" s="70"/>
      <c r="G834" s="70" t="s">
        <v>104</v>
      </c>
      <c r="H834" s="70" t="s">
        <v>1147</v>
      </c>
      <c r="I834" s="70" t="s">
        <v>13</v>
      </c>
      <c r="J834" s="170" t="s">
        <v>1452</v>
      </c>
      <c r="K834" s="171">
        <v>43959</v>
      </c>
      <c r="L834" s="70"/>
      <c r="M834" s="172">
        <v>1</v>
      </c>
      <c r="N834" s="173">
        <f>MONTH(Tableau13[[#This Row],[Date fin intervention]])</f>
        <v>5</v>
      </c>
      <c r="O834" s="173">
        <f>YEAR(Tableau13[[#This Row],[Date fin intervention]])</f>
        <v>2020</v>
      </c>
      <c r="P834" s="70"/>
    </row>
    <row r="835" spans="1:16">
      <c r="A835" s="168">
        <v>43960</v>
      </c>
      <c r="B835" s="169">
        <v>565</v>
      </c>
      <c r="C835" s="170" t="str">
        <f>IF(ISNA(VLOOKUP(Tableau13[[#This Row],[Code machine]],'CODE mchn'!$A$4:$C$170,2,0)),"",VLOOKUP(Tableau13[[#This Row],[Code machine]],'CODE mchn'!$A$4:$C$170,2,0))</f>
        <v>Acier</v>
      </c>
      <c r="D835" s="36" t="str">
        <f>IF(ISNA(VLOOKUP(Tableau13[[#This Row],[Code machine]],'CODE mchn'!$A$4:$C$170,3,0)),"",VLOOKUP(Tableau13[[#This Row],[Code machine]],'CODE mchn'!$A$4:$C$170,3,0))</f>
        <v>EVG GE12</v>
      </c>
      <c r="E835" s="105"/>
      <c r="F835" s="70"/>
      <c r="G835" s="70" t="s">
        <v>470</v>
      </c>
      <c r="H835" s="70" t="s">
        <v>1224</v>
      </c>
      <c r="I835" s="70" t="s">
        <v>13</v>
      </c>
      <c r="J835" s="170" t="s">
        <v>1602</v>
      </c>
      <c r="K835" s="171">
        <v>43960</v>
      </c>
      <c r="L835" s="70"/>
      <c r="M835" s="172">
        <v>1</v>
      </c>
      <c r="N835" s="173">
        <f>MONTH(Tableau13[[#This Row],[Date fin intervention]])</f>
        <v>5</v>
      </c>
      <c r="O835" s="173">
        <f>YEAR(Tableau13[[#This Row],[Date fin intervention]])</f>
        <v>2020</v>
      </c>
      <c r="P835" s="70"/>
    </row>
    <row r="836" spans="1:16" ht="42.75">
      <c r="A836" s="168">
        <v>43960</v>
      </c>
      <c r="B836" s="169">
        <v>605</v>
      </c>
      <c r="C836" s="170" t="str">
        <f>IF(ISNA(VLOOKUP(Tableau13[[#This Row],[Code machine]],'CODE mchn'!$A$4:$C$170,2,0)),"",VLOOKUP(Tableau13[[#This Row],[Code machine]],'CODE mchn'!$A$4:$C$170,2,0))</f>
        <v>Acier</v>
      </c>
      <c r="D836" s="36" t="str">
        <f>IF(ISNA(VLOOKUP(Tableau13[[#This Row],[Code machine]],'CODE mchn'!$A$4:$C$170,3,0)),"",VLOOKUP(Tableau13[[#This Row],[Code machine]],'CODE mchn'!$A$4:$C$170,3,0))</f>
        <v>Vitari 1</v>
      </c>
      <c r="E836" s="105"/>
      <c r="F836" s="70"/>
      <c r="G836" s="70" t="s">
        <v>519</v>
      </c>
      <c r="H836" s="70" t="s">
        <v>1608</v>
      </c>
      <c r="I836" s="70" t="s">
        <v>13</v>
      </c>
      <c r="J836" s="170" t="s">
        <v>1609</v>
      </c>
      <c r="K836" s="171">
        <v>43963</v>
      </c>
      <c r="L836" s="70"/>
      <c r="M836" s="172" t="s">
        <v>2259</v>
      </c>
      <c r="N836" s="173">
        <f>MONTH(Tableau13[[#This Row],[Date fin intervention]])</f>
        <v>5</v>
      </c>
      <c r="O836" s="173">
        <f>YEAR(Tableau13[[#This Row],[Date fin intervention]])</f>
        <v>2020</v>
      </c>
      <c r="P836" s="70"/>
    </row>
    <row r="837" spans="1:16" ht="28.5">
      <c r="A837" s="168">
        <v>43960</v>
      </c>
      <c r="B837" s="169">
        <v>583</v>
      </c>
      <c r="C837" s="170" t="str">
        <f>IF(ISNA(VLOOKUP(Tableau13[[#This Row],[Code machine]],'CODE mchn'!$A$4:$C$170,2,0)),"",VLOOKUP(Tableau13[[#This Row],[Code machine]],'CODE mchn'!$A$4:$C$170,2,0))</f>
        <v>Ponts roulants</v>
      </c>
      <c r="D837" s="36" t="str">
        <f>IF(ISNA(VLOOKUP(Tableau13[[#This Row],[Code machine]],'CODE mchn'!$A$4:$C$170,3,0)),"",VLOOKUP(Tableau13[[#This Row],[Code machine]],'CODE mchn'!$A$4:$C$170,3,0))</f>
        <v>Pont roulant Abus 5T (teurema1)</v>
      </c>
      <c r="E837" s="105"/>
      <c r="F837" s="70"/>
      <c r="G837" s="70" t="s">
        <v>667</v>
      </c>
      <c r="H837" s="70" t="s">
        <v>1565</v>
      </c>
      <c r="I837" s="70" t="s">
        <v>13</v>
      </c>
      <c r="J837" s="170" t="s">
        <v>1177</v>
      </c>
      <c r="K837" s="171">
        <v>43960</v>
      </c>
      <c r="L837" s="70"/>
      <c r="M837" s="172">
        <v>2</v>
      </c>
      <c r="N837" s="173">
        <f>MONTH(Tableau13[[#This Row],[Date fin intervention]])</f>
        <v>5</v>
      </c>
      <c r="O837" s="173">
        <f>YEAR(Tableau13[[#This Row],[Date fin intervention]])</f>
        <v>2020</v>
      </c>
      <c r="P837" s="70"/>
    </row>
    <row r="838" spans="1:16" ht="42.75">
      <c r="A838" s="168">
        <v>43961</v>
      </c>
      <c r="B838" s="169">
        <v>606</v>
      </c>
      <c r="C838" s="170" t="str">
        <f>IF(ISNA(VLOOKUP(Tableau13[[#This Row],[Code machine]],'CODE mchn'!$A$4:$C$170,2,0)),"",VLOOKUP(Tableau13[[#This Row],[Code machine]],'CODE mchn'!$A$4:$C$170,2,0))</f>
        <v>Acier</v>
      </c>
      <c r="D838" s="36" t="str">
        <f>IF(ISNA(VLOOKUP(Tableau13[[#This Row],[Code machine]],'CODE mchn'!$A$4:$C$170,3,0)),"",VLOOKUP(Tableau13[[#This Row],[Code machine]],'CODE mchn'!$A$4:$C$170,3,0))</f>
        <v>Vitari 2</v>
      </c>
      <c r="E838" s="105"/>
      <c r="F838" s="70"/>
      <c r="G838" s="70" t="s">
        <v>664</v>
      </c>
      <c r="H838" s="70" t="s">
        <v>1612</v>
      </c>
      <c r="I838" s="70" t="s">
        <v>13</v>
      </c>
      <c r="J838" s="170" t="s">
        <v>1613</v>
      </c>
      <c r="K838" s="171">
        <v>43991</v>
      </c>
      <c r="L838" s="36" t="s">
        <v>1623</v>
      </c>
      <c r="M838" s="172" t="s">
        <v>2259</v>
      </c>
      <c r="N838" s="173">
        <f>MONTH(Tableau13[[#This Row],[Date fin intervention]])</f>
        <v>6</v>
      </c>
      <c r="O838" s="173">
        <f>YEAR(Tableau13[[#This Row],[Date fin intervention]])</f>
        <v>2020</v>
      </c>
      <c r="P838" s="70"/>
    </row>
    <row r="839" spans="1:16">
      <c r="A839" s="104">
        <v>43963</v>
      </c>
      <c r="B839" s="105">
        <v>560</v>
      </c>
      <c r="C839" s="106" t="str">
        <f>IF(ISNA(VLOOKUP(Tableau13[[#This Row],[Code machine]],'CODE mchn'!$A$4:$C$170,2,0)),"",VLOOKUP(Tableau13[[#This Row],[Code machine]],'CODE mchn'!$A$4:$C$170,2,0))</f>
        <v>Acier</v>
      </c>
      <c r="D839" s="36" t="str">
        <f>IF(ISNA(VLOOKUP(Tableau13[[#This Row],[Code machine]],'CODE mchn'!$A$4:$C$170,3,0)),"",VLOOKUP(Tableau13[[#This Row],[Code machine]],'CODE mchn'!$A$4:$C$170,3,0))</f>
        <v>Schlatter</v>
      </c>
      <c r="E839" s="105"/>
      <c r="F839" s="36"/>
      <c r="G839" s="36" t="s">
        <v>104</v>
      </c>
      <c r="H839" s="36" t="s">
        <v>517</v>
      </c>
      <c r="I839" s="36" t="s">
        <v>13</v>
      </c>
      <c r="J839" s="106" t="s">
        <v>1618</v>
      </c>
      <c r="K839" s="71">
        <v>43963</v>
      </c>
      <c r="L839" s="36"/>
      <c r="M839" s="141">
        <v>1</v>
      </c>
      <c r="N839" s="108">
        <f>MONTH(Tableau13[[#This Row],[Date fin intervention]])</f>
        <v>5</v>
      </c>
      <c r="O839" s="108">
        <f>YEAR(Tableau13[[#This Row],[Date fin intervention]])</f>
        <v>2020</v>
      </c>
      <c r="P839" s="36"/>
    </row>
    <row r="840" spans="1:16" ht="42.75">
      <c r="A840" s="104">
        <v>43967</v>
      </c>
      <c r="B840" s="105">
        <v>568</v>
      </c>
      <c r="C840" s="106" t="str">
        <f>IF(ISNA(VLOOKUP(Tableau13[[#This Row],[Code machine]],'CODE mchn'!$A$4:$C$170,2,0)),"",VLOOKUP(Tableau13[[#This Row],[Code machine]],'CODE mchn'!$A$4:$C$170,2,0))</f>
        <v>Ponts roulants</v>
      </c>
      <c r="D840" s="36" t="str">
        <f>IF(ISNA(VLOOKUP(Tableau13[[#This Row],[Code machine]],'CODE mchn'!$A$4:$C$170,3,0)),"",VLOOKUP(Tableau13[[#This Row],[Code machine]],'CODE mchn'!$A$4:$C$170,3,0))</f>
        <v>Pont roulant Demag 5T (milieu)</v>
      </c>
      <c r="E840" s="105"/>
      <c r="F840" s="36"/>
      <c r="G840" s="36" t="s">
        <v>976</v>
      </c>
      <c r="H840" s="36" t="s">
        <v>1619</v>
      </c>
      <c r="I840" s="36" t="s">
        <v>13</v>
      </c>
      <c r="J840" s="106" t="s">
        <v>1620</v>
      </c>
      <c r="K840" s="71">
        <v>43986</v>
      </c>
      <c r="L840" s="36" t="s">
        <v>1621</v>
      </c>
      <c r="M840" s="141" t="s">
        <v>2259</v>
      </c>
      <c r="N840" s="108">
        <f>MONTH(Tableau13[[#This Row],[Date fin intervention]])</f>
        <v>6</v>
      </c>
      <c r="O840" s="108">
        <f>YEAR(Tableau13[[#This Row],[Date fin intervention]])</f>
        <v>2020</v>
      </c>
      <c r="P840" s="36"/>
    </row>
    <row r="841" spans="1:16" ht="42.75">
      <c r="A841" s="104">
        <v>43984</v>
      </c>
      <c r="B841" s="105">
        <v>565</v>
      </c>
      <c r="C841" s="106" t="str">
        <f>IF(ISNA(VLOOKUP(Tableau13[[#This Row],[Code machine]],'CODE mchn'!$A$4:$C$170,2,0)),"",VLOOKUP(Tableau13[[#This Row],[Code machine]],'CODE mchn'!$A$4:$C$170,2,0))</f>
        <v>Acier</v>
      </c>
      <c r="D841" s="36" t="str">
        <f>IF(ISNA(VLOOKUP(Tableau13[[#This Row],[Code machine]],'CODE mchn'!$A$4:$C$170,3,0)),"",VLOOKUP(Tableau13[[#This Row],[Code machine]],'CODE mchn'!$A$4:$C$170,3,0))</f>
        <v>EVG GE12</v>
      </c>
      <c r="E841" s="105"/>
      <c r="F841" s="36"/>
      <c r="G841" s="36" t="s">
        <v>470</v>
      </c>
      <c r="H841" s="36" t="s">
        <v>1615</v>
      </c>
      <c r="I841" s="36" t="s">
        <v>13</v>
      </c>
      <c r="J841" s="106" t="s">
        <v>1616</v>
      </c>
      <c r="K841" s="71">
        <v>43985</v>
      </c>
      <c r="L841" s="36" t="s">
        <v>1617</v>
      </c>
      <c r="M841" s="141" t="s">
        <v>2259</v>
      </c>
      <c r="N841" s="108">
        <f>MONTH(Tableau13[[#This Row],[Date fin intervention]])</f>
        <v>6</v>
      </c>
      <c r="O841" s="108">
        <f>YEAR(Tableau13[[#This Row],[Date fin intervention]])</f>
        <v>2020</v>
      </c>
      <c r="P841" s="36"/>
    </row>
    <row r="842" spans="1:16" ht="28.5">
      <c r="A842" s="104">
        <v>43984</v>
      </c>
      <c r="B842" s="105">
        <v>562</v>
      </c>
      <c r="C842" s="106" t="str">
        <f>IF(ISNA(VLOOKUP(Tableau13[[#This Row],[Code machine]],'CODE mchn'!$A$4:$C$170,2,0)),"",VLOOKUP(Tableau13[[#This Row],[Code machine]],'CODE mchn'!$A$4:$C$170,2,0))</f>
        <v>Ponts roulants</v>
      </c>
      <c r="D842" s="36" t="str">
        <f>IF(ISNA(VLOOKUP(Tableau13[[#This Row],[Code machine]],'CODE mchn'!$A$4:$C$170,3,0)),"",VLOOKUP(Tableau13[[#This Row],[Code machine]],'CODE mchn'!$A$4:$C$170,3,0))</f>
        <v>Pont roulant GH Beasain 12T</v>
      </c>
      <c r="E842" s="105"/>
      <c r="F842" s="36"/>
      <c r="G842" s="36" t="s">
        <v>1624</v>
      </c>
      <c r="H842" s="36" t="s">
        <v>779</v>
      </c>
      <c r="I842" s="36" t="s">
        <v>13</v>
      </c>
      <c r="J842" s="106" t="s">
        <v>1626</v>
      </c>
      <c r="K842" s="104">
        <v>43984</v>
      </c>
      <c r="L842" s="36" t="s">
        <v>1626</v>
      </c>
      <c r="M842" s="141"/>
      <c r="N842" s="108">
        <f>MONTH(Tableau13[[#This Row],[Date fin intervention]])</f>
        <v>6</v>
      </c>
      <c r="O842" s="108">
        <f>YEAR(Tableau13[[#This Row],[Date fin intervention]])</f>
        <v>2020</v>
      </c>
      <c r="P842" s="36"/>
    </row>
    <row r="843" spans="1:16">
      <c r="A843" s="104">
        <v>43985</v>
      </c>
      <c r="B843" s="105">
        <v>582</v>
      </c>
      <c r="C843" s="106" t="str">
        <f>IF(ISNA(VLOOKUP(Tableau13[[#This Row],[Code machine]],'CODE mchn'!$A$4:$C$170,2,0)),"",VLOOKUP(Tableau13[[#This Row],[Code machine]],'CODE mchn'!$A$4:$C$170,2,0))</f>
        <v>Acier</v>
      </c>
      <c r="D843" s="36" t="str">
        <f>IF(ISNA(VLOOKUP(Tableau13[[#This Row],[Code machine]],'CODE mchn'!$A$4:$C$170,3,0)),"",VLOOKUP(Tableau13[[#This Row],[Code machine]],'CODE mchn'!$A$4:$C$170,3,0))</f>
        <v>Teurema 2</v>
      </c>
      <c r="E843" s="105"/>
      <c r="F843" s="36"/>
      <c r="G843" s="36" t="s">
        <v>612</v>
      </c>
      <c r="H843" s="36" t="s">
        <v>1625</v>
      </c>
      <c r="I843" s="36" t="s">
        <v>13</v>
      </c>
      <c r="J843" s="106" t="s">
        <v>497</v>
      </c>
      <c r="K843" s="104">
        <v>44467</v>
      </c>
      <c r="L843" s="36"/>
      <c r="M843" s="141">
        <v>5</v>
      </c>
      <c r="N843" s="108">
        <f>MONTH(Tableau13[[#This Row],[Date fin intervention]])</f>
        <v>9</v>
      </c>
      <c r="O843" s="108">
        <f>YEAR(Tableau13[[#This Row],[Date fin intervention]])</f>
        <v>2021</v>
      </c>
      <c r="P843" s="36"/>
    </row>
    <row r="844" spans="1:16">
      <c r="A844" s="104">
        <v>43985</v>
      </c>
      <c r="B844" s="105">
        <v>700</v>
      </c>
      <c r="C844" s="106" t="str">
        <f>IF(ISNA(VLOOKUP(Tableau13[[#This Row],[Code machine]],'CODE mchn'!$A$4:$C$170,2,0)),"",VLOOKUP(Tableau13[[#This Row],[Code machine]],'CODE mchn'!$A$4:$C$170,2,0))</f>
        <v>Béton</v>
      </c>
      <c r="D844" s="36" t="str">
        <f>IF(ISNA(VLOOKUP(Tableau13[[#This Row],[Code machine]],'CODE mchn'!$A$4:$C$170,3,0)),"",VLOOKUP(Tableau13[[#This Row],[Code machine]],'CODE mchn'!$A$4:$C$170,3,0))</f>
        <v>Poyatos 1</v>
      </c>
      <c r="E844" s="105"/>
      <c r="F844" s="36"/>
      <c r="G844" s="36" t="s">
        <v>49</v>
      </c>
      <c r="H844" s="36" t="s">
        <v>1627</v>
      </c>
      <c r="I844" s="36" t="s">
        <v>13</v>
      </c>
      <c r="J844" s="106" t="s">
        <v>1628</v>
      </c>
      <c r="K844" s="238">
        <v>44467</v>
      </c>
      <c r="L844" s="36"/>
      <c r="M844" s="141">
        <v>1</v>
      </c>
      <c r="N844" s="108">
        <f>MONTH(Tableau13[[#This Row],[Date fin intervention]])</f>
        <v>9</v>
      </c>
      <c r="O844" s="108">
        <f>YEAR(Tableau13[[#This Row],[Date fin intervention]])</f>
        <v>2021</v>
      </c>
      <c r="P844" s="36"/>
    </row>
    <row r="845" spans="1:16">
      <c r="A845" s="104">
        <v>43985</v>
      </c>
      <c r="B845" s="105">
        <v>700</v>
      </c>
      <c r="C845" s="106" t="str">
        <f>IF(ISNA(VLOOKUP(Tableau13[[#This Row],[Code machine]],'CODE mchn'!$A$4:$C$170,2,0)),"",VLOOKUP(Tableau13[[#This Row],[Code machine]],'CODE mchn'!$A$4:$C$170,2,0))</f>
        <v>Béton</v>
      </c>
      <c r="D845" s="36" t="str">
        <f>IF(ISNA(VLOOKUP(Tableau13[[#This Row],[Code machine]],'CODE mchn'!$A$4:$C$170,3,0)),"",VLOOKUP(Tableau13[[#This Row],[Code machine]],'CODE mchn'!$A$4:$C$170,3,0))</f>
        <v>Poyatos 1</v>
      </c>
      <c r="E845" s="105"/>
      <c r="F845" s="36"/>
      <c r="G845" s="36" t="s">
        <v>43</v>
      </c>
      <c r="H845" s="36" t="s">
        <v>1629</v>
      </c>
      <c r="I845" s="36" t="s">
        <v>13</v>
      </c>
      <c r="J845" s="106" t="s">
        <v>1630</v>
      </c>
      <c r="K845" s="104">
        <v>44482</v>
      </c>
      <c r="L845" s="36"/>
      <c r="M845" s="141">
        <v>1</v>
      </c>
      <c r="N845" s="108">
        <f>MONTH(Tableau13[[#This Row],[Date fin intervention]])</f>
        <v>10</v>
      </c>
      <c r="O845" s="108">
        <f>YEAR(Tableau13[[#This Row],[Date fin intervention]])</f>
        <v>2021</v>
      </c>
      <c r="P845" s="36"/>
    </row>
    <row r="846" spans="1:16">
      <c r="A846" s="104">
        <v>43985</v>
      </c>
      <c r="B846" s="105">
        <v>582</v>
      </c>
      <c r="C846" s="106" t="str">
        <f>IF(ISNA(VLOOKUP(Tableau13[[#This Row],[Code machine]],'CODE mchn'!$A$4:$C$170,2,0)),"",VLOOKUP(Tableau13[[#This Row],[Code machine]],'CODE mchn'!$A$4:$C$170,2,0))</f>
        <v>Acier</v>
      </c>
      <c r="D846" s="36" t="str">
        <f>IF(ISNA(VLOOKUP(Tableau13[[#This Row],[Code machine]],'CODE mchn'!$A$4:$C$170,3,0)),"",VLOOKUP(Tableau13[[#This Row],[Code machine]],'CODE mchn'!$A$4:$C$170,3,0))</f>
        <v>Teurema 2</v>
      </c>
      <c r="E846" s="105"/>
      <c r="F846" s="36"/>
      <c r="G846" s="36" t="s">
        <v>1640</v>
      </c>
      <c r="H846" s="36" t="s">
        <v>1052</v>
      </c>
      <c r="I846" s="36" t="s">
        <v>13</v>
      </c>
      <c r="J846" s="106" t="s">
        <v>1641</v>
      </c>
      <c r="K846" s="104">
        <v>44525</v>
      </c>
      <c r="L846" s="36"/>
      <c r="M846" s="141">
        <v>1</v>
      </c>
      <c r="N846" s="108">
        <f>MONTH(Tableau13[[#This Row],[Date fin intervention]])</f>
        <v>11</v>
      </c>
      <c r="O846" s="108">
        <f>YEAR(Tableau13[[#This Row],[Date fin intervention]])</f>
        <v>2021</v>
      </c>
      <c r="P846" s="36"/>
    </row>
    <row r="847" spans="1:16">
      <c r="A847" s="104">
        <v>43986</v>
      </c>
      <c r="B847" s="105">
        <v>800</v>
      </c>
      <c r="C847" s="106" t="str">
        <f>IF(ISNA(VLOOKUP(Tableau13[[#This Row],[Code machine]],'CODE mchn'!$A$4:$C$170,2,0)),"",VLOOKUP(Tableau13[[#This Row],[Code machine]],'CODE mchn'!$A$4:$C$170,2,0))</f>
        <v>Béton</v>
      </c>
      <c r="D847" s="36" t="str">
        <f>IF(ISNA(VLOOKUP(Tableau13[[#This Row],[Code machine]],'CODE mchn'!$A$4:$C$170,3,0)),"",VLOOKUP(Tableau13[[#This Row],[Code machine]],'CODE mchn'!$A$4:$C$170,3,0))</f>
        <v>Poyatos 2</v>
      </c>
      <c r="E847" s="105"/>
      <c r="F847" s="36"/>
      <c r="G847" s="36" t="s">
        <v>809</v>
      </c>
      <c r="H847" s="36" t="s">
        <v>1134</v>
      </c>
      <c r="I847" s="36" t="s">
        <v>13</v>
      </c>
      <c r="J847" s="106" t="s">
        <v>1631</v>
      </c>
      <c r="K847" s="104">
        <v>44534</v>
      </c>
      <c r="L847" s="36"/>
      <c r="M847" s="141">
        <v>1</v>
      </c>
      <c r="N847" s="108">
        <f>MONTH(Tableau13[[#This Row],[Date fin intervention]])</f>
        <v>12</v>
      </c>
      <c r="O847" s="108">
        <f>YEAR(Tableau13[[#This Row],[Date fin intervention]])</f>
        <v>2021</v>
      </c>
      <c r="P847" s="36"/>
    </row>
    <row r="848" spans="1:16">
      <c r="A848" s="104">
        <v>43986</v>
      </c>
      <c r="B848" s="105">
        <v>800</v>
      </c>
      <c r="C848" s="106" t="str">
        <f>IF(ISNA(VLOOKUP(Tableau13[[#This Row],[Code machine]],'CODE mchn'!$A$4:$C$170,2,0)),"",VLOOKUP(Tableau13[[#This Row],[Code machine]],'CODE mchn'!$A$4:$C$170,2,0))</f>
        <v>Béton</v>
      </c>
      <c r="D848" s="36" t="str">
        <f>IF(ISNA(VLOOKUP(Tableau13[[#This Row],[Code machine]],'CODE mchn'!$A$4:$C$170,3,0)),"",VLOOKUP(Tableau13[[#This Row],[Code machine]],'CODE mchn'!$A$4:$C$170,3,0))</f>
        <v>Poyatos 2</v>
      </c>
      <c r="E848" s="105"/>
      <c r="F848" s="36"/>
      <c r="G848" s="36" t="s">
        <v>188</v>
      </c>
      <c r="H848" s="36" t="s">
        <v>1632</v>
      </c>
      <c r="I848" s="36" t="s">
        <v>13</v>
      </c>
      <c r="J848" s="106" t="s">
        <v>1633</v>
      </c>
      <c r="K848" s="238">
        <v>44660</v>
      </c>
      <c r="L848" s="36"/>
      <c r="M848" s="141">
        <v>1</v>
      </c>
      <c r="N848" s="108">
        <f>MONTH(Tableau13[[#This Row],[Date fin intervention]])</f>
        <v>4</v>
      </c>
      <c r="O848" s="108">
        <f>YEAR(Tableau13[[#This Row],[Date fin intervention]])</f>
        <v>2022</v>
      </c>
      <c r="P848" s="36"/>
    </row>
    <row r="849" spans="1:16">
      <c r="A849" s="104">
        <v>43987</v>
      </c>
      <c r="B849" s="105">
        <v>610</v>
      </c>
      <c r="C849" s="106" t="str">
        <f>IF(ISNA(VLOOKUP(Tableau13[[#This Row],[Code machine]],'CODE mchn'!$A$4:$C$170,2,0)),"",VLOOKUP(Tableau13[[#This Row],[Code machine]],'CODE mchn'!$A$4:$C$170,2,0))</f>
        <v>Acier</v>
      </c>
      <c r="D849" s="36" t="str">
        <f>IF(ISNA(VLOOKUP(Tableau13[[#This Row],[Code machine]],'CODE mchn'!$A$4:$C$170,3,0)),"",VLOOKUP(Tableau13[[#This Row],[Code machine]],'CODE mchn'!$A$4:$C$170,3,0))</f>
        <v>MEP91</v>
      </c>
      <c r="E849" s="105"/>
      <c r="F849" s="36"/>
      <c r="G849" s="36" t="s">
        <v>519</v>
      </c>
      <c r="H849" s="36" t="s">
        <v>1634</v>
      </c>
      <c r="I849" s="36" t="s">
        <v>13</v>
      </c>
      <c r="J849" s="106" t="s">
        <v>1635</v>
      </c>
      <c r="K849" s="71">
        <v>43989</v>
      </c>
      <c r="L849" s="36"/>
      <c r="M849" s="141">
        <v>2</v>
      </c>
      <c r="N849" s="108">
        <f>MONTH(Tableau13[[#This Row],[Date fin intervention]])</f>
        <v>6</v>
      </c>
      <c r="O849" s="108">
        <f>YEAR(Tableau13[[#This Row],[Date fin intervention]])</f>
        <v>2020</v>
      </c>
      <c r="P849" s="36"/>
    </row>
    <row r="850" spans="1:16">
      <c r="A850" s="104">
        <v>43987</v>
      </c>
      <c r="B850" s="105">
        <v>581</v>
      </c>
      <c r="C850" s="106" t="str">
        <f>IF(ISNA(VLOOKUP(Tableau13[[#This Row],[Code machine]],'CODE mchn'!$A$4:$C$170,2,0)),"",VLOOKUP(Tableau13[[#This Row],[Code machine]],'CODE mchn'!$A$4:$C$170,2,0))</f>
        <v>Acier</v>
      </c>
      <c r="D850" s="36" t="str">
        <f>IF(ISNA(VLOOKUP(Tableau13[[#This Row],[Code machine]],'CODE mchn'!$A$4:$C$170,3,0)),"",VLOOKUP(Tableau13[[#This Row],[Code machine]],'CODE mchn'!$A$4:$C$170,3,0))</f>
        <v>Teurema 1</v>
      </c>
      <c r="E850" s="105"/>
      <c r="F850" s="36"/>
      <c r="G850" s="36" t="s">
        <v>78</v>
      </c>
      <c r="H850" s="36" t="s">
        <v>1642</v>
      </c>
      <c r="I850" s="36" t="s">
        <v>13</v>
      </c>
      <c r="J850" s="106" t="s">
        <v>1643</v>
      </c>
      <c r="K850" s="71">
        <v>43987</v>
      </c>
      <c r="L850" s="36"/>
      <c r="M850" s="141">
        <v>1</v>
      </c>
      <c r="N850" s="108">
        <f>MONTH(Tableau13[[#This Row],[Date fin intervention]])</f>
        <v>6</v>
      </c>
      <c r="O850" s="108">
        <f>YEAR(Tableau13[[#This Row],[Date fin intervention]])</f>
        <v>2020</v>
      </c>
      <c r="P850" s="36"/>
    </row>
    <row r="851" spans="1:16">
      <c r="A851" s="104">
        <v>43987</v>
      </c>
      <c r="B851" s="105">
        <v>581</v>
      </c>
      <c r="C851" s="106" t="str">
        <f>IF(ISNA(VLOOKUP(Tableau13[[#This Row],[Code machine]],'CODE mchn'!$A$4:$C$170,2,0)),"",VLOOKUP(Tableau13[[#This Row],[Code machine]],'CODE mchn'!$A$4:$C$170,2,0))</f>
        <v>Acier</v>
      </c>
      <c r="D851" s="36" t="str">
        <f>IF(ISNA(VLOOKUP(Tableau13[[#This Row],[Code machine]],'CODE mchn'!$A$4:$C$170,3,0)),"",VLOOKUP(Tableau13[[#This Row],[Code machine]],'CODE mchn'!$A$4:$C$170,3,0))</f>
        <v>Teurema 1</v>
      </c>
      <c r="E851" s="105"/>
      <c r="F851" s="36"/>
      <c r="G851" s="36" t="s">
        <v>1644</v>
      </c>
      <c r="H851" s="36" t="s">
        <v>1646</v>
      </c>
      <c r="I851" s="36" t="s">
        <v>13</v>
      </c>
      <c r="J851" s="106" t="s">
        <v>1645</v>
      </c>
      <c r="K851" s="71">
        <v>43987</v>
      </c>
      <c r="L851" s="36"/>
      <c r="M851" s="141">
        <v>1</v>
      </c>
      <c r="N851" s="108">
        <f>MONTH(Tableau13[[#This Row],[Date fin intervention]])</f>
        <v>6</v>
      </c>
      <c r="O851" s="108">
        <f>YEAR(Tableau13[[#This Row],[Date fin intervention]])</f>
        <v>2020</v>
      </c>
      <c r="P851" s="36"/>
    </row>
    <row r="852" spans="1:16">
      <c r="A852" s="104">
        <v>43988</v>
      </c>
      <c r="B852" s="105">
        <v>800</v>
      </c>
      <c r="C852" s="106" t="str">
        <f>IF(ISNA(VLOOKUP(Tableau13[[#This Row],[Code machine]],'CODE mchn'!$A$4:$C$170,2,0)),"",VLOOKUP(Tableau13[[#This Row],[Code machine]],'CODE mchn'!$A$4:$C$170,2,0))</f>
        <v>Béton</v>
      </c>
      <c r="D852" s="36" t="str">
        <f>IF(ISNA(VLOOKUP(Tableau13[[#This Row],[Code machine]],'CODE mchn'!$A$4:$C$170,3,0)),"",VLOOKUP(Tableau13[[#This Row],[Code machine]],'CODE mchn'!$A$4:$C$170,3,0))</f>
        <v>Poyatos 2</v>
      </c>
      <c r="E852" s="105"/>
      <c r="F852" s="36"/>
      <c r="G852" s="36" t="s">
        <v>185</v>
      </c>
      <c r="H852" s="36" t="s">
        <v>1638</v>
      </c>
      <c r="I852" s="36" t="s">
        <v>19</v>
      </c>
      <c r="J852" s="106" t="s">
        <v>1639</v>
      </c>
      <c r="K852" s="71">
        <v>43988</v>
      </c>
      <c r="L852" s="36"/>
      <c r="M852" s="141">
        <v>1</v>
      </c>
      <c r="N852" s="108">
        <f>MONTH(Tableau13[[#This Row],[Date fin intervention]])</f>
        <v>6</v>
      </c>
      <c r="O852" s="108">
        <f>YEAR(Tableau13[[#This Row],[Date fin intervention]])</f>
        <v>2020</v>
      </c>
      <c r="P852" s="36"/>
    </row>
    <row r="853" spans="1:16" ht="42.75">
      <c r="A853" s="104">
        <v>43988</v>
      </c>
      <c r="B853" s="105">
        <v>581</v>
      </c>
      <c r="C853" s="106" t="str">
        <f>IF(ISNA(VLOOKUP(Tableau13[[#This Row],[Code machine]],'CODE mchn'!$A$4:$C$170,2,0)),"",VLOOKUP(Tableau13[[#This Row],[Code machine]],'CODE mchn'!$A$4:$C$170,2,0))</f>
        <v>Acier</v>
      </c>
      <c r="D853" s="36" t="str">
        <f>IF(ISNA(VLOOKUP(Tableau13[[#This Row],[Code machine]],'CODE mchn'!$A$4:$C$170,3,0)),"",VLOOKUP(Tableau13[[#This Row],[Code machine]],'CODE mchn'!$A$4:$C$170,3,0))</f>
        <v>Teurema 1</v>
      </c>
      <c r="E853" s="105"/>
      <c r="F853" s="36"/>
      <c r="G853" s="36" t="s">
        <v>70</v>
      </c>
      <c r="H853" s="36" t="s">
        <v>520</v>
      </c>
      <c r="I853" s="36" t="s">
        <v>13</v>
      </c>
      <c r="J853" s="106" t="s">
        <v>1647</v>
      </c>
      <c r="K853" s="71">
        <v>43991</v>
      </c>
      <c r="L853" s="36"/>
      <c r="M853" s="141" t="s">
        <v>2259</v>
      </c>
      <c r="N853" s="108">
        <f>MONTH(Tableau13[[#This Row],[Date fin intervention]])</f>
        <v>6</v>
      </c>
      <c r="O853" s="108">
        <f>YEAR(Tableau13[[#This Row],[Date fin intervention]])</f>
        <v>2020</v>
      </c>
      <c r="P853" s="36"/>
    </row>
    <row r="854" spans="1:16">
      <c r="A854" s="104">
        <v>43988</v>
      </c>
      <c r="B854" s="105">
        <v>582</v>
      </c>
      <c r="C854" s="106" t="str">
        <f>IF(ISNA(VLOOKUP(Tableau13[[#This Row],[Code machine]],'CODE mchn'!$A$4:$C$170,2,0)),"",VLOOKUP(Tableau13[[#This Row],[Code machine]],'CODE mchn'!$A$4:$C$170,2,0))</f>
        <v>Acier</v>
      </c>
      <c r="D854" s="36" t="str">
        <f>IF(ISNA(VLOOKUP(Tableau13[[#This Row],[Code machine]],'CODE mchn'!$A$4:$C$170,3,0)),"",VLOOKUP(Tableau13[[#This Row],[Code machine]],'CODE mchn'!$A$4:$C$170,3,0))</f>
        <v>Teurema 2</v>
      </c>
      <c r="E854" s="105"/>
      <c r="F854" s="36"/>
      <c r="G854" s="36" t="s">
        <v>1347</v>
      </c>
      <c r="H854" s="36" t="s">
        <v>810</v>
      </c>
      <c r="I854" s="36" t="s">
        <v>13</v>
      </c>
      <c r="J854" s="106" t="s">
        <v>1648</v>
      </c>
      <c r="K854" s="71">
        <v>43988</v>
      </c>
      <c r="L854" s="36"/>
      <c r="M854" s="141">
        <v>1</v>
      </c>
      <c r="N854" s="108">
        <f>MONTH(Tableau13[[#This Row],[Date fin intervention]])</f>
        <v>6</v>
      </c>
      <c r="O854" s="108">
        <f>YEAR(Tableau13[[#This Row],[Date fin intervention]])</f>
        <v>2020</v>
      </c>
      <c r="P854" s="36"/>
    </row>
    <row r="855" spans="1:16">
      <c r="A855" s="104">
        <v>43988</v>
      </c>
      <c r="B855" s="105">
        <v>590</v>
      </c>
      <c r="C855" s="106" t="str">
        <f>IF(ISNA(VLOOKUP(Tableau13[[#This Row],[Code machine]],'CODE mchn'!$A$4:$C$170,2,0)),"",VLOOKUP(Tableau13[[#This Row],[Code machine]],'CODE mchn'!$A$4:$C$170,2,0))</f>
        <v>Acier</v>
      </c>
      <c r="D855" s="36" t="str">
        <f>IF(ISNA(VLOOKUP(Tableau13[[#This Row],[Code machine]],'CODE mchn'!$A$4:$C$170,3,0)),"",VLOOKUP(Tableau13[[#This Row],[Code machine]],'CODE mchn'!$A$4:$C$170,3,0))</f>
        <v>Teurema 3</v>
      </c>
      <c r="E855" s="105"/>
      <c r="F855" s="36"/>
      <c r="G855" s="36" t="s">
        <v>55</v>
      </c>
      <c r="H855" s="36" t="s">
        <v>1650</v>
      </c>
      <c r="I855" s="36" t="s">
        <v>13</v>
      </c>
      <c r="J855" s="106" t="s">
        <v>896</v>
      </c>
      <c r="K855" s="71">
        <v>43988</v>
      </c>
      <c r="L855" s="36"/>
      <c r="M855" s="141">
        <v>20</v>
      </c>
      <c r="N855" s="108">
        <f>MONTH(Tableau13[[#This Row],[Date fin intervention]])</f>
        <v>6</v>
      </c>
      <c r="O855" s="108">
        <f>YEAR(Tableau13[[#This Row],[Date fin intervention]])</f>
        <v>2020</v>
      </c>
      <c r="P855" s="36"/>
    </row>
    <row r="856" spans="1:16">
      <c r="A856" s="104">
        <v>43988</v>
      </c>
      <c r="B856" s="105">
        <v>582</v>
      </c>
      <c r="C856" s="106" t="str">
        <f>IF(ISNA(VLOOKUP(Tableau13[[#This Row],[Code machine]],'CODE mchn'!$A$4:$C$170,2,0)),"",VLOOKUP(Tableau13[[#This Row],[Code machine]],'CODE mchn'!$A$4:$C$170,2,0))</f>
        <v>Acier</v>
      </c>
      <c r="D856" s="36" t="str">
        <f>IF(ISNA(VLOOKUP(Tableau13[[#This Row],[Code machine]],'CODE mchn'!$A$4:$C$170,3,0)),"",VLOOKUP(Tableau13[[#This Row],[Code machine]],'CODE mchn'!$A$4:$C$170,3,0))</f>
        <v>Teurema 2</v>
      </c>
      <c r="E856" s="105"/>
      <c r="F856" s="36"/>
      <c r="G856" s="36" t="s">
        <v>1649</v>
      </c>
      <c r="H856" s="36" t="s">
        <v>1650</v>
      </c>
      <c r="I856" s="36" t="s">
        <v>13</v>
      </c>
      <c r="J856" s="106" t="s">
        <v>896</v>
      </c>
      <c r="K856" s="71">
        <v>43988</v>
      </c>
      <c r="L856" s="36"/>
      <c r="M856" s="141">
        <v>20</v>
      </c>
      <c r="N856" s="108">
        <f>MONTH(Tableau13[[#This Row],[Date fin intervention]])</f>
        <v>6</v>
      </c>
      <c r="O856" s="108">
        <f>YEAR(Tableau13[[#This Row],[Date fin intervention]])</f>
        <v>2020</v>
      </c>
      <c r="P856" s="36"/>
    </row>
    <row r="857" spans="1:16" ht="28.5">
      <c r="A857" s="104">
        <v>43990</v>
      </c>
      <c r="B857" s="105">
        <v>565</v>
      </c>
      <c r="C857" s="106" t="str">
        <f>IF(ISNA(VLOOKUP(Tableau13[[#This Row],[Code machine]],'CODE mchn'!$A$4:$C$170,2,0)),"",VLOOKUP(Tableau13[[#This Row],[Code machine]],'CODE mchn'!$A$4:$C$170,2,0))</f>
        <v>Acier</v>
      </c>
      <c r="D857" s="36" t="str">
        <f>IF(ISNA(VLOOKUP(Tableau13[[#This Row],[Code machine]],'CODE mchn'!$A$4:$C$170,3,0)),"",VLOOKUP(Tableau13[[#This Row],[Code machine]],'CODE mchn'!$A$4:$C$170,3,0))</f>
        <v>EVG GE12</v>
      </c>
      <c r="E857" s="105"/>
      <c r="F857" s="36"/>
      <c r="G857" s="36" t="s">
        <v>104</v>
      </c>
      <c r="H857" s="36" t="s">
        <v>1636</v>
      </c>
      <c r="I857" s="36" t="s">
        <v>13</v>
      </c>
      <c r="J857" s="106" t="s">
        <v>1637</v>
      </c>
      <c r="K857" s="71">
        <v>43990</v>
      </c>
      <c r="L857" s="36"/>
      <c r="M857" s="141">
        <v>1</v>
      </c>
      <c r="N857" s="108">
        <f>MONTH(Tableau13[[#This Row],[Date fin intervention]])</f>
        <v>6</v>
      </c>
      <c r="O857" s="108">
        <f>YEAR(Tableau13[[#This Row],[Date fin intervention]])</f>
        <v>2020</v>
      </c>
      <c r="P857" s="36"/>
    </row>
    <row r="858" spans="1:16">
      <c r="A858" s="104">
        <v>43991</v>
      </c>
      <c r="B858" s="105">
        <v>582</v>
      </c>
      <c r="C858" s="106" t="str">
        <f>IF(ISNA(VLOOKUP(Tableau13[[#This Row],[Code machine]],'CODE mchn'!$A$4:$C$170,2,0)),"",VLOOKUP(Tableau13[[#This Row],[Code machine]],'CODE mchn'!$A$4:$C$170,2,0))</f>
        <v>Acier</v>
      </c>
      <c r="D858" s="36" t="str">
        <f>IF(ISNA(VLOOKUP(Tableau13[[#This Row],[Code machine]],'CODE mchn'!$A$4:$C$170,3,0)),"",VLOOKUP(Tableau13[[#This Row],[Code machine]],'CODE mchn'!$A$4:$C$170,3,0))</f>
        <v>Teurema 2</v>
      </c>
      <c r="E858" s="105"/>
      <c r="F858" s="36"/>
      <c r="G858" s="36" t="s">
        <v>1651</v>
      </c>
      <c r="H858" s="36" t="s">
        <v>1625</v>
      </c>
      <c r="I858" s="36" t="s">
        <v>13</v>
      </c>
      <c r="J858" s="106" t="s">
        <v>1652</v>
      </c>
      <c r="K858" s="71">
        <v>43991</v>
      </c>
      <c r="L858" s="36"/>
      <c r="M858" s="141">
        <v>3</v>
      </c>
      <c r="N858" s="108">
        <f>MONTH(Tableau13[[#This Row],[Date fin intervention]])</f>
        <v>6</v>
      </c>
      <c r="O858" s="108">
        <f>YEAR(Tableau13[[#This Row],[Date fin intervention]])</f>
        <v>2020</v>
      </c>
      <c r="P858" s="36"/>
    </row>
    <row r="859" spans="1:16" ht="42.75">
      <c r="A859" s="104">
        <v>43991</v>
      </c>
      <c r="B859" s="105">
        <v>582</v>
      </c>
      <c r="C859" s="106" t="str">
        <f>IF(ISNA(VLOOKUP(Tableau13[[#This Row],[Code machine]],'CODE mchn'!$A$4:$C$170,2,0)),"",VLOOKUP(Tableau13[[#This Row],[Code machine]],'CODE mchn'!$A$4:$C$170,2,0))</f>
        <v>Acier</v>
      </c>
      <c r="D859" s="36" t="str">
        <f>IF(ISNA(VLOOKUP(Tableau13[[#This Row],[Code machine]],'CODE mchn'!$A$4:$C$170,3,0)),"",VLOOKUP(Tableau13[[#This Row],[Code machine]],'CODE mchn'!$A$4:$C$170,3,0))</f>
        <v>Teurema 2</v>
      </c>
      <c r="E859" s="105"/>
      <c r="F859" s="36"/>
      <c r="G859" s="36" t="s">
        <v>1653</v>
      </c>
      <c r="H859" s="36" t="s">
        <v>1654</v>
      </c>
      <c r="I859" s="36" t="s">
        <v>13</v>
      </c>
      <c r="J859" s="106" t="s">
        <v>1655</v>
      </c>
      <c r="K859" s="71">
        <v>43992</v>
      </c>
      <c r="L859" s="36"/>
      <c r="M859" s="141" t="s">
        <v>2259</v>
      </c>
      <c r="N859" s="108">
        <f>MONTH(Tableau13[[#This Row],[Date fin intervention]])</f>
        <v>6</v>
      </c>
      <c r="O859" s="108">
        <f>YEAR(Tableau13[[#This Row],[Date fin intervention]])</f>
        <v>2020</v>
      </c>
      <c r="P859" s="36"/>
    </row>
    <row r="860" spans="1:16" ht="28.5">
      <c r="A860" s="104">
        <v>43998</v>
      </c>
      <c r="B860" s="105">
        <v>590</v>
      </c>
      <c r="C860" s="106" t="str">
        <f>IF(ISNA(VLOOKUP(Tableau13[[#This Row],[Code machine]],'CODE mchn'!$A$4:$C$170,2,0)),"",VLOOKUP(Tableau13[[#This Row],[Code machine]],'CODE mchn'!$A$4:$C$170,2,0))</f>
        <v>Acier</v>
      </c>
      <c r="D860" s="36" t="str">
        <f>IF(ISNA(VLOOKUP(Tableau13[[#This Row],[Code machine]],'CODE mchn'!$A$4:$C$170,3,0)),"",VLOOKUP(Tableau13[[#This Row],[Code machine]],'CODE mchn'!$A$4:$C$170,3,0))</f>
        <v>Teurema 3</v>
      </c>
      <c r="E860" s="105"/>
      <c r="F860" s="36"/>
      <c r="G860" s="36" t="s">
        <v>594</v>
      </c>
      <c r="H860" s="36" t="s">
        <v>1656</v>
      </c>
      <c r="I860" s="36" t="s">
        <v>13</v>
      </c>
      <c r="J860" s="106" t="s">
        <v>873</v>
      </c>
      <c r="K860" s="71">
        <v>43998</v>
      </c>
      <c r="L860" s="36"/>
      <c r="M860" s="141">
        <v>1</v>
      </c>
      <c r="N860" s="108">
        <f>MONTH(Tableau13[[#This Row],[Date fin intervention]])</f>
        <v>6</v>
      </c>
      <c r="O860" s="108">
        <f>YEAR(Tableau13[[#This Row],[Date fin intervention]])</f>
        <v>2020</v>
      </c>
      <c r="P860" s="36"/>
    </row>
    <row r="861" spans="1:16">
      <c r="A861" s="104">
        <v>43998</v>
      </c>
      <c r="B861" s="105">
        <v>565</v>
      </c>
      <c r="C861" s="106" t="str">
        <f>IF(ISNA(VLOOKUP(Tableau13[[#This Row],[Code machine]],'CODE mchn'!$A$4:$C$170,2,0)),"",VLOOKUP(Tableau13[[#This Row],[Code machine]],'CODE mchn'!$A$4:$C$170,2,0))</f>
        <v>Acier</v>
      </c>
      <c r="D861" s="36" t="str">
        <f>IF(ISNA(VLOOKUP(Tableau13[[#This Row],[Code machine]],'CODE mchn'!$A$4:$C$170,3,0)),"",VLOOKUP(Tableau13[[#This Row],[Code machine]],'CODE mchn'!$A$4:$C$170,3,0))</f>
        <v>EVG GE12</v>
      </c>
      <c r="E861" s="105"/>
      <c r="F861" s="36"/>
      <c r="G861" s="36" t="s">
        <v>104</v>
      </c>
      <c r="H861" s="36" t="s">
        <v>1518</v>
      </c>
      <c r="I861" s="36" t="s">
        <v>13</v>
      </c>
      <c r="J861" s="106" t="s">
        <v>1657</v>
      </c>
      <c r="K861" s="71">
        <v>43998</v>
      </c>
      <c r="L861" s="36"/>
      <c r="M861" s="141">
        <v>1</v>
      </c>
      <c r="N861" s="108">
        <f>MONTH(Tableau13[[#This Row],[Date fin intervention]])</f>
        <v>6</v>
      </c>
      <c r="O861" s="108">
        <f>YEAR(Tableau13[[#This Row],[Date fin intervention]])</f>
        <v>2020</v>
      </c>
      <c r="P861" s="36"/>
    </row>
    <row r="862" spans="1:16">
      <c r="A862" s="104">
        <v>43998</v>
      </c>
      <c r="B862" s="105">
        <v>571</v>
      </c>
      <c r="C862" s="106" t="str">
        <f>IF(ISNA(VLOOKUP(Tableau13[[#This Row],[Code machine]],'CODE mchn'!$A$4:$C$170,2,0)),"",VLOOKUP(Tableau13[[#This Row],[Code machine]],'CODE mchn'!$A$4:$C$170,2,0))</f>
        <v>Acier</v>
      </c>
      <c r="D862" s="36" t="str">
        <f>IF(ISNA(VLOOKUP(Tableau13[[#This Row],[Code machine]],'CODE mchn'!$A$4:$C$170,3,0)),"",VLOOKUP(Tableau13[[#This Row],[Code machine]],'CODE mchn'!$A$4:$C$170,3,0))</f>
        <v>EVG PN 1</v>
      </c>
      <c r="E862" s="105"/>
      <c r="F862" s="36"/>
      <c r="G862" s="36" t="s">
        <v>474</v>
      </c>
      <c r="H862" s="36" t="s">
        <v>1658</v>
      </c>
      <c r="I862" s="36" t="s">
        <v>13</v>
      </c>
      <c r="J862" s="106" t="s">
        <v>1659</v>
      </c>
      <c r="K862" s="71">
        <v>43998</v>
      </c>
      <c r="L862" s="36"/>
      <c r="M862" s="141">
        <v>1</v>
      </c>
      <c r="N862" s="108">
        <f>MONTH(Tableau13[[#This Row],[Date fin intervention]])</f>
        <v>6</v>
      </c>
      <c r="O862" s="108">
        <f>YEAR(Tableau13[[#This Row],[Date fin intervention]])</f>
        <v>2020</v>
      </c>
      <c r="P862" s="36"/>
    </row>
    <row r="863" spans="1:16" ht="42.75">
      <c r="A863" s="104">
        <v>43998</v>
      </c>
      <c r="B863" s="105">
        <v>581</v>
      </c>
      <c r="C863" s="106" t="str">
        <f>IF(ISNA(VLOOKUP(Tableau13[[#This Row],[Code machine]],'CODE mchn'!$A$4:$C$170,2,0)),"",VLOOKUP(Tableau13[[#This Row],[Code machine]],'CODE mchn'!$A$4:$C$170,2,0))</f>
        <v>Acier</v>
      </c>
      <c r="D863" s="36" t="str">
        <f>IF(ISNA(VLOOKUP(Tableau13[[#This Row],[Code machine]],'CODE mchn'!$A$4:$C$170,3,0)),"",VLOOKUP(Tableau13[[#This Row],[Code machine]],'CODE mchn'!$A$4:$C$170,3,0))</f>
        <v>Teurema 1</v>
      </c>
      <c r="E863" s="105"/>
      <c r="F863" s="36"/>
      <c r="G863" s="36" t="s">
        <v>1660</v>
      </c>
      <c r="H863" s="36" t="s">
        <v>764</v>
      </c>
      <c r="I863" s="36" t="s">
        <v>13</v>
      </c>
      <c r="J863" s="106" t="s">
        <v>1661</v>
      </c>
      <c r="K863" s="71">
        <v>43999</v>
      </c>
      <c r="L863" s="36"/>
      <c r="M863" s="141" t="s">
        <v>2259</v>
      </c>
      <c r="N863" s="108">
        <f>MONTH(Tableau13[[#This Row],[Date fin intervention]])</f>
        <v>6</v>
      </c>
      <c r="O863" s="108">
        <f>YEAR(Tableau13[[#This Row],[Date fin intervention]])</f>
        <v>2020</v>
      </c>
      <c r="P863" s="36"/>
    </row>
    <row r="864" spans="1:16">
      <c r="A864" s="175">
        <v>43998</v>
      </c>
      <c r="B864" s="176">
        <v>700</v>
      </c>
      <c r="C864" s="177" t="str">
        <f>IF(ISNA(VLOOKUP(Tableau13[[#This Row],[Code machine]],'CODE mchn'!$A$4:$C$170,2,0)),"",VLOOKUP(Tableau13[[#This Row],[Code machine]],'CODE mchn'!$A$4:$C$170,2,0))</f>
        <v>Béton</v>
      </c>
      <c r="D864" s="36" t="str">
        <f>IF(ISNA(VLOOKUP(Tableau13[[#This Row],[Code machine]],'CODE mchn'!$A$4:$C$170,3,0)),"",VLOOKUP(Tableau13[[#This Row],[Code machine]],'CODE mchn'!$A$4:$C$170,3,0))</f>
        <v>Poyatos 1</v>
      </c>
      <c r="E864" s="105"/>
      <c r="F864" s="39"/>
      <c r="G864" s="39" t="s">
        <v>20</v>
      </c>
      <c r="H864" s="39" t="s">
        <v>520</v>
      </c>
      <c r="I864" s="39" t="s">
        <v>13</v>
      </c>
      <c r="J864" s="177" t="s">
        <v>1663</v>
      </c>
      <c r="K864" s="178">
        <v>43998</v>
      </c>
      <c r="L864" s="39"/>
      <c r="M864" s="179">
        <v>1</v>
      </c>
      <c r="N864" s="180">
        <f>MONTH(Tableau13[[#This Row],[Date fin intervention]])</f>
        <v>6</v>
      </c>
      <c r="O864" s="180">
        <f>YEAR(Tableau13[[#This Row],[Date fin intervention]])</f>
        <v>2020</v>
      </c>
      <c r="P864" s="39"/>
    </row>
    <row r="865" spans="1:16">
      <c r="A865" s="104">
        <v>43999</v>
      </c>
      <c r="B865" s="105">
        <v>590</v>
      </c>
      <c r="C865" s="106" t="str">
        <f>IF(ISNA(VLOOKUP(Tableau13[[#This Row],[Code machine]],'CODE mchn'!$A$4:$C$170,2,0)),"",VLOOKUP(Tableau13[[#This Row],[Code machine]],'CODE mchn'!$A$4:$C$170,2,0))</f>
        <v>Acier</v>
      </c>
      <c r="D865" s="36" t="str">
        <f>IF(ISNA(VLOOKUP(Tableau13[[#This Row],[Code machine]],'CODE mchn'!$A$4:$C$170,3,0)),"",VLOOKUP(Tableau13[[#This Row],[Code machine]],'CODE mchn'!$A$4:$C$170,3,0))</f>
        <v>Teurema 3</v>
      </c>
      <c r="E865" s="105"/>
      <c r="F865" s="36"/>
      <c r="G865" s="36" t="s">
        <v>1347</v>
      </c>
      <c r="H865" s="36" t="s">
        <v>1672</v>
      </c>
      <c r="I865" s="36" t="s">
        <v>13</v>
      </c>
      <c r="J865" s="106" t="s">
        <v>1673</v>
      </c>
      <c r="K865" s="71">
        <v>43999</v>
      </c>
      <c r="L865" s="36"/>
      <c r="M865" s="141">
        <v>1</v>
      </c>
      <c r="N865" s="108">
        <f>MONTH(Tableau13[[#This Row],[Date fin intervention]])</f>
        <v>6</v>
      </c>
      <c r="O865" s="108">
        <f>YEAR(Tableau13[[#This Row],[Date fin intervention]])</f>
        <v>2020</v>
      </c>
      <c r="P865" s="36"/>
    </row>
    <row r="866" spans="1:16">
      <c r="A866" s="175">
        <v>43999</v>
      </c>
      <c r="B866" s="176">
        <v>800</v>
      </c>
      <c r="C866" s="177" t="str">
        <f>IF(ISNA(VLOOKUP(Tableau13[[#This Row],[Code machine]],'CODE mchn'!$A$4:$C$170,2,0)),"",VLOOKUP(Tableau13[[#This Row],[Code machine]],'CODE mchn'!$A$4:$C$170,2,0))</f>
        <v>Béton</v>
      </c>
      <c r="D866" s="36" t="str">
        <f>IF(ISNA(VLOOKUP(Tableau13[[#This Row],[Code machine]],'CODE mchn'!$A$4:$C$170,3,0)),"",VLOOKUP(Tableau13[[#This Row],[Code machine]],'CODE mchn'!$A$4:$C$170,3,0))</f>
        <v>Poyatos 2</v>
      </c>
      <c r="E866" s="105"/>
      <c r="F866" s="39"/>
      <c r="G866" s="39" t="s">
        <v>213</v>
      </c>
      <c r="H866" s="39" t="s">
        <v>1664</v>
      </c>
      <c r="I866" s="39" t="s">
        <v>13</v>
      </c>
      <c r="J866" s="177" t="s">
        <v>1665</v>
      </c>
      <c r="K866" s="178">
        <v>43999</v>
      </c>
      <c r="L866" s="39"/>
      <c r="M866" s="179">
        <v>1</v>
      </c>
      <c r="N866" s="180">
        <f>MONTH(Tableau13[[#This Row],[Date fin intervention]])</f>
        <v>6</v>
      </c>
      <c r="O866" s="180">
        <f>YEAR(Tableau13[[#This Row],[Date fin intervention]])</f>
        <v>2020</v>
      </c>
      <c r="P866" s="39"/>
    </row>
    <row r="867" spans="1:16" ht="28.5">
      <c r="A867" s="175">
        <v>43999</v>
      </c>
      <c r="B867" s="176">
        <v>562</v>
      </c>
      <c r="C867" s="177" t="str">
        <f>IF(ISNA(VLOOKUP(Tableau13[[#This Row],[Code machine]],'CODE mchn'!$A$4:$C$170,2,0)),"",VLOOKUP(Tableau13[[#This Row],[Code machine]],'CODE mchn'!$A$4:$C$170,2,0))</f>
        <v>Ponts roulants</v>
      </c>
      <c r="D867" s="36" t="str">
        <f>IF(ISNA(VLOOKUP(Tableau13[[#This Row],[Code machine]],'CODE mchn'!$A$4:$C$170,3,0)),"",VLOOKUP(Tableau13[[#This Row],[Code machine]],'CODE mchn'!$A$4:$C$170,3,0))</f>
        <v>Pont roulant GH Beasain 12T</v>
      </c>
      <c r="E867" s="105"/>
      <c r="F867" s="39"/>
      <c r="G867" s="39" t="s">
        <v>1294</v>
      </c>
      <c r="H867" s="39" t="s">
        <v>1675</v>
      </c>
      <c r="I867" s="39" t="s">
        <v>13</v>
      </c>
      <c r="J867" s="177" t="s">
        <v>1676</v>
      </c>
      <c r="K867" s="178">
        <v>43999</v>
      </c>
      <c r="L867" s="39"/>
      <c r="M867" s="179">
        <v>15</v>
      </c>
      <c r="N867" s="180">
        <f>MONTH(Tableau13[[#This Row],[Date fin intervention]])</f>
        <v>6</v>
      </c>
      <c r="O867" s="180">
        <f>YEAR(Tableau13[[#This Row],[Date fin intervention]])</f>
        <v>2020</v>
      </c>
      <c r="P867" s="39"/>
    </row>
    <row r="868" spans="1:16" ht="42.75">
      <c r="A868" s="175">
        <v>44000</v>
      </c>
      <c r="B868" s="176">
        <v>800</v>
      </c>
      <c r="C868" s="177" t="str">
        <f>IF(ISNA(VLOOKUP(Tableau13[[#This Row],[Code machine]],'CODE mchn'!$A$4:$C$170,2,0)),"",VLOOKUP(Tableau13[[#This Row],[Code machine]],'CODE mchn'!$A$4:$C$170,2,0))</f>
        <v>Béton</v>
      </c>
      <c r="D868" s="36" t="str">
        <f>IF(ISNA(VLOOKUP(Tableau13[[#This Row],[Code machine]],'CODE mchn'!$A$4:$C$170,3,0)),"",VLOOKUP(Tableau13[[#This Row],[Code machine]],'CODE mchn'!$A$4:$C$170,3,0))</f>
        <v>Poyatos 2</v>
      </c>
      <c r="E868" s="105"/>
      <c r="F868" s="39"/>
      <c r="G868" s="39" t="s">
        <v>1666</v>
      </c>
      <c r="H868" s="39" t="s">
        <v>1667</v>
      </c>
      <c r="I868" s="39" t="s">
        <v>13</v>
      </c>
      <c r="J868" s="177" t="s">
        <v>1668</v>
      </c>
      <c r="K868" s="178">
        <v>44002</v>
      </c>
      <c r="L868" s="39"/>
      <c r="M868" s="179" t="s">
        <v>2259</v>
      </c>
      <c r="N868" s="180">
        <f>MONTH(Tableau13[[#This Row],[Date fin intervention]])</f>
        <v>6</v>
      </c>
      <c r="O868" s="180">
        <f>YEAR(Tableau13[[#This Row],[Date fin intervention]])</f>
        <v>2020</v>
      </c>
      <c r="P868" s="39"/>
    </row>
    <row r="869" spans="1:16">
      <c r="A869" s="175">
        <v>44000</v>
      </c>
      <c r="B869" s="176">
        <v>571</v>
      </c>
      <c r="C869" s="177" t="str">
        <f>IF(ISNA(VLOOKUP(Tableau13[[#This Row],[Code machine]],'CODE mchn'!$A$4:$C$170,2,0)),"",VLOOKUP(Tableau13[[#This Row],[Code machine]],'CODE mchn'!$A$4:$C$170,2,0))</f>
        <v>Acier</v>
      </c>
      <c r="D869" s="36" t="str">
        <f>IF(ISNA(VLOOKUP(Tableau13[[#This Row],[Code machine]],'CODE mchn'!$A$4:$C$170,3,0)),"",VLOOKUP(Tableau13[[#This Row],[Code machine]],'CODE mchn'!$A$4:$C$170,3,0))</f>
        <v>EVG PN 1</v>
      </c>
      <c r="E869" s="105"/>
      <c r="F869" s="39"/>
      <c r="G869" s="39" t="s">
        <v>75</v>
      </c>
      <c r="H869" s="39" t="s">
        <v>1677</v>
      </c>
      <c r="I869" s="39" t="s">
        <v>13</v>
      </c>
      <c r="J869" s="177" t="s">
        <v>1678</v>
      </c>
      <c r="K869" s="178">
        <v>44000</v>
      </c>
      <c r="L869" s="39"/>
      <c r="M869" s="179">
        <v>1</v>
      </c>
      <c r="N869" s="180">
        <f>MONTH(Tableau13[[#This Row],[Date fin intervention]])</f>
        <v>6</v>
      </c>
      <c r="O869" s="180">
        <f>YEAR(Tableau13[[#This Row],[Date fin intervention]])</f>
        <v>2020</v>
      </c>
      <c r="P869" s="39"/>
    </row>
    <row r="870" spans="1:16" ht="42.75">
      <c r="A870" s="104">
        <v>44001</v>
      </c>
      <c r="B870" s="105">
        <v>562</v>
      </c>
      <c r="C870" s="106" t="str">
        <f>IF(ISNA(VLOOKUP(Tableau13[[#This Row],[Code machine]],'CODE mchn'!$A$4:$C$170,2,0)),"",VLOOKUP(Tableau13[[#This Row],[Code machine]],'CODE mchn'!$A$4:$C$170,2,0))</f>
        <v>Ponts roulants</v>
      </c>
      <c r="D870" s="36" t="str">
        <f>IF(ISNA(VLOOKUP(Tableau13[[#This Row],[Code machine]],'CODE mchn'!$A$4:$C$170,3,0)),"",VLOOKUP(Tableau13[[#This Row],[Code machine]],'CODE mchn'!$A$4:$C$170,3,0))</f>
        <v>Pont roulant GH Beasain 12T</v>
      </c>
      <c r="E870" s="105"/>
      <c r="F870" s="36"/>
      <c r="G870" s="36" t="s">
        <v>1159</v>
      </c>
      <c r="H870" s="36" t="s">
        <v>1662</v>
      </c>
      <c r="I870" s="36" t="s">
        <v>13</v>
      </c>
      <c r="J870" s="106" t="s">
        <v>725</v>
      </c>
      <c r="K870" s="71">
        <v>44003</v>
      </c>
      <c r="L870" s="36"/>
      <c r="M870" s="141" t="s">
        <v>2259</v>
      </c>
      <c r="N870" s="108">
        <f>MONTH(Tableau13[[#This Row],[Date fin intervention]])</f>
        <v>6</v>
      </c>
      <c r="O870" s="108">
        <f>YEAR(Tableau13[[#This Row],[Date fin intervention]])</f>
        <v>2020</v>
      </c>
      <c r="P870" s="36"/>
    </row>
    <row r="871" spans="1:16" ht="42.75">
      <c r="A871" s="175">
        <v>44001</v>
      </c>
      <c r="B871" s="176">
        <v>581</v>
      </c>
      <c r="C871" s="177" t="str">
        <f>IF(ISNA(VLOOKUP(Tableau13[[#This Row],[Code machine]],'CODE mchn'!$A$4:$C$170,2,0)),"",VLOOKUP(Tableau13[[#This Row],[Code machine]],'CODE mchn'!$A$4:$C$170,2,0))</f>
        <v>Acier</v>
      </c>
      <c r="D871" s="36" t="str">
        <f>IF(ISNA(VLOOKUP(Tableau13[[#This Row],[Code machine]],'CODE mchn'!$A$4:$C$170,3,0)),"",VLOOKUP(Tableau13[[#This Row],[Code machine]],'CODE mchn'!$A$4:$C$170,3,0))</f>
        <v>Teurema 1</v>
      </c>
      <c r="E871" s="105"/>
      <c r="F871" s="39"/>
      <c r="G871" s="39" t="s">
        <v>78</v>
      </c>
      <c r="H871" s="39" t="s">
        <v>1681</v>
      </c>
      <c r="I871" s="39" t="s">
        <v>13</v>
      </c>
      <c r="J871" s="177" t="s">
        <v>1682</v>
      </c>
      <c r="K871" s="178">
        <v>44003</v>
      </c>
      <c r="L871" s="39"/>
      <c r="M871" s="179" t="s">
        <v>2259</v>
      </c>
      <c r="N871" s="180">
        <f>MONTH(Tableau13[[#This Row],[Date fin intervention]])</f>
        <v>6</v>
      </c>
      <c r="O871" s="180">
        <f>YEAR(Tableau13[[#This Row],[Date fin intervention]])</f>
        <v>2020</v>
      </c>
      <c r="P871" s="39"/>
    </row>
    <row r="872" spans="1:16">
      <c r="A872" s="175">
        <v>44001</v>
      </c>
      <c r="B872" s="176">
        <v>700</v>
      </c>
      <c r="C872" s="177" t="str">
        <f>IF(ISNA(VLOOKUP(Tableau13[[#This Row],[Code machine]],'CODE mchn'!$A$4:$C$170,2,0)),"",VLOOKUP(Tableau13[[#This Row],[Code machine]],'CODE mchn'!$A$4:$C$170,2,0))</f>
        <v>Béton</v>
      </c>
      <c r="D872" s="36" t="str">
        <f>IF(ISNA(VLOOKUP(Tableau13[[#This Row],[Code machine]],'CODE mchn'!$A$4:$C$170,3,0)),"",VLOOKUP(Tableau13[[#This Row],[Code machine]],'CODE mchn'!$A$4:$C$170,3,0))</f>
        <v>Poyatos 1</v>
      </c>
      <c r="E872" s="105"/>
      <c r="F872" s="39"/>
      <c r="G872" s="39" t="s">
        <v>213</v>
      </c>
      <c r="H872" s="39" t="s">
        <v>408</v>
      </c>
      <c r="I872" s="39" t="s">
        <v>13</v>
      </c>
      <c r="J872" s="177" t="s">
        <v>1669</v>
      </c>
      <c r="K872" s="178">
        <v>44001</v>
      </c>
      <c r="L872" s="39"/>
      <c r="M872" s="179">
        <v>30</v>
      </c>
      <c r="N872" s="180">
        <f>MONTH(Tableau13[[#This Row],[Date fin intervention]])</f>
        <v>6</v>
      </c>
      <c r="O872" s="180">
        <f>YEAR(Tableau13[[#This Row],[Date fin intervention]])</f>
        <v>2020</v>
      </c>
      <c r="P872" s="39"/>
    </row>
    <row r="873" spans="1:16">
      <c r="A873" s="175">
        <v>44001</v>
      </c>
      <c r="B873" s="176">
        <v>560</v>
      </c>
      <c r="C873" s="177" t="str">
        <f>IF(ISNA(VLOOKUP(Tableau13[[#This Row],[Code machine]],'CODE mchn'!$A$4:$C$170,2,0)),"",VLOOKUP(Tableau13[[#This Row],[Code machine]],'CODE mchn'!$A$4:$C$170,2,0))</f>
        <v>Acier</v>
      </c>
      <c r="D873" s="36" t="str">
        <f>IF(ISNA(VLOOKUP(Tableau13[[#This Row],[Code machine]],'CODE mchn'!$A$4:$C$170,3,0)),"",VLOOKUP(Tableau13[[#This Row],[Code machine]],'CODE mchn'!$A$4:$C$170,3,0))</f>
        <v>Schlatter</v>
      </c>
      <c r="E873" s="105"/>
      <c r="F873" s="39"/>
      <c r="G873" s="39" t="s">
        <v>145</v>
      </c>
      <c r="H873" s="39" t="s">
        <v>1679</v>
      </c>
      <c r="I873" s="39" t="s">
        <v>13</v>
      </c>
      <c r="J873" s="177" t="s">
        <v>1680</v>
      </c>
      <c r="K873" s="178">
        <v>44001</v>
      </c>
      <c r="L873" s="39"/>
      <c r="M873" s="179">
        <v>1</v>
      </c>
      <c r="N873" s="180">
        <f>MONTH(Tableau13[[#This Row],[Date fin intervention]])</f>
        <v>6</v>
      </c>
      <c r="O873" s="180">
        <f>YEAR(Tableau13[[#This Row],[Date fin intervention]])</f>
        <v>2020</v>
      </c>
      <c r="P873" s="39"/>
    </row>
    <row r="874" spans="1:16">
      <c r="A874" s="175">
        <v>44002</v>
      </c>
      <c r="B874" s="176">
        <v>700</v>
      </c>
      <c r="C874" s="177" t="str">
        <f>IF(ISNA(VLOOKUP(Tableau13[[#This Row],[Code machine]],'CODE mchn'!$A$4:$C$170,2,0)),"",VLOOKUP(Tableau13[[#This Row],[Code machine]],'CODE mchn'!$A$4:$C$170,2,0))</f>
        <v>Béton</v>
      </c>
      <c r="D874" s="36" t="str">
        <f>IF(ISNA(VLOOKUP(Tableau13[[#This Row],[Code machine]],'CODE mchn'!$A$4:$C$170,3,0)),"",VLOOKUP(Tableau13[[#This Row],[Code machine]],'CODE mchn'!$A$4:$C$170,3,0))</f>
        <v>Poyatos 1</v>
      </c>
      <c r="E874" s="105"/>
      <c r="F874" s="39"/>
      <c r="G874" s="39" t="s">
        <v>394</v>
      </c>
      <c r="H874" s="39" t="s">
        <v>1670</v>
      </c>
      <c r="I874" s="39" t="s">
        <v>13</v>
      </c>
      <c r="J874" s="177" t="s">
        <v>1671</v>
      </c>
      <c r="K874" s="178">
        <v>44002</v>
      </c>
      <c r="L874" s="39"/>
      <c r="M874" s="179" t="s">
        <v>1674</v>
      </c>
      <c r="N874" s="180">
        <f>MONTH(Tableau13[[#This Row],[Date fin intervention]])</f>
        <v>6</v>
      </c>
      <c r="O874" s="180">
        <f>YEAR(Tableau13[[#This Row],[Date fin intervention]])</f>
        <v>2020</v>
      </c>
      <c r="P874" s="39"/>
    </row>
    <row r="875" spans="1:16">
      <c r="A875" s="175">
        <v>44002</v>
      </c>
      <c r="B875" s="176">
        <v>582</v>
      </c>
      <c r="C875" s="177" t="str">
        <f>IF(ISNA(VLOOKUP(Tableau13[[#This Row],[Code machine]],'CODE mchn'!$A$4:$C$170,2,0)),"",VLOOKUP(Tableau13[[#This Row],[Code machine]],'CODE mchn'!$A$4:$C$170,2,0))</f>
        <v>Acier</v>
      </c>
      <c r="D875" s="36" t="str">
        <f>IF(ISNA(VLOOKUP(Tableau13[[#This Row],[Code machine]],'CODE mchn'!$A$4:$C$170,3,0)),"",VLOOKUP(Tableau13[[#This Row],[Code machine]],'CODE mchn'!$A$4:$C$170,3,0))</f>
        <v>Teurema 2</v>
      </c>
      <c r="E875" s="105"/>
      <c r="F875" s="39"/>
      <c r="G875" s="39" t="s">
        <v>1653</v>
      </c>
      <c r="H875" s="39" t="s">
        <v>1650</v>
      </c>
      <c r="I875" s="39" t="s">
        <v>13</v>
      </c>
      <c r="J875" s="177" t="s">
        <v>896</v>
      </c>
      <c r="K875" s="178">
        <v>44002</v>
      </c>
      <c r="L875" s="39"/>
      <c r="M875" s="179">
        <v>30</v>
      </c>
      <c r="N875" s="180">
        <f>MONTH(Tableau13[[#This Row],[Date fin intervention]])</f>
        <v>6</v>
      </c>
      <c r="O875" s="180">
        <f>YEAR(Tableau13[[#This Row],[Date fin intervention]])</f>
        <v>2020</v>
      </c>
      <c r="P875" s="39"/>
    </row>
    <row r="876" spans="1:16" ht="42.75">
      <c r="A876" s="175">
        <v>44004</v>
      </c>
      <c r="B876" s="176">
        <v>700</v>
      </c>
      <c r="C876" s="177" t="str">
        <f>IF(ISNA(VLOOKUP(Tableau13[[#This Row],[Code machine]],'CODE mchn'!$A$4:$C$170,2,0)),"",VLOOKUP(Tableau13[[#This Row],[Code machine]],'CODE mchn'!$A$4:$C$170,2,0))</f>
        <v>Béton</v>
      </c>
      <c r="D876" s="36" t="str">
        <f>IF(ISNA(VLOOKUP(Tableau13[[#This Row],[Code machine]],'CODE mchn'!$A$4:$C$170,3,0)),"",VLOOKUP(Tableau13[[#This Row],[Code machine]],'CODE mchn'!$A$4:$C$170,3,0))</f>
        <v>Poyatos 1</v>
      </c>
      <c r="E876" s="105"/>
      <c r="F876" s="39"/>
      <c r="G876" s="39" t="s">
        <v>1666</v>
      </c>
      <c r="H876" s="39" t="s">
        <v>1667</v>
      </c>
      <c r="I876" s="39" t="s">
        <v>13</v>
      </c>
      <c r="J876" s="177" t="s">
        <v>1668</v>
      </c>
      <c r="K876" s="178">
        <v>44009</v>
      </c>
      <c r="L876" s="39"/>
      <c r="M876" s="179" t="s">
        <v>2259</v>
      </c>
      <c r="N876" s="180">
        <f>MONTH(Tableau13[[#This Row],[Date fin intervention]])</f>
        <v>6</v>
      </c>
      <c r="O876" s="180">
        <f>YEAR(Tableau13[[#This Row],[Date fin intervention]])</f>
        <v>2020</v>
      </c>
      <c r="P876" s="39"/>
    </row>
    <row r="877" spans="1:16" ht="42.75">
      <c r="A877" s="175">
        <v>44004</v>
      </c>
      <c r="B877" s="176">
        <v>700</v>
      </c>
      <c r="C877" s="177" t="str">
        <f>IF(ISNA(VLOOKUP(Tableau13[[#This Row],[Code machine]],'CODE mchn'!$A$4:$C$170,2,0)),"",VLOOKUP(Tableau13[[#This Row],[Code machine]],'CODE mchn'!$A$4:$C$170,2,0))</f>
        <v>Béton</v>
      </c>
      <c r="D877" s="36" t="str">
        <f>IF(ISNA(VLOOKUP(Tableau13[[#This Row],[Code machine]],'CODE mchn'!$A$4:$C$170,3,0)),"",VLOOKUP(Tableau13[[#This Row],[Code machine]],'CODE mchn'!$A$4:$C$170,3,0))</f>
        <v>Poyatos 1</v>
      </c>
      <c r="E877" s="105"/>
      <c r="F877" s="39"/>
      <c r="G877" s="39" t="s">
        <v>20</v>
      </c>
      <c r="H877" s="39" t="s">
        <v>1683</v>
      </c>
      <c r="I877" s="39" t="s">
        <v>13</v>
      </c>
      <c r="J877" s="177" t="s">
        <v>1684</v>
      </c>
      <c r="K877" s="178">
        <v>44005</v>
      </c>
      <c r="L877" s="39"/>
      <c r="M877" s="179" t="s">
        <v>2259</v>
      </c>
      <c r="N877" s="180">
        <f>MONTH(Tableau13[[#This Row],[Date fin intervention]])</f>
        <v>6</v>
      </c>
      <c r="O877" s="180">
        <f>YEAR(Tableau13[[#This Row],[Date fin intervention]])</f>
        <v>2020</v>
      </c>
      <c r="P877" s="39"/>
    </row>
    <row r="878" spans="1:16">
      <c r="A878" s="175">
        <v>44005</v>
      </c>
      <c r="B878" s="176">
        <v>800</v>
      </c>
      <c r="C878" s="177" t="str">
        <f>IF(ISNA(VLOOKUP(Tableau13[[#This Row],[Code machine]],'CODE mchn'!$A$4:$C$170,2,0)),"",VLOOKUP(Tableau13[[#This Row],[Code machine]],'CODE mchn'!$A$4:$C$170,2,0))</f>
        <v>Béton</v>
      </c>
      <c r="D878" s="36" t="str">
        <f>IF(ISNA(VLOOKUP(Tableau13[[#This Row],[Code machine]],'CODE mchn'!$A$4:$C$170,3,0)),"",VLOOKUP(Tableau13[[#This Row],[Code machine]],'CODE mchn'!$A$4:$C$170,3,0))</f>
        <v>Poyatos 2</v>
      </c>
      <c r="E878" s="105"/>
      <c r="F878" s="39"/>
      <c r="G878" s="39" t="s">
        <v>394</v>
      </c>
      <c r="H878" s="39" t="s">
        <v>1685</v>
      </c>
      <c r="I878" s="39" t="s">
        <v>13</v>
      </c>
      <c r="J878" s="177" t="s">
        <v>1686</v>
      </c>
      <c r="K878" s="178">
        <v>44005</v>
      </c>
      <c r="L878" s="39"/>
      <c r="M878" s="179">
        <v>20</v>
      </c>
      <c r="N878" s="180">
        <f>MONTH(Tableau13[[#This Row],[Date fin intervention]])</f>
        <v>6</v>
      </c>
      <c r="O878" s="180">
        <f>YEAR(Tableau13[[#This Row],[Date fin intervention]])</f>
        <v>2020</v>
      </c>
      <c r="P878" s="39"/>
    </row>
    <row r="879" spans="1:16">
      <c r="A879" s="175">
        <v>44006</v>
      </c>
      <c r="B879" s="176">
        <v>700</v>
      </c>
      <c r="C879" s="177" t="str">
        <f>IF(ISNA(VLOOKUP(Tableau13[[#This Row],[Code machine]],'CODE mchn'!$A$4:$C$170,2,0)),"",VLOOKUP(Tableau13[[#This Row],[Code machine]],'CODE mchn'!$A$4:$C$170,2,0))</f>
        <v>Béton</v>
      </c>
      <c r="D879" s="36" t="str">
        <f>IF(ISNA(VLOOKUP(Tableau13[[#This Row],[Code machine]],'CODE mchn'!$A$4:$C$170,3,0)),"",VLOOKUP(Tableau13[[#This Row],[Code machine]],'CODE mchn'!$A$4:$C$170,3,0))</f>
        <v>Poyatos 1</v>
      </c>
      <c r="E879" s="105"/>
      <c r="F879" s="39"/>
      <c r="G879" s="39" t="s">
        <v>128</v>
      </c>
      <c r="H879" s="39" t="s">
        <v>1687</v>
      </c>
      <c r="I879" s="39" t="s">
        <v>13</v>
      </c>
      <c r="J879" s="177" t="s">
        <v>1688</v>
      </c>
      <c r="K879" s="178">
        <v>44006</v>
      </c>
      <c r="L879" s="39"/>
      <c r="M879" s="179">
        <v>1</v>
      </c>
      <c r="N879" s="180">
        <f>MONTH(Tableau13[[#This Row],[Date fin intervention]])</f>
        <v>6</v>
      </c>
      <c r="O879" s="180">
        <f>YEAR(Tableau13[[#This Row],[Date fin intervention]])</f>
        <v>2020</v>
      </c>
      <c r="P879" s="39"/>
    </row>
    <row r="880" spans="1:16">
      <c r="A880" s="175">
        <v>44007</v>
      </c>
      <c r="B880" s="176">
        <v>700</v>
      </c>
      <c r="C880" s="177" t="str">
        <f>IF(ISNA(VLOOKUP(Tableau13[[#This Row],[Code machine]],'CODE mchn'!$A$4:$C$170,2,0)),"",VLOOKUP(Tableau13[[#This Row],[Code machine]],'CODE mchn'!$A$4:$C$170,2,0))</f>
        <v>Béton</v>
      </c>
      <c r="D880" s="36" t="str">
        <f>IF(ISNA(VLOOKUP(Tableau13[[#This Row],[Code machine]],'CODE mchn'!$A$4:$C$170,3,0)),"",VLOOKUP(Tableau13[[#This Row],[Code machine]],'CODE mchn'!$A$4:$C$170,3,0))</f>
        <v>Poyatos 1</v>
      </c>
      <c r="E880" s="105"/>
      <c r="F880" s="39"/>
      <c r="G880" s="39" t="s">
        <v>291</v>
      </c>
      <c r="H880" s="39" t="s">
        <v>1689</v>
      </c>
      <c r="I880" s="39" t="s">
        <v>13</v>
      </c>
      <c r="J880" s="177" t="s">
        <v>1690</v>
      </c>
      <c r="K880" s="178">
        <v>44007</v>
      </c>
      <c r="L880" s="39"/>
      <c r="M880" s="179">
        <v>1</v>
      </c>
      <c r="N880" s="180">
        <f>MONTH(Tableau13[[#This Row],[Date fin intervention]])</f>
        <v>6</v>
      </c>
      <c r="O880" s="180">
        <f>YEAR(Tableau13[[#This Row],[Date fin intervention]])</f>
        <v>2020</v>
      </c>
      <c r="P880" s="39"/>
    </row>
    <row r="881" spans="1:16" ht="42.75">
      <c r="A881" s="175">
        <v>44008</v>
      </c>
      <c r="B881" s="176">
        <v>700</v>
      </c>
      <c r="C881" s="177" t="str">
        <f>IF(ISNA(VLOOKUP(Tableau13[[#This Row],[Code machine]],'CODE mchn'!$A$4:$C$170,2,0)),"",VLOOKUP(Tableau13[[#This Row],[Code machine]],'CODE mchn'!$A$4:$C$170,2,0))</f>
        <v>Béton</v>
      </c>
      <c r="D881" s="36" t="str">
        <f>IF(ISNA(VLOOKUP(Tableau13[[#This Row],[Code machine]],'CODE mchn'!$A$4:$C$170,3,0)),"",VLOOKUP(Tableau13[[#This Row],[Code machine]],'CODE mchn'!$A$4:$C$170,3,0))</f>
        <v>Poyatos 1</v>
      </c>
      <c r="E881" s="105"/>
      <c r="F881" s="39"/>
      <c r="G881" s="39" t="s">
        <v>185</v>
      </c>
      <c r="H881" s="39" t="s">
        <v>1691</v>
      </c>
      <c r="I881" s="39" t="s">
        <v>13</v>
      </c>
      <c r="J881" s="177" t="s">
        <v>1692</v>
      </c>
      <c r="K881" s="178">
        <v>44009</v>
      </c>
      <c r="L881" s="39"/>
      <c r="M881" s="179" t="s">
        <v>2259</v>
      </c>
      <c r="N881" s="180">
        <f>MONTH(Tableau13[[#This Row],[Date fin intervention]])</f>
        <v>6</v>
      </c>
      <c r="O881" s="180">
        <f>YEAR(Tableau13[[#This Row],[Date fin intervention]])</f>
        <v>2020</v>
      </c>
      <c r="P881" s="39"/>
    </row>
    <row r="882" spans="1:16">
      <c r="A882" s="175">
        <v>44013</v>
      </c>
      <c r="B882" s="176">
        <v>565</v>
      </c>
      <c r="C882" s="177" t="str">
        <f>IF(ISNA(VLOOKUP(Tableau13[[#This Row],[Code machine]],'CODE mchn'!$A$4:$C$170,2,0)),"",VLOOKUP(Tableau13[[#This Row],[Code machine]],'CODE mchn'!$A$4:$C$170,2,0))</f>
        <v>Acier</v>
      </c>
      <c r="D882" s="36" t="str">
        <f>IF(ISNA(VLOOKUP(Tableau13[[#This Row],[Code machine]],'CODE mchn'!$A$4:$C$170,3,0)),"",VLOOKUP(Tableau13[[#This Row],[Code machine]],'CODE mchn'!$A$4:$C$170,3,0))</f>
        <v>EVG GE12</v>
      </c>
      <c r="E882" s="105"/>
      <c r="F882" s="39"/>
      <c r="G882" s="39" t="s">
        <v>463</v>
      </c>
      <c r="H882" s="39" t="s">
        <v>1742</v>
      </c>
      <c r="I882" s="39" t="s">
        <v>13</v>
      </c>
      <c r="J882" s="177" t="s">
        <v>1743</v>
      </c>
      <c r="K882" s="178">
        <v>44013</v>
      </c>
      <c r="L882" s="39"/>
      <c r="M882" s="179">
        <v>2</v>
      </c>
      <c r="N882" s="180">
        <f>MONTH(Tableau13[[#This Row],[Date fin intervention]])</f>
        <v>7</v>
      </c>
      <c r="O882" s="180">
        <f>YEAR(Tableau13[[#This Row],[Date fin intervention]])</f>
        <v>2020</v>
      </c>
      <c r="P882" s="39"/>
    </row>
    <row r="883" spans="1:16">
      <c r="A883" s="175">
        <v>44013</v>
      </c>
      <c r="B883" s="176">
        <v>581</v>
      </c>
      <c r="C883" s="177" t="str">
        <f>IF(ISNA(VLOOKUP(Tableau13[[#This Row],[Code machine]],'CODE mchn'!$A$4:$C$170,2,0)),"",VLOOKUP(Tableau13[[#This Row],[Code machine]],'CODE mchn'!$A$4:$C$170,2,0))</f>
        <v>Acier</v>
      </c>
      <c r="D883" s="36" t="str">
        <f>IF(ISNA(VLOOKUP(Tableau13[[#This Row],[Code machine]],'CODE mchn'!$A$4:$C$170,3,0)),"",VLOOKUP(Tableau13[[#This Row],[Code machine]],'CODE mchn'!$A$4:$C$170,3,0))</f>
        <v>Teurema 1</v>
      </c>
      <c r="E883" s="105"/>
      <c r="F883" s="39"/>
      <c r="G883" s="39" t="s">
        <v>921</v>
      </c>
      <c r="H883" s="39" t="s">
        <v>1744</v>
      </c>
      <c r="I883" s="39" t="s">
        <v>13</v>
      </c>
      <c r="J883" s="177" t="s">
        <v>1451</v>
      </c>
      <c r="K883" s="178">
        <v>44013</v>
      </c>
      <c r="L883" s="39"/>
      <c r="M883" s="179">
        <v>2</v>
      </c>
      <c r="N883" s="180">
        <f>MONTH(Tableau13[[#This Row],[Date fin intervention]])</f>
        <v>7</v>
      </c>
      <c r="O883" s="180">
        <f>YEAR(Tableau13[[#This Row],[Date fin intervention]])</f>
        <v>2020</v>
      </c>
      <c r="P883" s="39"/>
    </row>
    <row r="884" spans="1:16">
      <c r="A884" s="175">
        <v>44014</v>
      </c>
      <c r="B884" s="176">
        <v>606</v>
      </c>
      <c r="C884" s="177" t="str">
        <f>IF(ISNA(VLOOKUP(Tableau13[[#This Row],[Code machine]],'CODE mchn'!$A$4:$C$170,2,0)),"",VLOOKUP(Tableau13[[#This Row],[Code machine]],'CODE mchn'!$A$4:$C$170,2,0))</f>
        <v>Acier</v>
      </c>
      <c r="D884" s="36" t="str">
        <f>IF(ISNA(VLOOKUP(Tableau13[[#This Row],[Code machine]],'CODE mchn'!$A$4:$C$170,3,0)),"",VLOOKUP(Tableau13[[#This Row],[Code machine]],'CODE mchn'!$A$4:$C$170,3,0))</f>
        <v>Vitari 2</v>
      </c>
      <c r="E884" s="105"/>
      <c r="F884" s="39"/>
      <c r="G884" s="39" t="s">
        <v>10</v>
      </c>
      <c r="H884" s="39" t="s">
        <v>1745</v>
      </c>
      <c r="I884" s="39" t="s">
        <v>13</v>
      </c>
      <c r="J884" s="177" t="s">
        <v>1746</v>
      </c>
      <c r="K884" s="178">
        <v>44014</v>
      </c>
      <c r="L884" s="39"/>
      <c r="M884" s="179">
        <v>1</v>
      </c>
      <c r="N884" s="180">
        <f>MONTH(Tableau13[[#This Row],[Date fin intervention]])</f>
        <v>7</v>
      </c>
      <c r="O884" s="180">
        <f>YEAR(Tableau13[[#This Row],[Date fin intervention]])</f>
        <v>2020</v>
      </c>
      <c r="P884" s="39"/>
    </row>
    <row r="885" spans="1:16">
      <c r="A885" s="175">
        <v>44015</v>
      </c>
      <c r="B885" s="176">
        <v>582</v>
      </c>
      <c r="C885" s="177" t="str">
        <f>IF(ISNA(VLOOKUP(Tableau13[[#This Row],[Code machine]],'CODE mchn'!$A$4:$C$170,2,0)),"",VLOOKUP(Tableau13[[#This Row],[Code machine]],'CODE mchn'!$A$4:$C$170,2,0))</f>
        <v>Acier</v>
      </c>
      <c r="D885" s="36" t="str">
        <f>IF(ISNA(VLOOKUP(Tableau13[[#This Row],[Code machine]],'CODE mchn'!$A$4:$C$170,3,0)),"",VLOOKUP(Tableau13[[#This Row],[Code machine]],'CODE mchn'!$A$4:$C$170,3,0))</f>
        <v>Teurema 2</v>
      </c>
      <c r="E885" s="105"/>
      <c r="F885" s="39"/>
      <c r="G885" s="39" t="s">
        <v>161</v>
      </c>
      <c r="H885" s="39" t="s">
        <v>1710</v>
      </c>
      <c r="I885" s="39" t="s">
        <v>13</v>
      </c>
      <c r="J885" s="177" t="s">
        <v>1711</v>
      </c>
      <c r="K885" s="178">
        <v>44015</v>
      </c>
      <c r="L885" s="39"/>
      <c r="M885" s="179">
        <v>1</v>
      </c>
      <c r="N885" s="180">
        <f>MONTH(Tableau13[[#This Row],[Date fin intervention]])</f>
        <v>7</v>
      </c>
      <c r="O885" s="180">
        <f>YEAR(Tableau13[[#This Row],[Date fin intervention]])</f>
        <v>2020</v>
      </c>
      <c r="P885" s="39"/>
    </row>
    <row r="886" spans="1:16">
      <c r="A886" s="175">
        <v>44016</v>
      </c>
      <c r="B886" s="176">
        <v>582</v>
      </c>
      <c r="C886" s="177" t="str">
        <f>IF(ISNA(VLOOKUP(Tableau13[[#This Row],[Code machine]],'CODE mchn'!$A$4:$C$170,2,0)),"",VLOOKUP(Tableau13[[#This Row],[Code machine]],'CODE mchn'!$A$4:$C$170,2,0))</f>
        <v>Acier</v>
      </c>
      <c r="D886" s="36" t="str">
        <f>IF(ISNA(VLOOKUP(Tableau13[[#This Row],[Code machine]],'CODE mchn'!$A$4:$C$170,3,0)),"",VLOOKUP(Tableau13[[#This Row],[Code machine]],'CODE mchn'!$A$4:$C$170,3,0))</f>
        <v>Teurema 2</v>
      </c>
      <c r="E886" s="105"/>
      <c r="F886" s="39"/>
      <c r="G886" s="39" t="s">
        <v>78</v>
      </c>
      <c r="H886" s="39" t="s">
        <v>1744</v>
      </c>
      <c r="I886" s="39" t="s">
        <v>13</v>
      </c>
      <c r="J886" s="177" t="s">
        <v>1747</v>
      </c>
      <c r="K886" s="178">
        <v>44016</v>
      </c>
      <c r="L886" s="39"/>
      <c r="M886" s="179">
        <v>2</v>
      </c>
      <c r="N886" s="180">
        <f>MONTH(Tableau13[[#This Row],[Date fin intervention]])</f>
        <v>7</v>
      </c>
      <c r="O886" s="180">
        <f>YEAR(Tableau13[[#This Row],[Date fin intervention]])</f>
        <v>2020</v>
      </c>
      <c r="P886" s="39"/>
    </row>
    <row r="887" spans="1:16" ht="42.75">
      <c r="A887" s="175">
        <v>44016</v>
      </c>
      <c r="B887" s="176">
        <v>800</v>
      </c>
      <c r="C887" s="177" t="str">
        <f>IF(ISNA(VLOOKUP(Tableau13[[#This Row],[Code machine]],'CODE mchn'!$A$4:$C$170,2,0)),"",VLOOKUP(Tableau13[[#This Row],[Code machine]],'CODE mchn'!$A$4:$C$170,2,0))</f>
        <v>Béton</v>
      </c>
      <c r="D887" s="36" t="str">
        <f>IF(ISNA(VLOOKUP(Tableau13[[#This Row],[Code machine]],'CODE mchn'!$A$4:$C$170,3,0)),"",VLOOKUP(Tableau13[[#This Row],[Code machine]],'CODE mchn'!$A$4:$C$170,3,0))</f>
        <v>Poyatos 2</v>
      </c>
      <c r="E887" s="105"/>
      <c r="F887" s="39"/>
      <c r="G887" s="39" t="s">
        <v>1748</v>
      </c>
      <c r="H887" s="39" t="s">
        <v>1749</v>
      </c>
      <c r="I887" s="39" t="s">
        <v>13</v>
      </c>
      <c r="J887" s="177" t="s">
        <v>1399</v>
      </c>
      <c r="K887" s="178">
        <v>44020</v>
      </c>
      <c r="L887" s="39"/>
      <c r="M887" s="179" t="s">
        <v>2259</v>
      </c>
      <c r="N887" s="180">
        <f>MONTH(Tableau13[[#This Row],[Date fin intervention]])</f>
        <v>7</v>
      </c>
      <c r="O887" s="180">
        <f>YEAR(Tableau13[[#This Row],[Date fin intervention]])</f>
        <v>2020</v>
      </c>
      <c r="P887" s="39"/>
    </row>
    <row r="888" spans="1:16">
      <c r="A888" s="175">
        <v>44017</v>
      </c>
      <c r="B888" s="176">
        <v>582</v>
      </c>
      <c r="C888" s="177" t="str">
        <f>IF(ISNA(VLOOKUP(Tableau13[[#This Row],[Code machine]],'CODE mchn'!$A$4:$C$170,2,0)),"",VLOOKUP(Tableau13[[#This Row],[Code machine]],'CODE mchn'!$A$4:$C$170,2,0))</f>
        <v>Acier</v>
      </c>
      <c r="D888" s="36" t="str">
        <f>IF(ISNA(VLOOKUP(Tableau13[[#This Row],[Code machine]],'CODE mchn'!$A$4:$C$170,3,0)),"",VLOOKUP(Tableau13[[#This Row],[Code machine]],'CODE mchn'!$A$4:$C$170,3,0))</f>
        <v>Teurema 2</v>
      </c>
      <c r="E888" s="105"/>
      <c r="F888" s="39"/>
      <c r="G888" s="39" t="s">
        <v>1693</v>
      </c>
      <c r="H888" s="39" t="s">
        <v>352</v>
      </c>
      <c r="I888" s="39" t="s">
        <v>13</v>
      </c>
      <c r="J888" s="177" t="s">
        <v>1349</v>
      </c>
      <c r="K888" s="178">
        <v>44017</v>
      </c>
      <c r="L888" s="39"/>
      <c r="M888" s="179">
        <v>1</v>
      </c>
      <c r="N888" s="180">
        <f>MONTH(Tableau13[[#This Row],[Date fin intervention]])</f>
        <v>7</v>
      </c>
      <c r="O888" s="180">
        <f>YEAR(Tableau13[[#This Row],[Date fin intervention]])</f>
        <v>2020</v>
      </c>
      <c r="P888" s="39"/>
    </row>
    <row r="889" spans="1:16">
      <c r="A889" s="175">
        <v>44018</v>
      </c>
      <c r="B889" s="176">
        <v>590</v>
      </c>
      <c r="C889" s="177" t="str">
        <f>IF(ISNA(VLOOKUP(Tableau13[[#This Row],[Code machine]],'CODE mchn'!$A$4:$C$170,2,0)),"",VLOOKUP(Tableau13[[#This Row],[Code machine]],'CODE mchn'!$A$4:$C$170,2,0))</f>
        <v>Acier</v>
      </c>
      <c r="D889" s="36" t="str">
        <f>IF(ISNA(VLOOKUP(Tableau13[[#This Row],[Code machine]],'CODE mchn'!$A$4:$C$170,3,0)),"",VLOOKUP(Tableau13[[#This Row],[Code machine]],'CODE mchn'!$A$4:$C$170,3,0))</f>
        <v>Teurema 3</v>
      </c>
      <c r="E889" s="105"/>
      <c r="F889" s="39"/>
      <c r="G889" s="39" t="s">
        <v>55</v>
      </c>
      <c r="H889" s="39" t="s">
        <v>439</v>
      </c>
      <c r="I889" s="39" t="s">
        <v>13</v>
      </c>
      <c r="J889" s="177" t="s">
        <v>1694</v>
      </c>
      <c r="K889" s="178">
        <v>44018</v>
      </c>
      <c r="L889" s="39"/>
      <c r="M889" s="179">
        <v>1</v>
      </c>
      <c r="N889" s="180">
        <f>MONTH(Tableau13[[#This Row],[Date fin intervention]])</f>
        <v>7</v>
      </c>
      <c r="O889" s="180">
        <f>YEAR(Tableau13[[#This Row],[Date fin intervention]])</f>
        <v>2020</v>
      </c>
      <c r="P889" s="39"/>
    </row>
    <row r="890" spans="1:16">
      <c r="A890" s="175">
        <v>44018</v>
      </c>
      <c r="B890" s="176">
        <v>581</v>
      </c>
      <c r="C890" s="177" t="str">
        <f>IF(ISNA(VLOOKUP(Tableau13[[#This Row],[Code machine]],'CODE mchn'!$A$4:$C$170,2,0)),"",VLOOKUP(Tableau13[[#This Row],[Code machine]],'CODE mchn'!$A$4:$C$170,2,0))</f>
        <v>Acier</v>
      </c>
      <c r="D890" s="36" t="str">
        <f>IF(ISNA(VLOOKUP(Tableau13[[#This Row],[Code machine]],'CODE mchn'!$A$4:$C$170,3,0)),"",VLOOKUP(Tableau13[[#This Row],[Code machine]],'CODE mchn'!$A$4:$C$170,3,0))</f>
        <v>Teurema 1</v>
      </c>
      <c r="E890" s="105"/>
      <c r="F890" s="39"/>
      <c r="G890" s="39" t="s">
        <v>844</v>
      </c>
      <c r="H890" s="39" t="s">
        <v>1696</v>
      </c>
      <c r="I890" s="39" t="s">
        <v>13</v>
      </c>
      <c r="J890" s="177" t="s">
        <v>1695</v>
      </c>
      <c r="K890" s="178">
        <v>44018</v>
      </c>
      <c r="L890" s="39"/>
      <c r="M890" s="179">
        <v>1</v>
      </c>
      <c r="N890" s="180">
        <f>MONTH(Tableau13[[#This Row],[Date fin intervention]])</f>
        <v>7</v>
      </c>
      <c r="O890" s="180">
        <f>YEAR(Tableau13[[#This Row],[Date fin intervention]])</f>
        <v>2020</v>
      </c>
      <c r="P890" s="39"/>
    </row>
    <row r="891" spans="1:16">
      <c r="A891" s="175">
        <v>44018</v>
      </c>
      <c r="B891" s="176">
        <v>605</v>
      </c>
      <c r="C891" s="177" t="str">
        <f>IF(ISNA(VLOOKUP(Tableau13[[#This Row],[Code machine]],'CODE mchn'!$A$4:$C$170,2,0)),"",VLOOKUP(Tableau13[[#This Row],[Code machine]],'CODE mchn'!$A$4:$C$170,2,0))</f>
        <v>Acier</v>
      </c>
      <c r="D891" s="36" t="str">
        <f>IF(ISNA(VLOOKUP(Tableau13[[#This Row],[Code machine]],'CODE mchn'!$A$4:$C$170,3,0)),"",VLOOKUP(Tableau13[[#This Row],[Code machine]],'CODE mchn'!$A$4:$C$170,3,0))</f>
        <v>Vitari 1</v>
      </c>
      <c r="E891" s="105"/>
      <c r="F891" s="39"/>
      <c r="G891" s="39" t="s">
        <v>78</v>
      </c>
      <c r="H891" s="39" t="s">
        <v>1697</v>
      </c>
      <c r="I891" s="39" t="s">
        <v>13</v>
      </c>
      <c r="J891" s="177" t="s">
        <v>1698</v>
      </c>
      <c r="K891" s="178">
        <v>44018</v>
      </c>
      <c r="L891" s="39"/>
      <c r="M891" s="179">
        <v>1</v>
      </c>
      <c r="N891" s="180">
        <f>MONTH(Tableau13[[#This Row],[Date fin intervention]])</f>
        <v>7</v>
      </c>
      <c r="O891" s="180">
        <f>YEAR(Tableau13[[#This Row],[Date fin intervention]])</f>
        <v>2020</v>
      </c>
      <c r="P891" s="39"/>
    </row>
    <row r="892" spans="1:16" ht="42.75">
      <c r="A892" s="175">
        <v>44019</v>
      </c>
      <c r="B892" s="176">
        <v>565</v>
      </c>
      <c r="C892" s="177" t="str">
        <f>IF(ISNA(VLOOKUP(Tableau13[[#This Row],[Code machine]],'CODE mchn'!$A$4:$C$170,2,0)),"",VLOOKUP(Tableau13[[#This Row],[Code machine]],'CODE mchn'!$A$4:$C$170,2,0))</f>
        <v>Acier</v>
      </c>
      <c r="D892" s="36" t="str">
        <f>IF(ISNA(VLOOKUP(Tableau13[[#This Row],[Code machine]],'CODE mchn'!$A$4:$C$170,3,0)),"",VLOOKUP(Tableau13[[#This Row],[Code machine]],'CODE mchn'!$A$4:$C$170,3,0))</f>
        <v>EVG GE12</v>
      </c>
      <c r="E892" s="105"/>
      <c r="F892" s="39"/>
      <c r="G892" s="39" t="s">
        <v>55</v>
      </c>
      <c r="H892" s="39" t="s">
        <v>1699</v>
      </c>
      <c r="I892" s="39" t="s">
        <v>13</v>
      </c>
      <c r="J892" s="177" t="s">
        <v>725</v>
      </c>
      <c r="K892" s="178">
        <v>44029</v>
      </c>
      <c r="L892" s="39"/>
      <c r="M892" s="179" t="s">
        <v>2259</v>
      </c>
      <c r="N892" s="180">
        <f>MONTH(Tableau13[[#This Row],[Date fin intervention]])</f>
        <v>7</v>
      </c>
      <c r="O892" s="180">
        <f>YEAR(Tableau13[[#This Row],[Date fin intervention]])</f>
        <v>2020</v>
      </c>
      <c r="P892" s="39"/>
    </row>
    <row r="893" spans="1:16" ht="42.75">
      <c r="A893" s="175">
        <v>44019</v>
      </c>
      <c r="B893" s="176">
        <v>700</v>
      </c>
      <c r="C893" s="177" t="str">
        <f>IF(ISNA(VLOOKUP(Tableau13[[#This Row],[Code machine]],'CODE mchn'!$A$4:$C$170,2,0)),"",VLOOKUP(Tableau13[[#This Row],[Code machine]],'CODE mchn'!$A$4:$C$170,2,0))</f>
        <v>Béton</v>
      </c>
      <c r="D893" s="36" t="str">
        <f>IF(ISNA(VLOOKUP(Tableau13[[#This Row],[Code machine]],'CODE mchn'!$A$4:$C$170,3,0)),"",VLOOKUP(Tableau13[[#This Row],[Code machine]],'CODE mchn'!$A$4:$C$170,3,0))</f>
        <v>Poyatos 1</v>
      </c>
      <c r="E893" s="105"/>
      <c r="F893" s="39"/>
      <c r="G893" s="39" t="s">
        <v>1700</v>
      </c>
      <c r="H893" s="39" t="s">
        <v>1701</v>
      </c>
      <c r="I893" s="39" t="s">
        <v>13</v>
      </c>
      <c r="J893" s="177" t="s">
        <v>1702</v>
      </c>
      <c r="K893" s="178">
        <v>44222</v>
      </c>
      <c r="L893" s="36" t="s">
        <v>1702</v>
      </c>
      <c r="M893" s="179" t="s">
        <v>2259</v>
      </c>
      <c r="N893" s="180">
        <f>MONTH(Tableau13[[#This Row],[Date fin intervention]])</f>
        <v>1</v>
      </c>
      <c r="O893" s="180">
        <f>YEAR(Tableau13[[#This Row],[Date fin intervention]])</f>
        <v>2021</v>
      </c>
      <c r="P893" s="39"/>
    </row>
    <row r="894" spans="1:16" ht="42.75">
      <c r="A894" s="175">
        <v>44019</v>
      </c>
      <c r="B894" s="176">
        <v>800</v>
      </c>
      <c r="C894" s="177" t="str">
        <f>IF(ISNA(VLOOKUP(Tableau13[[#This Row],[Code machine]],'CODE mchn'!$A$4:$C$170,2,0)),"",VLOOKUP(Tableau13[[#This Row],[Code machine]],'CODE mchn'!$A$4:$C$170,2,0))</f>
        <v>Béton</v>
      </c>
      <c r="D894" s="36" t="str">
        <f>IF(ISNA(VLOOKUP(Tableau13[[#This Row],[Code machine]],'CODE mchn'!$A$4:$C$170,3,0)),"",VLOOKUP(Tableau13[[#This Row],[Code machine]],'CODE mchn'!$A$4:$C$170,3,0))</f>
        <v>Poyatos 2</v>
      </c>
      <c r="E894" s="105"/>
      <c r="F894" s="39"/>
      <c r="G894" s="39" t="s">
        <v>291</v>
      </c>
      <c r="H894" s="39" t="s">
        <v>1703</v>
      </c>
      <c r="I894" s="39" t="s">
        <v>13</v>
      </c>
      <c r="J894" s="177" t="s">
        <v>725</v>
      </c>
      <c r="K894" s="178">
        <v>44021</v>
      </c>
      <c r="L894" s="39"/>
      <c r="M894" s="179" t="s">
        <v>2259</v>
      </c>
      <c r="N894" s="180">
        <f>MONTH(Tableau13[[#This Row],[Date fin intervention]])</f>
        <v>7</v>
      </c>
      <c r="O894" s="180">
        <f>YEAR(Tableau13[[#This Row],[Date fin intervention]])</f>
        <v>2020</v>
      </c>
      <c r="P894" s="39"/>
    </row>
    <row r="895" spans="1:16">
      <c r="A895" s="175">
        <v>44019</v>
      </c>
      <c r="B895" s="176">
        <v>800</v>
      </c>
      <c r="C895" s="177" t="str">
        <f>IF(ISNA(VLOOKUP(Tableau13[[#This Row],[Code machine]],'CODE mchn'!$A$4:$C$170,2,0)),"",VLOOKUP(Tableau13[[#This Row],[Code machine]],'CODE mchn'!$A$4:$C$170,2,0))</f>
        <v>Béton</v>
      </c>
      <c r="D895" s="36" t="str">
        <f>IF(ISNA(VLOOKUP(Tableau13[[#This Row],[Code machine]],'CODE mchn'!$A$4:$C$170,3,0)),"",VLOOKUP(Tableau13[[#This Row],[Code machine]],'CODE mchn'!$A$4:$C$170,3,0))</f>
        <v>Poyatos 2</v>
      </c>
      <c r="E895" s="105"/>
      <c r="F895" s="39"/>
      <c r="G895" s="39" t="s">
        <v>675</v>
      </c>
      <c r="H895" s="39" t="s">
        <v>1704</v>
      </c>
      <c r="I895" s="39" t="s">
        <v>13</v>
      </c>
      <c r="J895" s="177" t="s">
        <v>333</v>
      </c>
      <c r="K895" s="178">
        <v>44019</v>
      </c>
      <c r="L895" s="39"/>
      <c r="M895" s="179">
        <v>1</v>
      </c>
      <c r="N895" s="180">
        <f>MONTH(Tableau13[[#This Row],[Date fin intervention]])</f>
        <v>7</v>
      </c>
      <c r="O895" s="180">
        <f>YEAR(Tableau13[[#This Row],[Date fin intervention]])</f>
        <v>2020</v>
      </c>
      <c r="P895" s="39"/>
    </row>
    <row r="896" spans="1:16">
      <c r="A896" s="175">
        <v>44020</v>
      </c>
      <c r="B896" s="176">
        <v>590</v>
      </c>
      <c r="C896" s="177" t="str">
        <f>IF(ISNA(VLOOKUP(Tableau13[[#This Row],[Code machine]],'CODE mchn'!$A$4:$C$170,2,0)),"",VLOOKUP(Tableau13[[#This Row],[Code machine]],'CODE mchn'!$A$4:$C$170,2,0))</f>
        <v>Acier</v>
      </c>
      <c r="D896" s="36" t="str">
        <f>IF(ISNA(VLOOKUP(Tableau13[[#This Row],[Code machine]],'CODE mchn'!$A$4:$C$170,3,0)),"",VLOOKUP(Tableau13[[#This Row],[Code machine]],'CODE mchn'!$A$4:$C$170,3,0))</f>
        <v>Teurema 3</v>
      </c>
      <c r="E896" s="105"/>
      <c r="F896" s="39"/>
      <c r="G896" s="39" t="s">
        <v>612</v>
      </c>
      <c r="H896" s="39" t="s">
        <v>686</v>
      </c>
      <c r="I896" s="39" t="s">
        <v>13</v>
      </c>
      <c r="J896" s="177" t="s">
        <v>1705</v>
      </c>
      <c r="K896" s="178">
        <v>44020</v>
      </c>
      <c r="L896" s="39"/>
      <c r="M896" s="179">
        <v>5</v>
      </c>
      <c r="N896" s="180">
        <f>MONTH(Tableau13[[#This Row],[Date fin intervention]])</f>
        <v>7</v>
      </c>
      <c r="O896" s="180">
        <f>YEAR(Tableau13[[#This Row],[Date fin intervention]])</f>
        <v>2020</v>
      </c>
      <c r="P896" s="39"/>
    </row>
    <row r="897" spans="1:16" ht="42.75">
      <c r="A897" s="175">
        <v>44020</v>
      </c>
      <c r="B897" s="176">
        <v>700</v>
      </c>
      <c r="C897" s="177" t="str">
        <f>IF(ISNA(VLOOKUP(Tableau13[[#This Row],[Code machine]],'CODE mchn'!$A$4:$C$170,2,0)),"",VLOOKUP(Tableau13[[#This Row],[Code machine]],'CODE mchn'!$A$4:$C$170,2,0))</f>
        <v>Béton</v>
      </c>
      <c r="D897" s="36" t="str">
        <f>IF(ISNA(VLOOKUP(Tableau13[[#This Row],[Code machine]],'CODE mchn'!$A$4:$C$170,3,0)),"",VLOOKUP(Tableau13[[#This Row],[Code machine]],'CODE mchn'!$A$4:$C$170,3,0))</f>
        <v>Poyatos 1</v>
      </c>
      <c r="E897" s="105"/>
      <c r="F897" s="39"/>
      <c r="G897" s="39" t="s">
        <v>1706</v>
      </c>
      <c r="H897" s="39" t="s">
        <v>1405</v>
      </c>
      <c r="I897" s="39" t="s">
        <v>13</v>
      </c>
      <c r="J897" s="177" t="s">
        <v>725</v>
      </c>
      <c r="K897" s="178">
        <v>44027</v>
      </c>
      <c r="L897" s="39"/>
      <c r="M897" s="179" t="s">
        <v>2259</v>
      </c>
      <c r="N897" s="180">
        <f>MONTH(Tableau13[[#This Row],[Date fin intervention]])</f>
        <v>7</v>
      </c>
      <c r="O897" s="180">
        <f>YEAR(Tableau13[[#This Row],[Date fin intervention]])</f>
        <v>2020</v>
      </c>
      <c r="P897" s="39"/>
    </row>
    <row r="898" spans="1:16">
      <c r="A898" s="175">
        <v>44021</v>
      </c>
      <c r="B898" s="176">
        <v>800</v>
      </c>
      <c r="C898" s="177" t="str">
        <f>IF(ISNA(VLOOKUP(Tableau13[[#This Row],[Code machine]],'CODE mchn'!$A$4:$C$170,2,0)),"",VLOOKUP(Tableau13[[#This Row],[Code machine]],'CODE mchn'!$A$4:$C$170,2,0))</f>
        <v>Béton</v>
      </c>
      <c r="D898" s="36" t="str">
        <f>IF(ISNA(VLOOKUP(Tableau13[[#This Row],[Code machine]],'CODE mchn'!$A$4:$C$170,3,0)),"",VLOOKUP(Tableau13[[#This Row],[Code machine]],'CODE mchn'!$A$4:$C$170,3,0))</f>
        <v>Poyatos 2</v>
      </c>
      <c r="E898" s="105"/>
      <c r="F898" s="39"/>
      <c r="G898" s="39" t="s">
        <v>1707</v>
      </c>
      <c r="H898" s="39" t="s">
        <v>1708</v>
      </c>
      <c r="I898" s="39" t="s">
        <v>13</v>
      </c>
      <c r="J898" s="177" t="s">
        <v>1709</v>
      </c>
      <c r="K898" s="178">
        <v>44021</v>
      </c>
      <c r="L898" s="39"/>
      <c r="M898" s="179">
        <v>4</v>
      </c>
      <c r="N898" s="180">
        <f>MONTH(Tableau13[[#This Row],[Date fin intervention]])</f>
        <v>7</v>
      </c>
      <c r="O898" s="180">
        <f>YEAR(Tableau13[[#This Row],[Date fin intervention]])</f>
        <v>2020</v>
      </c>
      <c r="P898" s="39"/>
    </row>
    <row r="899" spans="1:16">
      <c r="A899" s="175">
        <v>44022</v>
      </c>
      <c r="B899" s="176">
        <v>800</v>
      </c>
      <c r="C899" s="177" t="str">
        <f>IF(ISNA(VLOOKUP(Tableau13[[#This Row],[Code machine]],'CODE mchn'!$A$4:$C$170,2,0)),"",VLOOKUP(Tableau13[[#This Row],[Code machine]],'CODE mchn'!$A$4:$C$170,2,0))</f>
        <v>Béton</v>
      </c>
      <c r="D899" s="36" t="str">
        <f>IF(ISNA(VLOOKUP(Tableau13[[#This Row],[Code machine]],'CODE mchn'!$A$4:$C$170,3,0)),"",VLOOKUP(Tableau13[[#This Row],[Code machine]],'CODE mchn'!$A$4:$C$170,3,0))</f>
        <v>Poyatos 2</v>
      </c>
      <c r="E899" s="105"/>
      <c r="F899" s="39"/>
      <c r="G899" s="39" t="s">
        <v>213</v>
      </c>
      <c r="H899" s="39" t="s">
        <v>968</v>
      </c>
      <c r="I899" s="39" t="s">
        <v>13</v>
      </c>
      <c r="J899" s="177" t="s">
        <v>1712</v>
      </c>
      <c r="K899" s="178">
        <v>44022</v>
      </c>
      <c r="L899" s="39"/>
      <c r="M899" s="179">
        <v>1</v>
      </c>
      <c r="N899" s="180">
        <f>MONTH(Tableau13[[#This Row],[Date fin intervention]])</f>
        <v>7</v>
      </c>
      <c r="O899" s="180">
        <f>YEAR(Tableau13[[#This Row],[Date fin intervention]])</f>
        <v>2020</v>
      </c>
      <c r="P899" s="39"/>
    </row>
    <row r="900" spans="1:16">
      <c r="A900" s="175">
        <v>44022</v>
      </c>
      <c r="B900" s="176">
        <v>800</v>
      </c>
      <c r="C900" s="177" t="str">
        <f>IF(ISNA(VLOOKUP(Tableau13[[#This Row],[Code machine]],'CODE mchn'!$A$4:$C$170,2,0)),"",VLOOKUP(Tableau13[[#This Row],[Code machine]],'CODE mchn'!$A$4:$C$170,2,0))</f>
        <v>Béton</v>
      </c>
      <c r="D900" s="36" t="str">
        <f>IF(ISNA(VLOOKUP(Tableau13[[#This Row],[Code machine]],'CODE mchn'!$A$4:$C$170,3,0)),"",VLOOKUP(Tableau13[[#This Row],[Code machine]],'CODE mchn'!$A$4:$C$170,3,0))</f>
        <v>Poyatos 2</v>
      </c>
      <c r="E900" s="105"/>
      <c r="F900" s="39"/>
      <c r="G900" s="39" t="s">
        <v>291</v>
      </c>
      <c r="H900" s="39" t="s">
        <v>1713</v>
      </c>
      <c r="I900" s="39" t="s">
        <v>13</v>
      </c>
      <c r="J900" s="177" t="s">
        <v>1714</v>
      </c>
      <c r="K900" s="178">
        <v>44022</v>
      </c>
      <c r="L900" s="39"/>
      <c r="M900" s="179">
        <v>1</v>
      </c>
      <c r="N900" s="180">
        <f>MONTH(Tableau13[[#This Row],[Date fin intervention]])</f>
        <v>7</v>
      </c>
      <c r="O900" s="180">
        <f>YEAR(Tableau13[[#This Row],[Date fin intervention]])</f>
        <v>2020</v>
      </c>
      <c r="P900" s="39"/>
    </row>
    <row r="901" spans="1:16">
      <c r="A901" s="175">
        <v>44022</v>
      </c>
      <c r="B901" s="176">
        <v>590</v>
      </c>
      <c r="C901" s="177" t="str">
        <f>IF(ISNA(VLOOKUP(Tableau13[[#This Row],[Code machine]],'CODE mchn'!$A$4:$C$170,2,0)),"",VLOOKUP(Tableau13[[#This Row],[Code machine]],'CODE mchn'!$A$4:$C$170,2,0))</f>
        <v>Acier</v>
      </c>
      <c r="D901" s="36" t="str">
        <f>IF(ISNA(VLOOKUP(Tableau13[[#This Row],[Code machine]],'CODE mchn'!$A$4:$C$170,3,0)),"",VLOOKUP(Tableau13[[#This Row],[Code machine]],'CODE mchn'!$A$4:$C$170,3,0))</f>
        <v>Teurema 3</v>
      </c>
      <c r="E901" s="105"/>
      <c r="F901" s="39"/>
      <c r="G901" s="39" t="s">
        <v>1660</v>
      </c>
      <c r="H901" s="39" t="s">
        <v>352</v>
      </c>
      <c r="I901" s="39" t="s">
        <v>13</v>
      </c>
      <c r="J901" s="177" t="s">
        <v>1736</v>
      </c>
      <c r="K901" s="178">
        <v>44022</v>
      </c>
      <c r="L901" s="39"/>
      <c r="M901" s="179">
        <v>4</v>
      </c>
      <c r="N901" s="180">
        <f>MONTH(Tableau13[[#This Row],[Date fin intervention]])</f>
        <v>7</v>
      </c>
      <c r="O901" s="180">
        <f>YEAR(Tableau13[[#This Row],[Date fin intervention]])</f>
        <v>2020</v>
      </c>
      <c r="P901" s="39"/>
    </row>
    <row r="902" spans="1:16">
      <c r="A902" s="175">
        <v>44023</v>
      </c>
      <c r="B902" s="176">
        <v>700</v>
      </c>
      <c r="C902" s="177" t="str">
        <f>IF(ISNA(VLOOKUP(Tableau13[[#This Row],[Code machine]],'CODE mchn'!$A$4:$C$170,2,0)),"",VLOOKUP(Tableau13[[#This Row],[Code machine]],'CODE mchn'!$A$4:$C$170,2,0))</f>
        <v>Béton</v>
      </c>
      <c r="D902" s="36" t="str">
        <f>IF(ISNA(VLOOKUP(Tableau13[[#This Row],[Code machine]],'CODE mchn'!$A$4:$C$170,3,0)),"",VLOOKUP(Tableau13[[#This Row],[Code machine]],'CODE mchn'!$A$4:$C$170,3,0))</f>
        <v>Poyatos 1</v>
      </c>
      <c r="E902" s="105"/>
      <c r="F902" s="39"/>
      <c r="G902" s="39" t="s">
        <v>291</v>
      </c>
      <c r="H902" s="39" t="s">
        <v>1715</v>
      </c>
      <c r="I902" s="39" t="s">
        <v>125</v>
      </c>
      <c r="J902" s="177" t="s">
        <v>1716</v>
      </c>
      <c r="K902" s="178">
        <v>44023</v>
      </c>
      <c r="L902" s="39"/>
      <c r="M902" s="179">
        <v>1</v>
      </c>
      <c r="N902" s="180">
        <f>MONTH(Tableau13[[#This Row],[Date fin intervention]])</f>
        <v>7</v>
      </c>
      <c r="O902" s="180">
        <f>YEAR(Tableau13[[#This Row],[Date fin intervention]])</f>
        <v>2020</v>
      </c>
      <c r="P902" s="39"/>
    </row>
    <row r="903" spans="1:16">
      <c r="A903" s="175">
        <v>44023</v>
      </c>
      <c r="B903" s="176">
        <v>581</v>
      </c>
      <c r="C903" s="177" t="str">
        <f>IF(ISNA(VLOOKUP(Tableau13[[#This Row],[Code machine]],'CODE mchn'!$A$4:$C$170,2,0)),"",VLOOKUP(Tableau13[[#This Row],[Code machine]],'CODE mchn'!$A$4:$C$170,2,0))</f>
        <v>Acier</v>
      </c>
      <c r="D903" s="36" t="str">
        <f>IF(ISNA(VLOOKUP(Tableau13[[#This Row],[Code machine]],'CODE mchn'!$A$4:$C$170,3,0)),"",VLOOKUP(Tableau13[[#This Row],[Code machine]],'CODE mchn'!$A$4:$C$170,3,0))</f>
        <v>Teurema 1</v>
      </c>
      <c r="E903" s="105"/>
      <c r="F903" s="39"/>
      <c r="G903" s="39" t="s">
        <v>78</v>
      </c>
      <c r="H903" s="39" t="s">
        <v>1734</v>
      </c>
      <c r="I903" s="39" t="s">
        <v>13</v>
      </c>
      <c r="J903" s="177" t="s">
        <v>1735</v>
      </c>
      <c r="K903" s="178">
        <v>44023</v>
      </c>
      <c r="L903" s="39"/>
      <c r="M903" s="179">
        <v>1</v>
      </c>
      <c r="N903" s="180">
        <f>MONTH(Tableau13[[#This Row],[Date fin intervention]])</f>
        <v>7</v>
      </c>
      <c r="O903" s="180">
        <f>YEAR(Tableau13[[#This Row],[Date fin intervention]])</f>
        <v>2020</v>
      </c>
      <c r="P903" s="39"/>
    </row>
    <row r="904" spans="1:16">
      <c r="A904" s="175">
        <v>44025</v>
      </c>
      <c r="B904" s="176">
        <v>582</v>
      </c>
      <c r="C904" s="177" t="str">
        <f>IF(ISNA(VLOOKUP(Tableau13[[#This Row],[Code machine]],'CODE mchn'!$A$4:$C$170,2,0)),"",VLOOKUP(Tableau13[[#This Row],[Code machine]],'CODE mchn'!$A$4:$C$170,2,0))</f>
        <v>Acier</v>
      </c>
      <c r="D904" s="36" t="str">
        <f>IF(ISNA(VLOOKUP(Tableau13[[#This Row],[Code machine]],'CODE mchn'!$A$4:$C$170,3,0)),"",VLOOKUP(Tableau13[[#This Row],[Code machine]],'CODE mchn'!$A$4:$C$170,3,0))</f>
        <v>Teurema 2</v>
      </c>
      <c r="E904" s="105"/>
      <c r="F904" s="39"/>
      <c r="G904" s="39" t="s">
        <v>1737</v>
      </c>
      <c r="H904" s="39" t="s">
        <v>1650</v>
      </c>
      <c r="I904" s="39" t="s">
        <v>13</v>
      </c>
      <c r="J904" s="177" t="s">
        <v>1738</v>
      </c>
      <c r="K904" s="178">
        <v>44025</v>
      </c>
      <c r="L904" s="39"/>
      <c r="M904" s="179">
        <v>15</v>
      </c>
      <c r="N904" s="180">
        <f>MONTH(Tableau13[[#This Row],[Date fin intervention]])</f>
        <v>7</v>
      </c>
      <c r="O904" s="180">
        <f>YEAR(Tableau13[[#This Row],[Date fin intervention]])</f>
        <v>2020</v>
      </c>
      <c r="P904" s="39"/>
    </row>
    <row r="905" spans="1:16">
      <c r="A905" s="175">
        <v>44026</v>
      </c>
      <c r="B905" s="176">
        <v>800</v>
      </c>
      <c r="C905" s="177" t="str">
        <f>IF(ISNA(VLOOKUP(Tableau13[[#This Row],[Code machine]],'CODE mchn'!$A$4:$C$170,2,0)),"",VLOOKUP(Tableau13[[#This Row],[Code machine]],'CODE mchn'!$A$4:$C$170,2,0))</f>
        <v>Béton</v>
      </c>
      <c r="D905" s="36" t="str">
        <f>IF(ISNA(VLOOKUP(Tableau13[[#This Row],[Code machine]],'CODE mchn'!$A$4:$C$170,3,0)),"",VLOOKUP(Tableau13[[#This Row],[Code machine]],'CODE mchn'!$A$4:$C$170,3,0))</f>
        <v>Poyatos 2</v>
      </c>
      <c r="E905" s="105"/>
      <c r="F905" s="39"/>
      <c r="G905" s="39" t="s">
        <v>1105</v>
      </c>
      <c r="H905" s="39" t="s">
        <v>1136</v>
      </c>
      <c r="I905" s="39" t="s">
        <v>13</v>
      </c>
      <c r="J905" s="106" t="s">
        <v>2026</v>
      </c>
      <c r="K905" s="178">
        <v>44026</v>
      </c>
      <c r="L905" s="39"/>
      <c r="M905" s="179">
        <v>1</v>
      </c>
      <c r="N905" s="180">
        <f>MONTH(Tableau13[[#This Row],[Date fin intervention]])</f>
        <v>7</v>
      </c>
      <c r="O905" s="180">
        <f>YEAR(Tableau13[[#This Row],[Date fin intervention]])</f>
        <v>2020</v>
      </c>
      <c r="P905" s="39"/>
    </row>
    <row r="906" spans="1:16" ht="28.5">
      <c r="A906" s="175">
        <v>44027</v>
      </c>
      <c r="B906" s="176">
        <v>800</v>
      </c>
      <c r="C906" s="177" t="str">
        <f>IF(ISNA(VLOOKUP(Tableau13[[#This Row],[Code machine]],'CODE mchn'!$A$4:$C$170,2,0)),"",VLOOKUP(Tableau13[[#This Row],[Code machine]],'CODE mchn'!$A$4:$C$170,2,0))</f>
        <v>Béton</v>
      </c>
      <c r="D906" s="36" t="str">
        <f>IF(ISNA(VLOOKUP(Tableau13[[#This Row],[Code machine]],'CODE mchn'!$A$4:$C$170,3,0)),"",VLOOKUP(Tableau13[[#This Row],[Code machine]],'CODE mchn'!$A$4:$C$170,3,0))</f>
        <v>Poyatos 2</v>
      </c>
      <c r="E906" s="105"/>
      <c r="F906" s="39"/>
      <c r="G906" s="39" t="s">
        <v>185</v>
      </c>
      <c r="H906" s="39" t="s">
        <v>875</v>
      </c>
      <c r="I906" s="39" t="s">
        <v>13</v>
      </c>
      <c r="J906" s="177" t="s">
        <v>1740</v>
      </c>
      <c r="K906" s="178">
        <v>44027</v>
      </c>
      <c r="L906" s="39" t="s">
        <v>1741</v>
      </c>
      <c r="M906" s="179">
        <v>2</v>
      </c>
      <c r="N906" s="180">
        <f>MONTH(Tableau13[[#This Row],[Date fin intervention]])</f>
        <v>7</v>
      </c>
      <c r="O906" s="180">
        <f>YEAR(Tableau13[[#This Row],[Date fin intervention]])</f>
        <v>2020</v>
      </c>
      <c r="P906" s="39"/>
    </row>
    <row r="907" spans="1:16">
      <c r="A907" s="175">
        <v>44028</v>
      </c>
      <c r="B907" s="176">
        <v>565</v>
      </c>
      <c r="C907" s="177" t="str">
        <f>IF(ISNA(VLOOKUP(Tableau13[[#This Row],[Code machine]],'CODE mchn'!$A$4:$C$170,2,0)),"",VLOOKUP(Tableau13[[#This Row],[Code machine]],'CODE mchn'!$A$4:$C$170,2,0))</f>
        <v>Acier</v>
      </c>
      <c r="D907" s="36" t="str">
        <f>IF(ISNA(VLOOKUP(Tableau13[[#This Row],[Code machine]],'CODE mchn'!$A$4:$C$170,3,0)),"",VLOOKUP(Tableau13[[#This Row],[Code machine]],'CODE mchn'!$A$4:$C$170,3,0))</f>
        <v>EVG GE12</v>
      </c>
      <c r="E907" s="105"/>
      <c r="F907" s="39"/>
      <c r="G907" s="39" t="s">
        <v>1720</v>
      </c>
      <c r="H907" s="39" t="s">
        <v>1721</v>
      </c>
      <c r="I907" s="39" t="s">
        <v>13</v>
      </c>
      <c r="J907" s="177" t="s">
        <v>585</v>
      </c>
      <c r="K907" s="178">
        <v>44028</v>
      </c>
      <c r="L907" s="39"/>
      <c r="M907" s="179">
        <v>1</v>
      </c>
      <c r="N907" s="180">
        <f>MONTH(Tableau13[[#This Row],[Date fin intervention]])</f>
        <v>7</v>
      </c>
      <c r="O907" s="180">
        <f>YEAR(Tableau13[[#This Row],[Date fin intervention]])</f>
        <v>2020</v>
      </c>
      <c r="P907" s="39"/>
    </row>
    <row r="908" spans="1:16">
      <c r="A908" s="175">
        <v>44028</v>
      </c>
      <c r="B908" s="176">
        <v>565</v>
      </c>
      <c r="C908" s="177" t="str">
        <f>IF(ISNA(VLOOKUP(Tableau13[[#This Row],[Code machine]],'CODE mchn'!$A$4:$C$170,2,0)),"",VLOOKUP(Tableau13[[#This Row],[Code machine]],'CODE mchn'!$A$4:$C$170,2,0))</f>
        <v>Acier</v>
      </c>
      <c r="D908" s="36" t="str">
        <f>IF(ISNA(VLOOKUP(Tableau13[[#This Row],[Code machine]],'CODE mchn'!$A$4:$C$170,3,0)),"",VLOOKUP(Tableau13[[#This Row],[Code machine]],'CODE mchn'!$A$4:$C$170,3,0))</f>
        <v>EVG GE12</v>
      </c>
      <c r="E908" s="105"/>
      <c r="F908" s="39"/>
      <c r="G908" s="39" t="s">
        <v>1722</v>
      </c>
      <c r="H908" s="39" t="s">
        <v>1723</v>
      </c>
      <c r="I908" s="39" t="s">
        <v>13</v>
      </c>
      <c r="J908" s="177" t="s">
        <v>1724</v>
      </c>
      <c r="K908" s="178">
        <v>44028</v>
      </c>
      <c r="L908" s="39"/>
      <c r="M908" s="179">
        <v>1</v>
      </c>
      <c r="N908" s="180">
        <f>MONTH(Tableau13[[#This Row],[Date fin intervention]])</f>
        <v>7</v>
      </c>
      <c r="O908" s="180">
        <f>YEAR(Tableau13[[#This Row],[Date fin intervention]])</f>
        <v>2020</v>
      </c>
      <c r="P908" s="39"/>
    </row>
    <row r="909" spans="1:16" ht="42.75">
      <c r="A909" s="175">
        <v>44029</v>
      </c>
      <c r="B909" s="176">
        <v>800</v>
      </c>
      <c r="C909" s="177" t="str">
        <f>IF(ISNA(VLOOKUP(Tableau13[[#This Row],[Code machine]],'CODE mchn'!$A$4:$C$170,2,0)),"",VLOOKUP(Tableau13[[#This Row],[Code machine]],'CODE mchn'!$A$4:$C$170,2,0))</f>
        <v>Béton</v>
      </c>
      <c r="D909" s="36" t="str">
        <f>IF(ISNA(VLOOKUP(Tableau13[[#This Row],[Code machine]],'CODE mchn'!$A$4:$C$170,3,0)),"",VLOOKUP(Tableau13[[#This Row],[Code machine]],'CODE mchn'!$A$4:$C$170,3,0))</f>
        <v>Poyatos 2</v>
      </c>
      <c r="E909" s="105"/>
      <c r="F909" s="39"/>
      <c r="G909" s="39" t="s">
        <v>185</v>
      </c>
      <c r="H909" s="39" t="s">
        <v>875</v>
      </c>
      <c r="I909" s="39" t="s">
        <v>13</v>
      </c>
      <c r="J909" s="177" t="s">
        <v>1739</v>
      </c>
      <c r="K909" s="178">
        <v>44030</v>
      </c>
      <c r="L909" s="39"/>
      <c r="M909" s="179" t="s">
        <v>2259</v>
      </c>
      <c r="N909" s="180">
        <f>MONTH(Tableau13[[#This Row],[Date fin intervention]])</f>
        <v>7</v>
      </c>
      <c r="O909" s="180">
        <f>YEAR(Tableau13[[#This Row],[Date fin intervention]])</f>
        <v>2020</v>
      </c>
      <c r="P909" s="39"/>
    </row>
    <row r="910" spans="1:16">
      <c r="A910" s="175">
        <v>44032</v>
      </c>
      <c r="B910" s="176">
        <v>700</v>
      </c>
      <c r="C910" s="177" t="str">
        <f>IF(ISNA(VLOOKUP(Tableau13[[#This Row],[Code machine]],'CODE mchn'!$A$4:$C$170,2,0)),"",VLOOKUP(Tableau13[[#This Row],[Code machine]],'CODE mchn'!$A$4:$C$170,2,0))</f>
        <v>Béton</v>
      </c>
      <c r="D910" s="36" t="str">
        <f>IF(ISNA(VLOOKUP(Tableau13[[#This Row],[Code machine]],'CODE mchn'!$A$4:$C$170,3,0)),"",VLOOKUP(Tableau13[[#This Row],[Code machine]],'CODE mchn'!$A$4:$C$170,3,0))</f>
        <v>Poyatos 1</v>
      </c>
      <c r="E910" s="105"/>
      <c r="F910" s="39"/>
      <c r="G910" s="39" t="s">
        <v>394</v>
      </c>
      <c r="H910" s="39" t="s">
        <v>1725</v>
      </c>
      <c r="I910" s="39" t="s">
        <v>13</v>
      </c>
      <c r="J910" s="177" t="s">
        <v>571</v>
      </c>
      <c r="K910" s="178">
        <v>44032</v>
      </c>
      <c r="L910" s="39"/>
      <c r="M910" s="179">
        <v>1</v>
      </c>
      <c r="N910" s="180">
        <f>MONTH(Tableau13[[#This Row],[Date fin intervention]])</f>
        <v>7</v>
      </c>
      <c r="O910" s="180">
        <f>YEAR(Tableau13[[#This Row],[Date fin intervention]])</f>
        <v>2020</v>
      </c>
      <c r="P910" s="39"/>
    </row>
    <row r="911" spans="1:16">
      <c r="A911" s="175">
        <v>44032</v>
      </c>
      <c r="B911" s="176">
        <v>565</v>
      </c>
      <c r="C911" s="177" t="str">
        <f>IF(ISNA(VLOOKUP(Tableau13[[#This Row],[Code machine]],'CODE mchn'!$A$4:$C$170,2,0)),"",VLOOKUP(Tableau13[[#This Row],[Code machine]],'CODE mchn'!$A$4:$C$170,2,0))</f>
        <v>Acier</v>
      </c>
      <c r="D911" s="36" t="str">
        <f>IF(ISNA(VLOOKUP(Tableau13[[#This Row],[Code machine]],'CODE mchn'!$A$4:$C$170,3,0)),"",VLOOKUP(Tableau13[[#This Row],[Code machine]],'CODE mchn'!$A$4:$C$170,3,0))</f>
        <v>EVG GE12</v>
      </c>
      <c r="E911" s="105"/>
      <c r="F911" s="39"/>
      <c r="G911" s="39" t="s">
        <v>75</v>
      </c>
      <c r="H911" s="39" t="s">
        <v>1727</v>
      </c>
      <c r="I911" s="39" t="s">
        <v>13</v>
      </c>
      <c r="J911" s="177" t="s">
        <v>1728</v>
      </c>
      <c r="K911" s="178">
        <v>44032</v>
      </c>
      <c r="L911" s="39"/>
      <c r="M911" s="179">
        <v>2</v>
      </c>
      <c r="N911" s="180">
        <f>MONTH(Tableau13[[#This Row],[Date fin intervention]])</f>
        <v>7</v>
      </c>
      <c r="O911" s="180">
        <f>YEAR(Tableau13[[#This Row],[Date fin intervention]])</f>
        <v>2020</v>
      </c>
      <c r="P911" s="39"/>
    </row>
    <row r="912" spans="1:16">
      <c r="A912" s="175">
        <v>44033</v>
      </c>
      <c r="B912" s="176">
        <v>610</v>
      </c>
      <c r="C912" s="177" t="str">
        <f>IF(ISNA(VLOOKUP(Tableau13[[#This Row],[Code machine]],'CODE mchn'!$A$4:$C$170,2,0)),"",VLOOKUP(Tableau13[[#This Row],[Code machine]],'CODE mchn'!$A$4:$C$170,2,0))</f>
        <v>Acier</v>
      </c>
      <c r="D912" s="36" t="str">
        <f>IF(ISNA(VLOOKUP(Tableau13[[#This Row],[Code machine]],'CODE mchn'!$A$4:$C$170,3,0)),"",VLOOKUP(Tableau13[[#This Row],[Code machine]],'CODE mchn'!$A$4:$C$170,3,0))</f>
        <v>MEP91</v>
      </c>
      <c r="E912" s="105"/>
      <c r="F912" s="39"/>
      <c r="G912" s="39" t="s">
        <v>1450</v>
      </c>
      <c r="H912" s="39" t="s">
        <v>520</v>
      </c>
      <c r="I912" s="39" t="s">
        <v>13</v>
      </c>
      <c r="J912" s="177" t="s">
        <v>1732</v>
      </c>
      <c r="K912" s="178">
        <v>44033</v>
      </c>
      <c r="L912" s="39"/>
      <c r="M912" s="179">
        <v>2</v>
      </c>
      <c r="N912" s="180">
        <f>MONTH(Tableau13[[#This Row],[Date fin intervention]])</f>
        <v>7</v>
      </c>
      <c r="O912" s="180">
        <f>YEAR(Tableau13[[#This Row],[Date fin intervention]])</f>
        <v>2020</v>
      </c>
      <c r="P912" s="39"/>
    </row>
    <row r="913" spans="1:16">
      <c r="A913" s="175">
        <v>44033</v>
      </c>
      <c r="B913" s="176">
        <v>580</v>
      </c>
      <c r="C913" s="177" t="str">
        <f>IF(ISNA(VLOOKUP(Tableau13[[#This Row],[Code machine]],'CODE mchn'!$A$4:$C$170,2,0)),"",VLOOKUP(Tableau13[[#This Row],[Code machine]],'CODE mchn'!$A$4:$C$170,2,0))</f>
        <v>Acier</v>
      </c>
      <c r="D913" s="36" t="str">
        <f>IF(ISNA(VLOOKUP(Tableau13[[#This Row],[Code machine]],'CODE mchn'!$A$4:$C$170,3,0)),"",VLOOKUP(Tableau13[[#This Row],[Code machine]],'CODE mchn'!$A$4:$C$170,3,0))</f>
        <v>Techno Impiante</v>
      </c>
      <c r="E913" s="105"/>
      <c r="F913" s="39"/>
      <c r="G913" s="39" t="s">
        <v>52</v>
      </c>
      <c r="H913" s="39" t="s">
        <v>1310</v>
      </c>
      <c r="I913" s="39" t="s">
        <v>13</v>
      </c>
      <c r="J913" s="177" t="s">
        <v>1404</v>
      </c>
      <c r="K913" s="178">
        <v>44033</v>
      </c>
      <c r="L913" s="39"/>
      <c r="M913" s="179">
        <v>1</v>
      </c>
      <c r="N913" s="180">
        <f>MONTH(Tableau13[[#This Row],[Date fin intervention]])</f>
        <v>7</v>
      </c>
      <c r="O913" s="180">
        <f>YEAR(Tableau13[[#This Row],[Date fin intervention]])</f>
        <v>2020</v>
      </c>
      <c r="P913" s="39"/>
    </row>
    <row r="914" spans="1:16">
      <c r="A914" s="175">
        <v>44034</v>
      </c>
      <c r="B914" s="176">
        <v>581</v>
      </c>
      <c r="C914" s="177" t="str">
        <f>IF(ISNA(VLOOKUP(Tableau13[[#This Row],[Code machine]],'CODE mchn'!$A$4:$C$170,2,0)),"",VLOOKUP(Tableau13[[#This Row],[Code machine]],'CODE mchn'!$A$4:$C$170,2,0))</f>
        <v>Acier</v>
      </c>
      <c r="D914" s="36" t="str">
        <f>IF(ISNA(VLOOKUP(Tableau13[[#This Row],[Code machine]],'CODE mchn'!$A$4:$C$170,3,0)),"",VLOOKUP(Tableau13[[#This Row],[Code machine]],'CODE mchn'!$A$4:$C$170,3,0))</f>
        <v>Teurema 1</v>
      </c>
      <c r="E914" s="105"/>
      <c r="F914" s="39"/>
      <c r="G914" s="39" t="s">
        <v>274</v>
      </c>
      <c r="H914" s="39" t="s">
        <v>1578</v>
      </c>
      <c r="I914" s="39" t="s">
        <v>13</v>
      </c>
      <c r="J914" s="177" t="s">
        <v>1729</v>
      </c>
      <c r="K914" s="178">
        <v>44034</v>
      </c>
      <c r="L914" s="39"/>
      <c r="M914" s="179">
        <v>3</v>
      </c>
      <c r="N914" s="180">
        <f>MONTH(Tableau13[[#This Row],[Date fin intervention]])</f>
        <v>7</v>
      </c>
      <c r="O914" s="180">
        <f>YEAR(Tableau13[[#This Row],[Date fin intervention]])</f>
        <v>2020</v>
      </c>
      <c r="P914" s="39"/>
    </row>
    <row r="915" spans="1:16">
      <c r="A915" s="175">
        <v>44034</v>
      </c>
      <c r="B915" s="176">
        <v>581</v>
      </c>
      <c r="C915" s="177" t="str">
        <f>IF(ISNA(VLOOKUP(Tableau13[[#This Row],[Code machine]],'CODE mchn'!$A$4:$C$170,2,0)),"",VLOOKUP(Tableau13[[#This Row],[Code machine]],'CODE mchn'!$A$4:$C$170,2,0))</f>
        <v>Acier</v>
      </c>
      <c r="D915" s="36" t="str">
        <f>IF(ISNA(VLOOKUP(Tableau13[[#This Row],[Code machine]],'CODE mchn'!$A$4:$C$170,3,0)),"",VLOOKUP(Tableau13[[#This Row],[Code machine]],'CODE mchn'!$A$4:$C$170,3,0))</f>
        <v>Teurema 1</v>
      </c>
      <c r="E915" s="105"/>
      <c r="F915" s="39"/>
      <c r="G915" s="39" t="s">
        <v>161</v>
      </c>
      <c r="H915" s="39" t="s">
        <v>1730</v>
      </c>
      <c r="I915" s="39" t="s">
        <v>13</v>
      </c>
      <c r="J915" s="177" t="s">
        <v>1731</v>
      </c>
      <c r="K915" s="178">
        <v>44034</v>
      </c>
      <c r="L915" s="39"/>
      <c r="M915" s="179">
        <v>15</v>
      </c>
      <c r="N915" s="180">
        <f>MONTH(Tableau13[[#This Row],[Date fin intervention]])</f>
        <v>7</v>
      </c>
      <c r="O915" s="180">
        <f>YEAR(Tableau13[[#This Row],[Date fin intervention]])</f>
        <v>2020</v>
      </c>
      <c r="P915" s="39"/>
    </row>
    <row r="916" spans="1:16">
      <c r="A916" s="175">
        <v>44034</v>
      </c>
      <c r="B916" s="176">
        <v>582</v>
      </c>
      <c r="C916" s="177" t="str">
        <f>IF(ISNA(VLOOKUP(Tableau13[[#This Row],[Code machine]],'CODE mchn'!$A$4:$C$170,2,0)),"",VLOOKUP(Tableau13[[#This Row],[Code machine]],'CODE mchn'!$A$4:$C$170,2,0))</f>
        <v>Acier</v>
      </c>
      <c r="D916" s="36" t="str">
        <f>IF(ISNA(VLOOKUP(Tableau13[[#This Row],[Code machine]],'CODE mchn'!$A$4:$C$170,3,0)),"",VLOOKUP(Tableau13[[#This Row],[Code machine]],'CODE mchn'!$A$4:$C$170,3,0))</f>
        <v>Teurema 2</v>
      </c>
      <c r="E916" s="105"/>
      <c r="F916" s="39"/>
      <c r="G916" s="39" t="s">
        <v>1733</v>
      </c>
      <c r="H916" s="39" t="s">
        <v>1650</v>
      </c>
      <c r="I916" s="39" t="s">
        <v>13</v>
      </c>
      <c r="J916" s="177" t="s">
        <v>473</v>
      </c>
      <c r="K916" s="178">
        <v>44034</v>
      </c>
      <c r="L916" s="39"/>
      <c r="M916" s="179">
        <v>30</v>
      </c>
      <c r="N916" s="180">
        <f>MONTH(Tableau13[[#This Row],[Date fin intervention]])</f>
        <v>7</v>
      </c>
      <c r="O916" s="180">
        <f>YEAR(Tableau13[[#This Row],[Date fin intervention]])</f>
        <v>2020</v>
      </c>
      <c r="P916" s="39"/>
    </row>
    <row r="917" spans="1:16">
      <c r="A917" s="175">
        <v>44034</v>
      </c>
      <c r="B917" s="176">
        <v>580</v>
      </c>
      <c r="C917" s="177" t="str">
        <f>IF(ISNA(VLOOKUP(Tableau13[[#This Row],[Code machine]],'CODE mchn'!$A$4:$C$170,2,0)),"",VLOOKUP(Tableau13[[#This Row],[Code machine]],'CODE mchn'!$A$4:$C$170,2,0))</f>
        <v>Acier</v>
      </c>
      <c r="D917" s="36" t="str">
        <f>IF(ISNA(VLOOKUP(Tableau13[[#This Row],[Code machine]],'CODE mchn'!$A$4:$C$170,3,0)),"",VLOOKUP(Tableau13[[#This Row],[Code machine]],'CODE mchn'!$A$4:$C$170,3,0))</f>
        <v>Techno Impiante</v>
      </c>
      <c r="E917" s="105"/>
      <c r="F917" s="39"/>
      <c r="G917" s="39" t="s">
        <v>49</v>
      </c>
      <c r="H917" s="39" t="s">
        <v>1052</v>
      </c>
      <c r="I917" s="39" t="s">
        <v>13</v>
      </c>
      <c r="J917" s="177" t="s">
        <v>1076</v>
      </c>
      <c r="K917" s="178">
        <v>44034</v>
      </c>
      <c r="L917" s="39"/>
      <c r="M917" s="179">
        <v>30</v>
      </c>
      <c r="N917" s="180">
        <f>MONTH(Tableau13[[#This Row],[Date fin intervention]])</f>
        <v>7</v>
      </c>
      <c r="O917" s="180">
        <f>YEAR(Tableau13[[#This Row],[Date fin intervention]])</f>
        <v>2020</v>
      </c>
      <c r="P917" s="39"/>
    </row>
    <row r="918" spans="1:16">
      <c r="A918" s="181">
        <v>44034</v>
      </c>
      <c r="B918" s="182">
        <v>565</v>
      </c>
      <c r="C918" s="183" t="str">
        <f>IF(ISNA(VLOOKUP(Tableau13[[#This Row],[Code machine]],'CODE mchn'!$A$4:$C$170,2,0)),"",VLOOKUP(Tableau13[[#This Row],[Code machine]],'CODE mchn'!$A$4:$C$170,2,0))</f>
        <v>Acier</v>
      </c>
      <c r="D918" s="184" t="str">
        <f>IF(ISNA(VLOOKUP(Tableau13[[#This Row],[Code machine]],'CODE mchn'!$A$4:$C$170,3,0)),"",VLOOKUP(Tableau13[[#This Row],[Code machine]],'CODE mchn'!$A$4:$C$170,3,0))</f>
        <v>EVG GE12</v>
      </c>
      <c r="E918" s="182"/>
      <c r="F918" s="36"/>
      <c r="G918" s="184" t="s">
        <v>104</v>
      </c>
      <c r="H918" s="184" t="s">
        <v>2515</v>
      </c>
      <c r="I918" s="184" t="s">
        <v>13</v>
      </c>
      <c r="J918" s="183" t="s">
        <v>2514</v>
      </c>
      <c r="K918" s="185">
        <v>44034</v>
      </c>
      <c r="L918" s="184"/>
      <c r="M918" s="186">
        <v>480</v>
      </c>
      <c r="N918" s="186">
        <f>MONTH(Tableau13[[#This Row],[Date fin intervention]])</f>
        <v>7</v>
      </c>
      <c r="O918" s="186">
        <f>YEAR(Tableau13[[#This Row],[Date fin intervention]])</f>
        <v>2020</v>
      </c>
      <c r="P918" s="184"/>
    </row>
    <row r="919" spans="1:16">
      <c r="A919" s="175">
        <v>44039</v>
      </c>
      <c r="B919" s="176">
        <v>582</v>
      </c>
      <c r="C919" s="177" t="str">
        <f>IF(ISNA(VLOOKUP(Tableau13[[#This Row],[Code machine]],'CODE mchn'!$A$4:$C$170,2,0)),"",VLOOKUP(Tableau13[[#This Row],[Code machine]],'CODE mchn'!$A$4:$C$170,2,0))</f>
        <v>Acier</v>
      </c>
      <c r="D919" s="36" t="str">
        <f>IF(ISNA(VLOOKUP(Tableau13[[#This Row],[Code machine]],'CODE mchn'!$A$4:$C$170,3,0)),"",VLOOKUP(Tableau13[[#This Row],[Code machine]],'CODE mchn'!$A$4:$C$170,3,0))</f>
        <v>Teurema 2</v>
      </c>
      <c r="E919" s="105"/>
      <c r="F919" s="39"/>
      <c r="G919" s="39" t="s">
        <v>1347</v>
      </c>
      <c r="H919" s="39" t="s">
        <v>1750</v>
      </c>
      <c r="I919" s="39" t="s">
        <v>13</v>
      </c>
      <c r="J919" s="177" t="s">
        <v>1751</v>
      </c>
      <c r="K919" s="178">
        <v>44039</v>
      </c>
      <c r="L919" s="39"/>
      <c r="M919" s="179">
        <v>1</v>
      </c>
      <c r="N919" s="180">
        <f>MONTH(Tableau13[[#This Row],[Date fin intervention]])</f>
        <v>7</v>
      </c>
      <c r="O919" s="180">
        <f>YEAR(Tableau13[[#This Row],[Date fin intervention]])</f>
        <v>2020</v>
      </c>
      <c r="P919" s="39"/>
    </row>
    <row r="920" spans="1:16" ht="42.75">
      <c r="A920" s="175">
        <v>44039</v>
      </c>
      <c r="B920" s="176">
        <v>605</v>
      </c>
      <c r="C920" s="177" t="str">
        <f>IF(ISNA(VLOOKUP(Tableau13[[#This Row],[Code machine]],'CODE mchn'!$A$4:$C$170,2,0)),"",VLOOKUP(Tableau13[[#This Row],[Code machine]],'CODE mchn'!$A$4:$C$170,2,0))</f>
        <v>Acier</v>
      </c>
      <c r="D920" s="36" t="str">
        <f>IF(ISNA(VLOOKUP(Tableau13[[#This Row],[Code machine]],'CODE mchn'!$A$4:$C$170,3,0)),"",VLOOKUP(Tableau13[[#This Row],[Code machine]],'CODE mchn'!$A$4:$C$170,3,0))</f>
        <v>Vitari 1</v>
      </c>
      <c r="E920" s="105"/>
      <c r="F920" s="39"/>
      <c r="G920" s="39" t="s">
        <v>78</v>
      </c>
      <c r="H920" s="39" t="s">
        <v>1757</v>
      </c>
      <c r="I920" s="39" t="s">
        <v>13</v>
      </c>
      <c r="J920" s="177" t="s">
        <v>1759</v>
      </c>
      <c r="K920" s="178">
        <v>44053</v>
      </c>
      <c r="L920" s="39"/>
      <c r="M920" s="179" t="s">
        <v>2259</v>
      </c>
      <c r="N920" s="180">
        <f>MONTH(Tableau13[[#This Row],[Date fin intervention]])</f>
        <v>8</v>
      </c>
      <c r="O920" s="180">
        <f>YEAR(Tableau13[[#This Row],[Date fin intervention]])</f>
        <v>2020</v>
      </c>
      <c r="P920" s="39"/>
    </row>
    <row r="921" spans="1:16">
      <c r="A921" s="175">
        <v>44040</v>
      </c>
      <c r="B921" s="176">
        <v>582</v>
      </c>
      <c r="C921" s="177" t="str">
        <f>IF(ISNA(VLOOKUP(Tableau13[[#This Row],[Code machine]],'CODE mchn'!$A$4:$C$170,2,0)),"",VLOOKUP(Tableau13[[#This Row],[Code machine]],'CODE mchn'!$A$4:$C$170,2,0))</f>
        <v>Acier</v>
      </c>
      <c r="D921" s="36" t="str">
        <f>IF(ISNA(VLOOKUP(Tableau13[[#This Row],[Code machine]],'CODE mchn'!$A$4:$C$170,3,0)),"",VLOOKUP(Tableau13[[#This Row],[Code machine]],'CODE mchn'!$A$4:$C$170,3,0))</f>
        <v>Teurema 2</v>
      </c>
      <c r="E921" s="105"/>
      <c r="F921" s="39"/>
      <c r="G921" s="39" t="s">
        <v>1653</v>
      </c>
      <c r="H921" s="39" t="s">
        <v>764</v>
      </c>
      <c r="I921" s="39" t="s">
        <v>13</v>
      </c>
      <c r="J921" s="177" t="s">
        <v>1752</v>
      </c>
      <c r="K921" s="178">
        <v>44040</v>
      </c>
      <c r="L921" s="39"/>
      <c r="M921" s="179">
        <v>3</v>
      </c>
      <c r="N921" s="180">
        <f>MONTH(Tableau13[[#This Row],[Date fin intervention]])</f>
        <v>7</v>
      </c>
      <c r="O921" s="180">
        <f>YEAR(Tableau13[[#This Row],[Date fin intervention]])</f>
        <v>2020</v>
      </c>
      <c r="P921" s="39"/>
    </row>
    <row r="922" spans="1:16" ht="57">
      <c r="A922" s="175">
        <v>44041</v>
      </c>
      <c r="B922" s="176">
        <v>800</v>
      </c>
      <c r="C922" s="177" t="str">
        <f>IF(ISNA(VLOOKUP(Tableau13[[#This Row],[Code machine]],'CODE mchn'!$A$4:$C$170,2,0)),"",VLOOKUP(Tableau13[[#This Row],[Code machine]],'CODE mchn'!$A$4:$C$170,2,0))</f>
        <v>Béton</v>
      </c>
      <c r="D922" s="36" t="str">
        <f>IF(ISNA(VLOOKUP(Tableau13[[#This Row],[Code machine]],'CODE mchn'!$A$4:$C$170,3,0)),"",VLOOKUP(Tableau13[[#This Row],[Code machine]],'CODE mchn'!$A$4:$C$170,3,0))</f>
        <v>Poyatos 2</v>
      </c>
      <c r="E922" s="105"/>
      <c r="F922" s="39"/>
      <c r="G922" s="39" t="s">
        <v>185</v>
      </c>
      <c r="H922" s="39" t="s">
        <v>1612</v>
      </c>
      <c r="I922" s="39" t="s">
        <v>13</v>
      </c>
      <c r="J922" s="177" t="s">
        <v>1760</v>
      </c>
      <c r="K922" s="178">
        <v>44053</v>
      </c>
      <c r="L922" s="39"/>
      <c r="M922" s="179" t="s">
        <v>2259</v>
      </c>
      <c r="N922" s="180">
        <f>MONTH(Tableau13[[#This Row],[Date fin intervention]])</f>
        <v>8</v>
      </c>
      <c r="O922" s="180">
        <f>YEAR(Tableau13[[#This Row],[Date fin intervention]])</f>
        <v>2020</v>
      </c>
      <c r="P922" s="39"/>
    </row>
    <row r="923" spans="1:16">
      <c r="A923" s="104">
        <v>44048</v>
      </c>
      <c r="B923" s="105">
        <v>700</v>
      </c>
      <c r="C923" s="106" t="str">
        <f>IF(ISNA(VLOOKUP(Tableau13[[#This Row],[Code machine]],'CODE mchn'!$A$4:$C$170,2,0)),"",VLOOKUP(Tableau13[[#This Row],[Code machine]],'CODE mchn'!$A$4:$C$170,2,0))</f>
        <v>Béton</v>
      </c>
      <c r="D923" s="36" t="str">
        <f>IF(ISNA(VLOOKUP(Tableau13[[#This Row],[Code machine]],'CODE mchn'!$A$4:$C$170,3,0)),"",VLOOKUP(Tableau13[[#This Row],[Code machine]],'CODE mchn'!$A$4:$C$170,3,0))</f>
        <v>Poyatos 1</v>
      </c>
      <c r="E923" s="105"/>
      <c r="F923" s="36"/>
      <c r="G923" s="36" t="s">
        <v>118</v>
      </c>
      <c r="H923" s="36" t="s">
        <v>4120</v>
      </c>
      <c r="I923" s="36" t="s">
        <v>30</v>
      </c>
      <c r="J923" s="252" t="s">
        <v>4124</v>
      </c>
      <c r="K923" s="71">
        <v>44048</v>
      </c>
      <c r="L923" s="36"/>
      <c r="M923" s="108">
        <v>60</v>
      </c>
      <c r="N923" s="108">
        <f>MONTH(Tableau13[[#This Row],[Date fin intervention]])</f>
        <v>8</v>
      </c>
      <c r="O923" s="108">
        <f>YEAR(Tableau13[[#This Row],[Date fin intervention]])</f>
        <v>2020</v>
      </c>
      <c r="P923" s="36"/>
    </row>
    <row r="924" spans="1:16" ht="28.5">
      <c r="A924" s="104">
        <v>44048</v>
      </c>
      <c r="B924" s="105">
        <v>700</v>
      </c>
      <c r="C924" s="106" t="str">
        <f>IF(ISNA(VLOOKUP(Tableau13[[#This Row],[Code machine]],'CODE mchn'!$A$4:$C$170,2,0)),"",VLOOKUP(Tableau13[[#This Row],[Code machine]],'CODE mchn'!$A$4:$C$170,2,0))</f>
        <v>Béton</v>
      </c>
      <c r="D924" s="36" t="str">
        <f>IF(ISNA(VLOOKUP(Tableau13[[#This Row],[Code machine]],'CODE mchn'!$A$4:$C$170,3,0)),"",VLOOKUP(Tableau13[[#This Row],[Code machine]],'CODE mchn'!$A$4:$C$170,3,0))</f>
        <v>Poyatos 1</v>
      </c>
      <c r="E924" s="105"/>
      <c r="F924" s="36"/>
      <c r="G924" s="36" t="s">
        <v>331</v>
      </c>
      <c r="H924" s="36" t="s">
        <v>4120</v>
      </c>
      <c r="I924" s="36" t="s">
        <v>30</v>
      </c>
      <c r="J924" s="252" t="s">
        <v>4129</v>
      </c>
      <c r="K924" s="71">
        <v>44048</v>
      </c>
      <c r="L924" s="36"/>
      <c r="M924" s="108">
        <v>120</v>
      </c>
      <c r="N924" s="108">
        <f>MONTH(Tableau13[[#This Row],[Date fin intervention]])</f>
        <v>8</v>
      </c>
      <c r="O924" s="108">
        <f>YEAR(Tableau13[[#This Row],[Date fin intervention]])</f>
        <v>2020</v>
      </c>
      <c r="P924" s="36"/>
    </row>
    <row r="925" spans="1:16">
      <c r="A925" s="175">
        <v>44053</v>
      </c>
      <c r="B925" s="176">
        <v>580</v>
      </c>
      <c r="C925" s="177" t="str">
        <f>IF(ISNA(VLOOKUP(Tableau13[[#This Row],[Code machine]],'CODE mchn'!$A$4:$C$170,2,0)),"",VLOOKUP(Tableau13[[#This Row],[Code machine]],'CODE mchn'!$A$4:$C$170,2,0))</f>
        <v>Acier</v>
      </c>
      <c r="D925" s="36" t="str">
        <f>IF(ISNA(VLOOKUP(Tableau13[[#This Row],[Code machine]],'CODE mchn'!$A$4:$C$170,3,0)),"",VLOOKUP(Tableau13[[#This Row],[Code machine]],'CODE mchn'!$A$4:$C$170,3,0))</f>
        <v>Techno Impiante</v>
      </c>
      <c r="E925" s="105"/>
      <c r="F925" s="39"/>
      <c r="G925" s="39" t="s">
        <v>52</v>
      </c>
      <c r="H925" s="39" t="s">
        <v>1310</v>
      </c>
      <c r="I925" s="39" t="s">
        <v>13</v>
      </c>
      <c r="J925" s="177" t="s">
        <v>1753</v>
      </c>
      <c r="K925" s="178">
        <v>44053</v>
      </c>
      <c r="L925" s="39"/>
      <c r="M925" s="179">
        <v>20</v>
      </c>
      <c r="N925" s="180">
        <f>MONTH(Tableau13[[#This Row],[Date fin intervention]])</f>
        <v>8</v>
      </c>
      <c r="O925" s="180">
        <f>YEAR(Tableau13[[#This Row],[Date fin intervention]])</f>
        <v>2020</v>
      </c>
      <c r="P925" s="39"/>
    </row>
    <row r="926" spans="1:16">
      <c r="A926" s="175">
        <v>44054</v>
      </c>
      <c r="B926" s="176">
        <v>582</v>
      </c>
      <c r="C926" s="177" t="str">
        <f>IF(ISNA(VLOOKUP(Tableau13[[#This Row],[Code machine]],'CODE mchn'!$A$4:$C$170,2,0)),"",VLOOKUP(Tableau13[[#This Row],[Code machine]],'CODE mchn'!$A$4:$C$170,2,0))</f>
        <v>Acier</v>
      </c>
      <c r="D926" s="36" t="str">
        <f>IF(ISNA(VLOOKUP(Tableau13[[#This Row],[Code machine]],'CODE mchn'!$A$4:$C$170,3,0)),"",VLOOKUP(Tableau13[[#This Row],[Code machine]],'CODE mchn'!$A$4:$C$170,3,0))</f>
        <v>Teurema 2</v>
      </c>
      <c r="E926" s="105"/>
      <c r="F926" s="39"/>
      <c r="G926" s="39" t="s">
        <v>1754</v>
      </c>
      <c r="H926" s="39" t="s">
        <v>1650</v>
      </c>
      <c r="I926" s="39" t="s">
        <v>13</v>
      </c>
      <c r="J926" s="177" t="s">
        <v>473</v>
      </c>
      <c r="K926" s="178">
        <v>44054</v>
      </c>
      <c r="L926" s="39"/>
      <c r="M926" s="179">
        <v>30</v>
      </c>
      <c r="N926" s="180">
        <f>MONTH(Tableau13[[#This Row],[Date fin intervention]])</f>
        <v>8</v>
      </c>
      <c r="O926" s="180">
        <f>YEAR(Tableau13[[#This Row],[Date fin intervention]])</f>
        <v>2020</v>
      </c>
      <c r="P926" s="39"/>
    </row>
    <row r="927" spans="1:16">
      <c r="A927" s="175">
        <v>44055</v>
      </c>
      <c r="B927" s="176">
        <v>700</v>
      </c>
      <c r="C927" s="177" t="str">
        <f>IF(ISNA(VLOOKUP(Tableau13[[#This Row],[Code machine]],'CODE mchn'!$A$4:$C$170,2,0)),"",VLOOKUP(Tableau13[[#This Row],[Code machine]],'CODE mchn'!$A$4:$C$170,2,0))</f>
        <v>Béton</v>
      </c>
      <c r="D927" s="36" t="str">
        <f>IF(ISNA(VLOOKUP(Tableau13[[#This Row],[Code machine]],'CODE mchn'!$A$4:$C$170,3,0)),"",VLOOKUP(Tableau13[[#This Row],[Code machine]],'CODE mchn'!$A$4:$C$170,3,0))</f>
        <v>Poyatos 1</v>
      </c>
      <c r="E927" s="105"/>
      <c r="F927" s="39"/>
      <c r="G927" s="39" t="s">
        <v>213</v>
      </c>
      <c r="H927" s="39" t="s">
        <v>1766</v>
      </c>
      <c r="I927" s="39" t="s">
        <v>13</v>
      </c>
      <c r="J927" s="177" t="s">
        <v>1767</v>
      </c>
      <c r="K927" s="178">
        <v>43963</v>
      </c>
      <c r="L927" s="39"/>
      <c r="M927" s="179">
        <v>1</v>
      </c>
      <c r="N927" s="180">
        <f>MONTH(Tableau13[[#This Row],[Date fin intervention]])</f>
        <v>5</v>
      </c>
      <c r="O927" s="180">
        <f>YEAR(Tableau13[[#This Row],[Date fin intervention]])</f>
        <v>2020</v>
      </c>
      <c r="P927" s="39"/>
    </row>
    <row r="928" spans="1:16">
      <c r="A928" s="104">
        <v>44055</v>
      </c>
      <c r="B928" s="105">
        <v>800</v>
      </c>
      <c r="C928" s="106" t="str">
        <f>IF(ISNA(VLOOKUP(Tableau13[[#This Row],[Code machine]],'CODE mchn'!$A$4:$C$170,2,0)),"",VLOOKUP(Tableau13[[#This Row],[Code machine]],'CODE mchn'!$A$4:$C$170,2,0))</f>
        <v>Béton</v>
      </c>
      <c r="D928" s="36" t="str">
        <f>IF(ISNA(VLOOKUP(Tableau13[[#This Row],[Code machine]],'CODE mchn'!$A$4:$C$170,3,0)),"",VLOOKUP(Tableau13[[#This Row],[Code machine]],'CODE mchn'!$A$4:$C$170,3,0))</f>
        <v>Poyatos 2</v>
      </c>
      <c r="E928" s="105"/>
      <c r="F928" s="36"/>
      <c r="G928" s="36" t="s">
        <v>118</v>
      </c>
      <c r="H928" s="36" t="s">
        <v>4120</v>
      </c>
      <c r="I928" s="36" t="s">
        <v>30</v>
      </c>
      <c r="J928" s="252" t="s">
        <v>4124</v>
      </c>
      <c r="K928" s="71">
        <v>44055</v>
      </c>
      <c r="L928" s="36"/>
      <c r="M928" s="108">
        <v>45</v>
      </c>
      <c r="N928" s="108">
        <f>MONTH(Tableau13[[#This Row],[Date fin intervention]])</f>
        <v>8</v>
      </c>
      <c r="O928" s="108">
        <f>YEAR(Tableau13[[#This Row],[Date fin intervention]])</f>
        <v>2020</v>
      </c>
      <c r="P928" s="36"/>
    </row>
    <row r="929" spans="1:16" ht="28.5">
      <c r="A929" s="104">
        <v>44055</v>
      </c>
      <c r="B929" s="105">
        <v>800</v>
      </c>
      <c r="C929" s="106" t="str">
        <f>IF(ISNA(VLOOKUP(Tableau13[[#This Row],[Code machine]],'CODE mchn'!$A$4:$C$170,2,0)),"",VLOOKUP(Tableau13[[#This Row],[Code machine]],'CODE mchn'!$A$4:$C$170,2,0))</f>
        <v>Béton</v>
      </c>
      <c r="D929" s="36" t="str">
        <f>IF(ISNA(VLOOKUP(Tableau13[[#This Row],[Code machine]],'CODE mchn'!$A$4:$C$170,3,0)),"",VLOOKUP(Tableau13[[#This Row],[Code machine]],'CODE mchn'!$A$4:$C$170,3,0))</f>
        <v>Poyatos 2</v>
      </c>
      <c r="E929" s="105"/>
      <c r="F929" s="36"/>
      <c r="G929" s="36" t="s">
        <v>331</v>
      </c>
      <c r="H929" s="36" t="s">
        <v>4120</v>
      </c>
      <c r="I929" s="36" t="s">
        <v>30</v>
      </c>
      <c r="J929" s="252" t="s">
        <v>4133</v>
      </c>
      <c r="K929" s="71">
        <v>44055</v>
      </c>
      <c r="L929" s="36"/>
      <c r="M929" s="108">
        <v>120</v>
      </c>
      <c r="N929" s="108">
        <f>MONTH(Tableau13[[#This Row],[Date fin intervention]])</f>
        <v>8</v>
      </c>
      <c r="O929" s="108">
        <f>YEAR(Tableau13[[#This Row],[Date fin intervention]])</f>
        <v>2020</v>
      </c>
      <c r="P929" s="36"/>
    </row>
    <row r="930" spans="1:16">
      <c r="A930" s="175">
        <v>44056</v>
      </c>
      <c r="B930" s="176">
        <v>800</v>
      </c>
      <c r="C930" s="177" t="str">
        <f>IF(ISNA(VLOOKUP(Tableau13[[#This Row],[Code machine]],'CODE mchn'!$A$4:$C$170,2,0)),"",VLOOKUP(Tableau13[[#This Row],[Code machine]],'CODE mchn'!$A$4:$C$170,2,0))</f>
        <v>Béton</v>
      </c>
      <c r="D930" s="36" t="str">
        <f>IF(ISNA(VLOOKUP(Tableau13[[#This Row],[Code machine]],'CODE mchn'!$A$4:$C$170,3,0)),"",VLOOKUP(Tableau13[[#This Row],[Code machine]],'CODE mchn'!$A$4:$C$170,3,0))</f>
        <v>Poyatos 2</v>
      </c>
      <c r="E930" s="105"/>
      <c r="F930" s="39"/>
      <c r="G930" s="39" t="s">
        <v>43</v>
      </c>
      <c r="H930" s="39" t="s">
        <v>1265</v>
      </c>
      <c r="I930" s="39" t="s">
        <v>13</v>
      </c>
      <c r="J930" s="177" t="s">
        <v>1762</v>
      </c>
      <c r="K930" s="178">
        <v>44058</v>
      </c>
      <c r="L930" s="39"/>
      <c r="M930" s="179">
        <v>1</v>
      </c>
      <c r="N930" s="180">
        <f>MONTH(Tableau13[[#This Row],[Date fin intervention]])</f>
        <v>8</v>
      </c>
      <c r="O930" s="180">
        <f>YEAR(Tableau13[[#This Row],[Date fin intervention]])</f>
        <v>2020</v>
      </c>
      <c r="P930" s="39"/>
    </row>
    <row r="931" spans="1:16">
      <c r="A931" s="175">
        <v>44056</v>
      </c>
      <c r="B931" s="176">
        <v>700</v>
      </c>
      <c r="C931" s="177" t="str">
        <f>IF(ISNA(VLOOKUP(Tableau13[[#This Row],[Code machine]],'CODE mchn'!$A$4:$C$170,2,0)),"",VLOOKUP(Tableau13[[#This Row],[Code machine]],'CODE mchn'!$A$4:$C$170,2,0))</f>
        <v>Béton</v>
      </c>
      <c r="D931" s="36" t="str">
        <f>IF(ISNA(VLOOKUP(Tableau13[[#This Row],[Code machine]],'CODE mchn'!$A$4:$C$170,3,0)),"",VLOOKUP(Tableau13[[#This Row],[Code machine]],'CODE mchn'!$A$4:$C$170,3,0))</f>
        <v>Poyatos 1</v>
      </c>
      <c r="E931" s="105"/>
      <c r="F931" s="39"/>
      <c r="G931" s="39" t="s">
        <v>185</v>
      </c>
      <c r="H931" s="39" t="s">
        <v>1764</v>
      </c>
      <c r="I931" s="39" t="s">
        <v>13</v>
      </c>
      <c r="J931" s="177" t="s">
        <v>1765</v>
      </c>
      <c r="K931" s="178">
        <v>43964</v>
      </c>
      <c r="L931" s="39"/>
      <c r="M931" s="179">
        <v>1</v>
      </c>
      <c r="N931" s="180">
        <f>MONTH(Tableau13[[#This Row],[Date fin intervention]])</f>
        <v>5</v>
      </c>
      <c r="O931" s="180">
        <f>YEAR(Tableau13[[#This Row],[Date fin intervention]])</f>
        <v>2020</v>
      </c>
      <c r="P931" s="39"/>
    </row>
    <row r="932" spans="1:16">
      <c r="A932" s="175">
        <v>44057</v>
      </c>
      <c r="B932" s="176">
        <v>700</v>
      </c>
      <c r="C932" s="177" t="str">
        <f>IF(ISNA(VLOOKUP(Tableau13[[#This Row],[Code machine]],'CODE mchn'!$A$4:$C$170,2,0)),"",VLOOKUP(Tableau13[[#This Row],[Code machine]],'CODE mchn'!$A$4:$C$170,2,0))</f>
        <v>Béton</v>
      </c>
      <c r="D932" s="36" t="str">
        <f>IF(ISNA(VLOOKUP(Tableau13[[#This Row],[Code machine]],'CODE mchn'!$A$4:$C$170,3,0)),"",VLOOKUP(Tableau13[[#This Row],[Code machine]],'CODE mchn'!$A$4:$C$170,3,0))</f>
        <v>Poyatos 1</v>
      </c>
      <c r="E932" s="105"/>
      <c r="F932" s="39"/>
      <c r="G932" s="39" t="s">
        <v>394</v>
      </c>
      <c r="H932" s="39" t="s">
        <v>1326</v>
      </c>
      <c r="I932" s="39" t="s">
        <v>13</v>
      </c>
      <c r="J932" s="177" t="s">
        <v>1763</v>
      </c>
      <c r="K932" s="178">
        <v>43965</v>
      </c>
      <c r="L932" s="39"/>
      <c r="M932" s="179">
        <v>20</v>
      </c>
      <c r="N932" s="180">
        <f>MONTH(Tableau13[[#This Row],[Date fin intervention]])</f>
        <v>5</v>
      </c>
      <c r="O932" s="180">
        <f>YEAR(Tableau13[[#This Row],[Date fin intervention]])</f>
        <v>2020</v>
      </c>
      <c r="P932" s="39"/>
    </row>
    <row r="933" spans="1:16" ht="42.75">
      <c r="A933" s="175">
        <v>44057</v>
      </c>
      <c r="B933" s="176">
        <v>565</v>
      </c>
      <c r="C933" s="177" t="str">
        <f>IF(ISNA(VLOOKUP(Tableau13[[#This Row],[Code machine]],'CODE mchn'!$A$4:$C$170,2,0)),"",VLOOKUP(Tableau13[[#This Row],[Code machine]],'CODE mchn'!$A$4:$C$170,2,0))</f>
        <v>Acier</v>
      </c>
      <c r="D933" s="36" t="str">
        <f>IF(ISNA(VLOOKUP(Tableau13[[#This Row],[Code machine]],'CODE mchn'!$A$4:$C$170,3,0)),"",VLOOKUP(Tableau13[[#This Row],[Code machine]],'CODE mchn'!$A$4:$C$170,3,0))</f>
        <v>EVG GE12</v>
      </c>
      <c r="E933" s="105"/>
      <c r="F933" s="39"/>
      <c r="G933" s="39" t="s">
        <v>1768</v>
      </c>
      <c r="H933" s="39" t="s">
        <v>1769</v>
      </c>
      <c r="I933" s="39" t="s">
        <v>13</v>
      </c>
      <c r="J933" s="177" t="s">
        <v>1770</v>
      </c>
      <c r="K933" s="178">
        <v>44058</v>
      </c>
      <c r="L933" s="39"/>
      <c r="M933" s="179" t="s">
        <v>2259</v>
      </c>
      <c r="N933" s="180">
        <f>MONTH(Tableau13[[#This Row],[Date fin intervention]])</f>
        <v>8</v>
      </c>
      <c r="O933" s="180">
        <f>YEAR(Tableau13[[#This Row],[Date fin intervention]])</f>
        <v>2020</v>
      </c>
      <c r="P933" s="39"/>
    </row>
    <row r="934" spans="1:16" ht="42.75">
      <c r="A934" s="175">
        <v>44058</v>
      </c>
      <c r="B934" s="176">
        <v>581</v>
      </c>
      <c r="C934" s="177" t="str">
        <f>IF(ISNA(VLOOKUP(Tableau13[[#This Row],[Code machine]],'CODE mchn'!$A$4:$C$170,2,0)),"",VLOOKUP(Tableau13[[#This Row],[Code machine]],'CODE mchn'!$A$4:$C$170,2,0))</f>
        <v>Acier</v>
      </c>
      <c r="D934" s="36" t="str">
        <f>IF(ISNA(VLOOKUP(Tableau13[[#This Row],[Code machine]],'CODE mchn'!$A$4:$C$170,3,0)),"",VLOOKUP(Tableau13[[#This Row],[Code machine]],'CODE mchn'!$A$4:$C$170,3,0))</f>
        <v>Teurema 1</v>
      </c>
      <c r="E934" s="105"/>
      <c r="F934" s="39"/>
      <c r="G934" s="39" t="s">
        <v>921</v>
      </c>
      <c r="H934" s="39" t="s">
        <v>764</v>
      </c>
      <c r="I934" s="39" t="s">
        <v>13</v>
      </c>
      <c r="J934" s="177" t="s">
        <v>585</v>
      </c>
      <c r="K934" s="178">
        <v>44060</v>
      </c>
      <c r="L934" s="39"/>
      <c r="M934" s="179" t="s">
        <v>2259</v>
      </c>
      <c r="N934" s="180">
        <f>MONTH(Tableau13[[#This Row],[Date fin intervention]])</f>
        <v>8</v>
      </c>
      <c r="O934" s="180">
        <f>YEAR(Tableau13[[#This Row],[Date fin intervention]])</f>
        <v>2020</v>
      </c>
      <c r="P934" s="39"/>
    </row>
    <row r="935" spans="1:16">
      <c r="A935" s="175">
        <v>44059</v>
      </c>
      <c r="B935" s="176">
        <v>700</v>
      </c>
      <c r="C935" s="177" t="str">
        <f>IF(ISNA(VLOOKUP(Tableau13[[#This Row],[Code machine]],'CODE mchn'!$A$4:$C$170,2,0)),"",VLOOKUP(Tableau13[[#This Row],[Code machine]],'CODE mchn'!$A$4:$C$170,2,0))</f>
        <v>Béton</v>
      </c>
      <c r="D935" s="36" t="str">
        <f>IF(ISNA(VLOOKUP(Tableau13[[#This Row],[Code machine]],'CODE mchn'!$A$4:$C$170,3,0)),"",VLOOKUP(Tableau13[[#This Row],[Code machine]],'CODE mchn'!$A$4:$C$170,3,0))</f>
        <v>Poyatos 1</v>
      </c>
      <c r="E935" s="105"/>
      <c r="F935" s="39"/>
      <c r="G935" s="39" t="s">
        <v>128</v>
      </c>
      <c r="H935" s="39" t="s">
        <v>1761</v>
      </c>
      <c r="I935" s="39" t="s">
        <v>13</v>
      </c>
      <c r="J935" s="177" t="s">
        <v>733</v>
      </c>
      <c r="K935" s="178">
        <v>44059</v>
      </c>
      <c r="L935" s="39"/>
      <c r="M935" s="179">
        <v>1</v>
      </c>
      <c r="N935" s="180">
        <f>MONTH(Tableau13[[#This Row],[Date fin intervention]])</f>
        <v>8</v>
      </c>
      <c r="O935" s="180">
        <f>YEAR(Tableau13[[#This Row],[Date fin intervention]])</f>
        <v>2020</v>
      </c>
      <c r="P935" s="39"/>
    </row>
    <row r="936" spans="1:16">
      <c r="A936" s="175">
        <v>44060</v>
      </c>
      <c r="B936" s="176">
        <v>581</v>
      </c>
      <c r="C936" s="177" t="str">
        <f>IF(ISNA(VLOOKUP(Tableau13[[#This Row],[Code machine]],'CODE mchn'!$A$4:$C$170,2,0)),"",VLOOKUP(Tableau13[[#This Row],[Code machine]],'CODE mchn'!$A$4:$C$170,2,0))</f>
        <v>Acier</v>
      </c>
      <c r="D936" s="36" t="str">
        <f>IF(ISNA(VLOOKUP(Tableau13[[#This Row],[Code machine]],'CODE mchn'!$A$4:$C$170,3,0)),"",VLOOKUP(Tableau13[[#This Row],[Code machine]],'CODE mchn'!$A$4:$C$170,3,0))</f>
        <v>Teurema 1</v>
      </c>
      <c r="E936" s="105"/>
      <c r="F936" s="39"/>
      <c r="G936" s="39" t="s">
        <v>1060</v>
      </c>
      <c r="H936" s="39" t="s">
        <v>1755</v>
      </c>
      <c r="I936" s="39" t="s">
        <v>13</v>
      </c>
      <c r="J936" s="177" t="s">
        <v>68</v>
      </c>
      <c r="K936" s="178">
        <v>44060</v>
      </c>
      <c r="L936" s="39"/>
      <c r="M936" s="179">
        <v>3</v>
      </c>
      <c r="N936" s="180">
        <f>MONTH(Tableau13[[#This Row],[Date fin intervention]])</f>
        <v>8</v>
      </c>
      <c r="O936" s="180">
        <f>YEAR(Tableau13[[#This Row],[Date fin intervention]])</f>
        <v>2020</v>
      </c>
      <c r="P936" s="39"/>
    </row>
    <row r="937" spans="1:16">
      <c r="A937" s="175">
        <v>44064</v>
      </c>
      <c r="B937" s="176">
        <v>582</v>
      </c>
      <c r="C937" s="177" t="str">
        <f>IF(ISNA(VLOOKUP(Tableau13[[#This Row],[Code machine]],'CODE mchn'!$A$4:$C$170,2,0)),"",VLOOKUP(Tableau13[[#This Row],[Code machine]],'CODE mchn'!$A$4:$C$170,2,0))</f>
        <v>Acier</v>
      </c>
      <c r="D937" s="36" t="str">
        <f>IF(ISNA(VLOOKUP(Tableau13[[#This Row],[Code machine]],'CODE mchn'!$A$4:$C$170,3,0)),"",VLOOKUP(Tableau13[[#This Row],[Code machine]],'CODE mchn'!$A$4:$C$170,3,0))</f>
        <v>Teurema 2</v>
      </c>
      <c r="E937" s="105"/>
      <c r="F937" s="39"/>
      <c r="G937" s="39" t="s">
        <v>1771</v>
      </c>
      <c r="H937" s="39" t="s">
        <v>1070</v>
      </c>
      <c r="I937" s="39" t="s">
        <v>13</v>
      </c>
      <c r="J937" s="177" t="s">
        <v>1772</v>
      </c>
      <c r="K937" s="178">
        <v>44064</v>
      </c>
      <c r="L937" s="39"/>
      <c r="M937" s="179">
        <v>2</v>
      </c>
      <c r="N937" s="180">
        <f>MONTH(Tableau13[[#This Row],[Date fin intervention]])</f>
        <v>8</v>
      </c>
      <c r="O937" s="180">
        <f>YEAR(Tableau13[[#This Row],[Date fin intervention]])</f>
        <v>2020</v>
      </c>
      <c r="P937" s="39"/>
    </row>
    <row r="938" spans="1:16">
      <c r="A938" s="175">
        <v>44064</v>
      </c>
      <c r="B938" s="176">
        <v>580</v>
      </c>
      <c r="C938" s="177" t="str">
        <f>IF(ISNA(VLOOKUP(Tableau13[[#This Row],[Code machine]],'CODE mchn'!$A$4:$C$170,2,0)),"",VLOOKUP(Tableau13[[#This Row],[Code machine]],'CODE mchn'!$A$4:$C$170,2,0))</f>
        <v>Acier</v>
      </c>
      <c r="D938" s="36" t="str">
        <f>IF(ISNA(VLOOKUP(Tableau13[[#This Row],[Code machine]],'CODE mchn'!$A$4:$C$170,3,0)),"",VLOOKUP(Tableau13[[#This Row],[Code machine]],'CODE mchn'!$A$4:$C$170,3,0))</f>
        <v>Techno Impiante</v>
      </c>
      <c r="E938" s="105"/>
      <c r="F938" s="39"/>
      <c r="G938" s="39" t="s">
        <v>612</v>
      </c>
      <c r="H938" s="39" t="s">
        <v>1773</v>
      </c>
      <c r="I938" s="39" t="s">
        <v>13</v>
      </c>
      <c r="J938" s="177" t="s">
        <v>1774</v>
      </c>
      <c r="K938" s="178">
        <v>44064</v>
      </c>
      <c r="L938" s="39"/>
      <c r="M938" s="179">
        <v>4</v>
      </c>
      <c r="N938" s="180">
        <f>MONTH(Tableau13[[#This Row],[Date fin intervention]])</f>
        <v>8</v>
      </c>
      <c r="O938" s="180">
        <f>YEAR(Tableau13[[#This Row],[Date fin intervention]])</f>
        <v>2020</v>
      </c>
      <c r="P938" s="39"/>
    </row>
    <row r="939" spans="1:16">
      <c r="A939" s="175">
        <v>44064</v>
      </c>
      <c r="B939" s="176">
        <v>582</v>
      </c>
      <c r="C939" s="177" t="str">
        <f>IF(ISNA(VLOOKUP(Tableau13[[#This Row],[Code machine]],'CODE mchn'!$A$4:$C$170,2,0)),"",VLOOKUP(Tableau13[[#This Row],[Code machine]],'CODE mchn'!$A$4:$C$170,2,0))</f>
        <v>Acier</v>
      </c>
      <c r="D939" s="36" t="str">
        <f>IF(ISNA(VLOOKUP(Tableau13[[#This Row],[Code machine]],'CODE mchn'!$A$4:$C$170,3,0)),"",VLOOKUP(Tableau13[[#This Row],[Code machine]],'CODE mchn'!$A$4:$C$170,3,0))</f>
        <v>Teurema 2</v>
      </c>
      <c r="E939" s="105"/>
      <c r="F939" s="39"/>
      <c r="G939" s="39" t="s">
        <v>1775</v>
      </c>
      <c r="H939" s="39" t="s">
        <v>458</v>
      </c>
      <c r="I939" s="39" t="s">
        <v>13</v>
      </c>
      <c r="J939" s="177" t="s">
        <v>601</v>
      </c>
      <c r="K939" s="178">
        <v>44064</v>
      </c>
      <c r="L939" s="39"/>
      <c r="M939" s="179">
        <v>30</v>
      </c>
      <c r="N939" s="180">
        <f>MONTH(Tableau13[[#This Row],[Date fin intervention]])</f>
        <v>8</v>
      </c>
      <c r="O939" s="180">
        <f>YEAR(Tableau13[[#This Row],[Date fin intervention]])</f>
        <v>2020</v>
      </c>
      <c r="P939" s="39"/>
    </row>
    <row r="940" spans="1:16" ht="42.75">
      <c r="A940" s="175">
        <v>44067</v>
      </c>
      <c r="B940" s="176">
        <v>590</v>
      </c>
      <c r="C940" s="177" t="str">
        <f>IF(ISNA(VLOOKUP(Tableau13[[#This Row],[Code machine]],'CODE mchn'!$A$4:$C$170,2,0)),"",VLOOKUP(Tableau13[[#This Row],[Code machine]],'CODE mchn'!$A$4:$C$170,2,0))</f>
        <v>Acier</v>
      </c>
      <c r="D940" s="36" t="str">
        <f>IF(ISNA(VLOOKUP(Tableau13[[#This Row],[Code machine]],'CODE mchn'!$A$4:$C$170,3,0)),"",VLOOKUP(Tableau13[[#This Row],[Code machine]],'CODE mchn'!$A$4:$C$170,3,0))</f>
        <v>Teurema 3</v>
      </c>
      <c r="E940" s="105"/>
      <c r="F940" s="39"/>
      <c r="G940" s="39" t="s">
        <v>612</v>
      </c>
      <c r="H940" s="39" t="s">
        <v>1776</v>
      </c>
      <c r="I940" s="39" t="s">
        <v>13</v>
      </c>
      <c r="J940" s="177" t="s">
        <v>1777</v>
      </c>
      <c r="K940" s="178">
        <v>44081</v>
      </c>
      <c r="L940" s="39"/>
      <c r="M940" s="179" t="s">
        <v>2259</v>
      </c>
      <c r="N940" s="180">
        <f>MONTH(Tableau13[[#This Row],[Date fin intervention]])</f>
        <v>9</v>
      </c>
      <c r="O940" s="180">
        <f>YEAR(Tableau13[[#This Row],[Date fin intervention]])</f>
        <v>2020</v>
      </c>
      <c r="P940" s="39"/>
    </row>
    <row r="941" spans="1:16">
      <c r="A941" s="175">
        <v>44069</v>
      </c>
      <c r="B941" s="176">
        <v>582</v>
      </c>
      <c r="C941" s="177" t="str">
        <f>IF(ISNA(VLOOKUP(Tableau13[[#This Row],[Code machine]],'CODE mchn'!$A$4:$C$170,2,0)),"",VLOOKUP(Tableau13[[#This Row],[Code machine]],'CODE mchn'!$A$4:$C$170,2,0))</f>
        <v>Acier</v>
      </c>
      <c r="D941" s="36" t="str">
        <f>IF(ISNA(VLOOKUP(Tableau13[[#This Row],[Code machine]],'CODE mchn'!$A$4:$C$170,3,0)),"",VLOOKUP(Tableau13[[#This Row],[Code machine]],'CODE mchn'!$A$4:$C$170,3,0))</f>
        <v>Teurema 2</v>
      </c>
      <c r="E941" s="105"/>
      <c r="F941" s="39"/>
      <c r="G941" s="39" t="s">
        <v>664</v>
      </c>
      <c r="H941" s="39" t="s">
        <v>352</v>
      </c>
      <c r="I941" s="39" t="s">
        <v>13</v>
      </c>
      <c r="J941" s="177" t="s">
        <v>1349</v>
      </c>
      <c r="K941" s="178">
        <v>44069</v>
      </c>
      <c r="L941" s="39"/>
      <c r="M941" s="179">
        <v>1</v>
      </c>
      <c r="N941" s="180">
        <f>MONTH(Tableau13[[#This Row],[Date fin intervention]])</f>
        <v>8</v>
      </c>
      <c r="O941" s="180">
        <f>YEAR(Tableau13[[#This Row],[Date fin intervention]])</f>
        <v>2020</v>
      </c>
      <c r="P941" s="39"/>
    </row>
    <row r="942" spans="1:16">
      <c r="A942" s="175">
        <v>44074</v>
      </c>
      <c r="B942" s="176">
        <v>800</v>
      </c>
      <c r="C942" s="177" t="str">
        <f>IF(ISNA(VLOOKUP(Tableau13[[#This Row],[Code machine]],'CODE mchn'!$A$4:$C$170,2,0)),"",VLOOKUP(Tableau13[[#This Row],[Code machine]],'CODE mchn'!$A$4:$C$170,2,0))</f>
        <v>Béton</v>
      </c>
      <c r="D942" s="36" t="str">
        <f>IF(ISNA(VLOOKUP(Tableau13[[#This Row],[Code machine]],'CODE mchn'!$A$4:$C$170,3,0)),"",VLOOKUP(Tableau13[[#This Row],[Code machine]],'CODE mchn'!$A$4:$C$170,3,0))</f>
        <v>Poyatos 2</v>
      </c>
      <c r="E942" s="105"/>
      <c r="F942" s="39"/>
      <c r="G942" s="39" t="s">
        <v>128</v>
      </c>
      <c r="H942" s="39" t="s">
        <v>376</v>
      </c>
      <c r="I942" s="39" t="s">
        <v>13</v>
      </c>
      <c r="J942" s="177" t="s">
        <v>1778</v>
      </c>
      <c r="K942" s="178">
        <v>44074</v>
      </c>
      <c r="L942" s="39"/>
      <c r="M942" s="179">
        <v>1</v>
      </c>
      <c r="N942" s="180">
        <f>MONTH(Tableau13[[#This Row],[Date fin intervention]])</f>
        <v>8</v>
      </c>
      <c r="O942" s="180">
        <f>YEAR(Tableau13[[#This Row],[Date fin intervention]])</f>
        <v>2020</v>
      </c>
      <c r="P942" s="39"/>
    </row>
    <row r="943" spans="1:16">
      <c r="A943" s="104">
        <v>44075</v>
      </c>
      <c r="B943" s="105">
        <v>582</v>
      </c>
      <c r="C943" s="106" t="str">
        <f>IF(ISNA(VLOOKUP(Tableau13[[#This Row],[Code machine]],'CODE mchn'!$A$4:$C$170,2,0)),"",VLOOKUP(Tableau13[[#This Row],[Code machine]],'CODE mchn'!$A$4:$C$170,2,0))</f>
        <v>Acier</v>
      </c>
      <c r="D943" s="36" t="str">
        <f>IF(ISNA(VLOOKUP(Tableau13[[#This Row],[Code machine]],'CODE mchn'!$A$4:$C$170,3,0)),"",VLOOKUP(Tableau13[[#This Row],[Code machine]],'CODE mchn'!$A$4:$C$170,3,0))</f>
        <v>Teurema 2</v>
      </c>
      <c r="E943" s="105"/>
      <c r="F943" s="36"/>
      <c r="G943" s="36" t="s">
        <v>1787</v>
      </c>
      <c r="H943" s="36" t="s">
        <v>1788</v>
      </c>
      <c r="I943" s="36" t="s">
        <v>13</v>
      </c>
      <c r="J943" s="106" t="s">
        <v>1789</v>
      </c>
      <c r="K943" s="71">
        <v>44075</v>
      </c>
      <c r="L943" s="36"/>
      <c r="M943" s="141">
        <v>2</v>
      </c>
      <c r="N943" s="108">
        <f>MONTH(Tableau13[[#This Row],[Date fin intervention]])</f>
        <v>9</v>
      </c>
      <c r="O943" s="108">
        <f>YEAR(Tableau13[[#This Row],[Date fin intervention]])</f>
        <v>2020</v>
      </c>
      <c r="P943" s="36"/>
    </row>
    <row r="944" spans="1:16" ht="28.5">
      <c r="A944" s="104">
        <v>44075</v>
      </c>
      <c r="B944" s="105">
        <v>590</v>
      </c>
      <c r="C944" s="106" t="str">
        <f>IF(ISNA(VLOOKUP(Tableau13[[#This Row],[Code machine]],'CODE mchn'!$A$4:$C$170,2,0)),"",VLOOKUP(Tableau13[[#This Row],[Code machine]],'CODE mchn'!$A$4:$C$170,2,0))</f>
        <v>Acier</v>
      </c>
      <c r="D944" s="36" t="str">
        <f>IF(ISNA(VLOOKUP(Tableau13[[#This Row],[Code machine]],'CODE mchn'!$A$4:$C$170,3,0)),"",VLOOKUP(Tableau13[[#This Row],[Code machine]],'CODE mchn'!$A$4:$C$170,3,0))</f>
        <v>Teurema 3</v>
      </c>
      <c r="E944" s="105"/>
      <c r="F944" s="36"/>
      <c r="G944" s="36" t="s">
        <v>1644</v>
      </c>
      <c r="H944" s="36" t="s">
        <v>1790</v>
      </c>
      <c r="I944" s="36" t="s">
        <v>13</v>
      </c>
      <c r="J944" s="106" t="s">
        <v>1791</v>
      </c>
      <c r="K944" s="71">
        <v>44075</v>
      </c>
      <c r="L944" s="36"/>
      <c r="M944" s="141">
        <v>1</v>
      </c>
      <c r="N944" s="108">
        <f>MONTH(Tableau13[[#This Row],[Date fin intervention]])</f>
        <v>9</v>
      </c>
      <c r="O944" s="108">
        <f>YEAR(Tableau13[[#This Row],[Date fin intervention]])</f>
        <v>2020</v>
      </c>
      <c r="P944" s="36"/>
    </row>
    <row r="945" spans="1:16">
      <c r="A945" s="104">
        <v>44075</v>
      </c>
      <c r="B945" s="105">
        <v>590</v>
      </c>
      <c r="C945" s="106" t="str">
        <f>IF(ISNA(VLOOKUP(Tableau13[[#This Row],[Code machine]],'CODE mchn'!$A$4:$C$170,2,0)),"",VLOOKUP(Tableau13[[#This Row],[Code machine]],'CODE mchn'!$A$4:$C$170,2,0))</f>
        <v>Acier</v>
      </c>
      <c r="D945" s="36" t="str">
        <f>IF(ISNA(VLOOKUP(Tableau13[[#This Row],[Code machine]],'CODE mchn'!$A$4:$C$170,3,0)),"",VLOOKUP(Tableau13[[#This Row],[Code machine]],'CODE mchn'!$A$4:$C$170,3,0))</f>
        <v>Teurema 3</v>
      </c>
      <c r="E945" s="105"/>
      <c r="F945" s="36"/>
      <c r="G945" s="36" t="s">
        <v>1792</v>
      </c>
      <c r="H945" s="36" t="s">
        <v>1793</v>
      </c>
      <c r="I945" s="36" t="s">
        <v>13</v>
      </c>
      <c r="J945" s="106" t="s">
        <v>1794</v>
      </c>
      <c r="K945" s="71">
        <v>44075</v>
      </c>
      <c r="L945" s="36"/>
      <c r="M945" s="141">
        <v>3</v>
      </c>
      <c r="N945" s="108">
        <f>MONTH(Tableau13[[#This Row],[Date fin intervention]])</f>
        <v>9</v>
      </c>
      <c r="O945" s="108">
        <f>YEAR(Tableau13[[#This Row],[Date fin intervention]])</f>
        <v>2020</v>
      </c>
      <c r="P945" s="36"/>
    </row>
    <row r="946" spans="1:16">
      <c r="A946" s="104">
        <v>44075</v>
      </c>
      <c r="B946" s="105">
        <v>700</v>
      </c>
      <c r="C946" s="106" t="str">
        <f>IF(ISNA(VLOOKUP(Tableau13[[#This Row],[Code machine]],'CODE mchn'!$A$4:$C$170,2,0)),"",VLOOKUP(Tableau13[[#This Row],[Code machine]],'CODE mchn'!$A$4:$C$170,2,0))</f>
        <v>Béton</v>
      </c>
      <c r="D946" s="36" t="str">
        <f>IF(ISNA(VLOOKUP(Tableau13[[#This Row],[Code machine]],'CODE mchn'!$A$4:$C$170,3,0)),"",VLOOKUP(Tableau13[[#This Row],[Code machine]],'CODE mchn'!$A$4:$C$170,3,0))</f>
        <v>Poyatos 1</v>
      </c>
      <c r="E946" s="105"/>
      <c r="F946" s="36"/>
      <c r="G946" s="36" t="s">
        <v>49</v>
      </c>
      <c r="H946" s="36" t="s">
        <v>1326</v>
      </c>
      <c r="I946" s="36" t="s">
        <v>13</v>
      </c>
      <c r="J946" s="106" t="s">
        <v>1824</v>
      </c>
      <c r="K946" s="71">
        <v>44075</v>
      </c>
      <c r="L946" s="36"/>
      <c r="M946" s="141">
        <v>30</v>
      </c>
      <c r="N946" s="108">
        <f>MONTH(Tableau13[[#This Row],[Date fin intervention]])</f>
        <v>9</v>
      </c>
      <c r="O946" s="108">
        <f>YEAR(Tableau13[[#This Row],[Date fin intervention]])</f>
        <v>2020</v>
      </c>
      <c r="P946" s="36"/>
    </row>
    <row r="947" spans="1:16">
      <c r="A947" s="104">
        <v>44076</v>
      </c>
      <c r="B947" s="105">
        <v>570</v>
      </c>
      <c r="C947" s="106" t="str">
        <f>IF(ISNA(VLOOKUP(Tableau13[[#This Row],[Code machine]],'CODE mchn'!$A$4:$C$170,2,0)),"",VLOOKUP(Tableau13[[#This Row],[Code machine]],'CODE mchn'!$A$4:$C$170,2,0))</f>
        <v>Acier</v>
      </c>
      <c r="D947" s="36" t="str">
        <f>IF(ISNA(VLOOKUP(Tableau13[[#This Row],[Code machine]],'CODE mchn'!$A$4:$C$170,3,0)),"",VLOOKUP(Tableau13[[#This Row],[Code machine]],'CODE mchn'!$A$4:$C$170,3,0))</f>
        <v>Sigmatic</v>
      </c>
      <c r="E947" s="105"/>
      <c r="F947" s="36"/>
      <c r="G947" s="36" t="s">
        <v>1221</v>
      </c>
      <c r="H947" s="36" t="s">
        <v>1259</v>
      </c>
      <c r="I947" s="36" t="s">
        <v>13</v>
      </c>
      <c r="J947" s="106" t="s">
        <v>1798</v>
      </c>
      <c r="K947" s="71">
        <v>44076</v>
      </c>
      <c r="L947" s="36"/>
      <c r="M947" s="141">
        <v>2</v>
      </c>
      <c r="N947" s="108">
        <f>MONTH(Tableau13[[#This Row],[Date fin intervention]])</f>
        <v>9</v>
      </c>
      <c r="O947" s="108">
        <f>YEAR(Tableau13[[#This Row],[Date fin intervention]])</f>
        <v>2020</v>
      </c>
      <c r="P947" s="36"/>
    </row>
    <row r="948" spans="1:16">
      <c r="A948" s="104">
        <v>44076</v>
      </c>
      <c r="B948" s="105">
        <v>581</v>
      </c>
      <c r="C948" s="106" t="str">
        <f>IF(ISNA(VLOOKUP(Tableau13[[#This Row],[Code machine]],'CODE mchn'!$A$4:$C$170,2,0)),"",VLOOKUP(Tableau13[[#This Row],[Code machine]],'CODE mchn'!$A$4:$C$170,2,0))</f>
        <v>Acier</v>
      </c>
      <c r="D948" s="36" t="str">
        <f>IF(ISNA(VLOOKUP(Tableau13[[#This Row],[Code machine]],'CODE mchn'!$A$4:$C$170,3,0)),"",VLOOKUP(Tableau13[[#This Row],[Code machine]],'CODE mchn'!$A$4:$C$170,3,0))</f>
        <v>Teurema 1</v>
      </c>
      <c r="E948" s="105"/>
      <c r="F948" s="36"/>
      <c r="G948" s="36" t="s">
        <v>78</v>
      </c>
      <c r="H948" s="36" t="s">
        <v>1795</v>
      </c>
      <c r="I948" s="36" t="s">
        <v>13</v>
      </c>
      <c r="J948" s="106" t="s">
        <v>1796</v>
      </c>
      <c r="K948" s="71">
        <v>44076</v>
      </c>
      <c r="L948" s="36"/>
      <c r="M948" s="141">
        <v>1</v>
      </c>
      <c r="N948" s="108">
        <f>MONTH(Tableau13[[#This Row],[Date fin intervention]])</f>
        <v>9</v>
      </c>
      <c r="O948" s="108">
        <f>YEAR(Tableau13[[#This Row],[Date fin intervention]])</f>
        <v>2020</v>
      </c>
      <c r="P948" s="36"/>
    </row>
    <row r="949" spans="1:16">
      <c r="A949" s="104">
        <v>44076</v>
      </c>
      <c r="B949" s="105">
        <v>700</v>
      </c>
      <c r="C949" s="106" t="str">
        <f>IF(ISNA(VLOOKUP(Tableau13[[#This Row],[Code machine]],'CODE mchn'!$A$4:$C$170,2,0)),"",VLOOKUP(Tableau13[[#This Row],[Code machine]],'CODE mchn'!$A$4:$C$170,2,0))</f>
        <v>Béton</v>
      </c>
      <c r="D949" s="36" t="str">
        <f>IF(ISNA(VLOOKUP(Tableau13[[#This Row],[Code machine]],'CODE mchn'!$A$4:$C$170,3,0)),"",VLOOKUP(Tableau13[[#This Row],[Code machine]],'CODE mchn'!$A$4:$C$170,3,0))</f>
        <v>Poyatos 1</v>
      </c>
      <c r="E949" s="105"/>
      <c r="F949" s="36"/>
      <c r="G949" s="36" t="s">
        <v>185</v>
      </c>
      <c r="H949" s="36" t="s">
        <v>1825</v>
      </c>
      <c r="I949" s="36" t="s">
        <v>315</v>
      </c>
      <c r="J949" s="106" t="s">
        <v>1826</v>
      </c>
      <c r="K949" s="71">
        <v>44076</v>
      </c>
      <c r="L949" s="36"/>
      <c r="M949" s="141">
        <v>1</v>
      </c>
      <c r="N949" s="108">
        <f>MONTH(Tableau13[[#This Row],[Date fin intervention]])</f>
        <v>9</v>
      </c>
      <c r="O949" s="108">
        <f>YEAR(Tableau13[[#This Row],[Date fin intervention]])</f>
        <v>2020</v>
      </c>
      <c r="P949" s="36"/>
    </row>
    <row r="950" spans="1:16">
      <c r="A950" s="104">
        <v>44077</v>
      </c>
      <c r="B950" s="105">
        <v>565</v>
      </c>
      <c r="C950" s="106" t="str">
        <f>IF(ISNA(VLOOKUP(Tableau13[[#This Row],[Code machine]],'CODE mchn'!$A$4:$C$170,2,0)),"",VLOOKUP(Tableau13[[#This Row],[Code machine]],'CODE mchn'!$A$4:$C$170,2,0))</f>
        <v>Acier</v>
      </c>
      <c r="D950" s="36" t="str">
        <f>IF(ISNA(VLOOKUP(Tableau13[[#This Row],[Code machine]],'CODE mchn'!$A$4:$C$170,3,0)),"",VLOOKUP(Tableau13[[#This Row],[Code machine]],'CODE mchn'!$A$4:$C$170,3,0))</f>
        <v>EVG GE12</v>
      </c>
      <c r="E950" s="105"/>
      <c r="F950" s="36"/>
      <c r="G950" s="36" t="s">
        <v>869</v>
      </c>
      <c r="H950" s="36" t="s">
        <v>1801</v>
      </c>
      <c r="I950" s="36" t="s">
        <v>13</v>
      </c>
      <c r="J950" s="106" t="s">
        <v>708</v>
      </c>
      <c r="K950" s="71">
        <v>44077</v>
      </c>
      <c r="L950" s="36"/>
      <c r="M950" s="141">
        <v>1</v>
      </c>
      <c r="N950" s="108">
        <f>MONTH(Tableau13[[#This Row],[Date fin intervention]])</f>
        <v>9</v>
      </c>
      <c r="O950" s="108">
        <f>YEAR(Tableau13[[#This Row],[Date fin intervention]])</f>
        <v>2020</v>
      </c>
      <c r="P950" s="36"/>
    </row>
    <row r="951" spans="1:16" ht="42.75">
      <c r="A951" s="104">
        <v>44077</v>
      </c>
      <c r="B951" s="105">
        <v>582</v>
      </c>
      <c r="C951" s="106" t="str">
        <f>IF(ISNA(VLOOKUP(Tableau13[[#This Row],[Code machine]],'CODE mchn'!$A$4:$C$170,2,0)),"",VLOOKUP(Tableau13[[#This Row],[Code machine]],'CODE mchn'!$A$4:$C$170,2,0))</f>
        <v>Acier</v>
      </c>
      <c r="D951" s="36" t="str">
        <f>IF(ISNA(VLOOKUP(Tableau13[[#This Row],[Code machine]],'CODE mchn'!$A$4:$C$170,3,0)),"",VLOOKUP(Tableau13[[#This Row],[Code machine]],'CODE mchn'!$A$4:$C$170,3,0))</f>
        <v>Teurema 2</v>
      </c>
      <c r="E951" s="105"/>
      <c r="F951" s="36"/>
      <c r="G951" s="36" t="s">
        <v>1802</v>
      </c>
      <c r="H951" s="36" t="s">
        <v>1800</v>
      </c>
      <c r="I951" s="36" t="s">
        <v>13</v>
      </c>
      <c r="J951" s="106" t="s">
        <v>1800</v>
      </c>
      <c r="K951" s="71">
        <v>44078</v>
      </c>
      <c r="L951" s="36"/>
      <c r="M951" s="141" t="s">
        <v>2259</v>
      </c>
      <c r="N951" s="108">
        <f>MONTH(Tableau13[[#This Row],[Date fin intervention]])</f>
        <v>9</v>
      </c>
      <c r="O951" s="108">
        <f>YEAR(Tableau13[[#This Row],[Date fin intervention]])</f>
        <v>2020</v>
      </c>
      <c r="P951" s="36"/>
    </row>
    <row r="952" spans="1:16">
      <c r="A952" s="104">
        <v>44077</v>
      </c>
      <c r="B952" s="105">
        <v>700</v>
      </c>
      <c r="C952" s="106" t="str">
        <f>IF(ISNA(VLOOKUP(Tableau13[[#This Row],[Code machine]],'CODE mchn'!$A$4:$C$170,2,0)),"",VLOOKUP(Tableau13[[#This Row],[Code machine]],'CODE mchn'!$A$4:$C$170,2,0))</f>
        <v>Béton</v>
      </c>
      <c r="D952" s="36" t="str">
        <f>IF(ISNA(VLOOKUP(Tableau13[[#This Row],[Code machine]],'CODE mchn'!$A$4:$C$170,3,0)),"",VLOOKUP(Tableau13[[#This Row],[Code machine]],'CODE mchn'!$A$4:$C$170,3,0))</f>
        <v>Poyatos 1</v>
      </c>
      <c r="E952" s="105"/>
      <c r="F952" s="36"/>
      <c r="G952" s="36" t="s">
        <v>49</v>
      </c>
      <c r="H952" s="36" t="s">
        <v>1827</v>
      </c>
      <c r="I952" s="36" t="s">
        <v>13</v>
      </c>
      <c r="J952" s="106" t="s">
        <v>1828</v>
      </c>
      <c r="K952" s="71">
        <v>44077</v>
      </c>
      <c r="L952" s="36"/>
      <c r="M952" s="141">
        <v>1</v>
      </c>
      <c r="N952" s="108">
        <f>MONTH(Tableau13[[#This Row],[Date fin intervention]])</f>
        <v>9</v>
      </c>
      <c r="O952" s="108">
        <f>YEAR(Tableau13[[#This Row],[Date fin intervention]])</f>
        <v>2020</v>
      </c>
      <c r="P952" s="36"/>
    </row>
    <row r="953" spans="1:16">
      <c r="A953" s="104">
        <v>44078</v>
      </c>
      <c r="B953" s="105">
        <v>700</v>
      </c>
      <c r="C953" s="106" t="str">
        <f>IF(ISNA(VLOOKUP(Tableau13[[#This Row],[Code machine]],'CODE mchn'!$A$4:$C$170,2,0)),"",VLOOKUP(Tableau13[[#This Row],[Code machine]],'CODE mchn'!$A$4:$C$170,2,0))</f>
        <v>Béton</v>
      </c>
      <c r="D953" s="36" t="str">
        <f>IF(ISNA(VLOOKUP(Tableau13[[#This Row],[Code machine]],'CODE mchn'!$A$4:$C$170,3,0)),"",VLOOKUP(Tableau13[[#This Row],[Code machine]],'CODE mchn'!$A$4:$C$170,3,0))</f>
        <v>Poyatos 1</v>
      </c>
      <c r="E953" s="105"/>
      <c r="F953" s="36"/>
      <c r="G953" s="36" t="s">
        <v>394</v>
      </c>
      <c r="H953" s="36" t="s">
        <v>1829</v>
      </c>
      <c r="I953" s="36" t="s">
        <v>13</v>
      </c>
      <c r="J953" s="106" t="s">
        <v>1830</v>
      </c>
      <c r="K953" s="71">
        <v>44078</v>
      </c>
      <c r="L953" s="36"/>
      <c r="M953" s="141">
        <v>1</v>
      </c>
      <c r="N953" s="108">
        <f>MONTH(Tableau13[[#This Row],[Date fin intervention]])</f>
        <v>9</v>
      </c>
      <c r="O953" s="108">
        <f>YEAR(Tableau13[[#This Row],[Date fin intervention]])</f>
        <v>2020</v>
      </c>
      <c r="P953" s="36"/>
    </row>
    <row r="954" spans="1:16">
      <c r="A954" s="104">
        <v>44078</v>
      </c>
      <c r="B954" s="105">
        <v>700</v>
      </c>
      <c r="C954" s="106" t="str">
        <f>IF(ISNA(VLOOKUP(Tableau13[[#This Row],[Code machine]],'CODE mchn'!$A$4:$C$170,2,0)),"",VLOOKUP(Tableau13[[#This Row],[Code machine]],'CODE mchn'!$A$4:$C$170,2,0))</f>
        <v>Béton</v>
      </c>
      <c r="D954" s="36" t="str">
        <f>IF(ISNA(VLOOKUP(Tableau13[[#This Row],[Code machine]],'CODE mchn'!$A$4:$C$170,3,0)),"",VLOOKUP(Tableau13[[#This Row],[Code machine]],'CODE mchn'!$A$4:$C$170,3,0))</f>
        <v>Poyatos 1</v>
      </c>
      <c r="E954" s="105"/>
      <c r="F954" s="36"/>
      <c r="G954" s="36" t="s">
        <v>291</v>
      </c>
      <c r="H954" s="36" t="s">
        <v>1831</v>
      </c>
      <c r="I954" s="36" t="s">
        <v>13</v>
      </c>
      <c r="J954" s="106" t="s">
        <v>1832</v>
      </c>
      <c r="K954" s="71">
        <v>44078</v>
      </c>
      <c r="L954" s="36"/>
      <c r="M954" s="141">
        <v>1</v>
      </c>
      <c r="N954" s="108">
        <f>MONTH(Tableau13[[#This Row],[Date fin intervention]])</f>
        <v>9</v>
      </c>
      <c r="O954" s="108">
        <f>YEAR(Tableau13[[#This Row],[Date fin intervention]])</f>
        <v>2020</v>
      </c>
      <c r="P954" s="36"/>
    </row>
    <row r="955" spans="1:16">
      <c r="A955" s="104">
        <v>44079</v>
      </c>
      <c r="B955" s="105">
        <v>582</v>
      </c>
      <c r="C955" s="106" t="str">
        <f>IF(ISNA(VLOOKUP(Tableau13[[#This Row],[Code machine]],'CODE mchn'!$A$4:$C$170,2,0)),"",VLOOKUP(Tableau13[[#This Row],[Code machine]],'CODE mchn'!$A$4:$C$170,2,0))</f>
        <v>Acier</v>
      </c>
      <c r="D955" s="36" t="str">
        <f>IF(ISNA(VLOOKUP(Tableau13[[#This Row],[Code machine]],'CODE mchn'!$A$4:$C$170,3,0)),"",VLOOKUP(Tableau13[[#This Row],[Code machine]],'CODE mchn'!$A$4:$C$170,3,0))</f>
        <v>Teurema 2</v>
      </c>
      <c r="E955" s="105"/>
      <c r="F955" s="36"/>
      <c r="G955" s="36" t="s">
        <v>1803</v>
      </c>
      <c r="H955" s="36" t="s">
        <v>1804</v>
      </c>
      <c r="I955" s="36" t="s">
        <v>13</v>
      </c>
      <c r="J955" s="106" t="s">
        <v>1805</v>
      </c>
      <c r="K955" s="71">
        <v>44079</v>
      </c>
      <c r="L955" s="36"/>
      <c r="M955" s="141">
        <v>1</v>
      </c>
      <c r="N955" s="108">
        <f>MONTH(Tableau13[[#This Row],[Date fin intervention]])</f>
        <v>9</v>
      </c>
      <c r="O955" s="108">
        <f>YEAR(Tableau13[[#This Row],[Date fin intervention]])</f>
        <v>2020</v>
      </c>
      <c r="P955" s="36"/>
    </row>
    <row r="956" spans="1:16">
      <c r="A956" s="104">
        <v>44079</v>
      </c>
      <c r="B956" s="105">
        <v>610</v>
      </c>
      <c r="C956" s="106" t="str">
        <f>IF(ISNA(VLOOKUP(Tableau13[[#This Row],[Code machine]],'CODE mchn'!$A$4:$C$170,2,0)),"",VLOOKUP(Tableau13[[#This Row],[Code machine]],'CODE mchn'!$A$4:$C$170,2,0))</f>
        <v>Acier</v>
      </c>
      <c r="D956" s="36" t="str">
        <f>IF(ISNA(VLOOKUP(Tableau13[[#This Row],[Code machine]],'CODE mchn'!$A$4:$C$170,3,0)),"",VLOOKUP(Tableau13[[#This Row],[Code machine]],'CODE mchn'!$A$4:$C$170,3,0))</f>
        <v>MEP91</v>
      </c>
      <c r="E956" s="105"/>
      <c r="F956" s="36"/>
      <c r="G956" s="36" t="s">
        <v>1797</v>
      </c>
      <c r="H956" s="36" t="s">
        <v>1278</v>
      </c>
      <c r="I956" s="36" t="s">
        <v>13</v>
      </c>
      <c r="J956" s="106" t="s">
        <v>1806</v>
      </c>
      <c r="K956" s="71">
        <v>44079</v>
      </c>
      <c r="L956" s="36"/>
      <c r="M956" s="141">
        <v>4</v>
      </c>
      <c r="N956" s="108">
        <f>MONTH(Tableau13[[#This Row],[Date fin intervention]])</f>
        <v>9</v>
      </c>
      <c r="O956" s="108">
        <f>YEAR(Tableau13[[#This Row],[Date fin intervention]])</f>
        <v>2020</v>
      </c>
      <c r="P956" s="36"/>
    </row>
    <row r="957" spans="1:16">
      <c r="A957" s="104">
        <v>44079</v>
      </c>
      <c r="B957" s="105">
        <v>570</v>
      </c>
      <c r="C957" s="106" t="str">
        <f>IF(ISNA(VLOOKUP(Tableau13[[#This Row],[Code machine]],'CODE mchn'!$A$4:$C$170,2,0)),"",VLOOKUP(Tableau13[[#This Row],[Code machine]],'CODE mchn'!$A$4:$C$170,2,0))</f>
        <v>Acier</v>
      </c>
      <c r="D957" s="36" t="str">
        <f>IF(ISNA(VLOOKUP(Tableau13[[#This Row],[Code machine]],'CODE mchn'!$A$4:$C$170,3,0)),"",VLOOKUP(Tableau13[[#This Row],[Code machine]],'CODE mchn'!$A$4:$C$170,3,0))</f>
        <v>Sigmatic</v>
      </c>
      <c r="E957" s="105"/>
      <c r="F957" s="36"/>
      <c r="G957" s="36" t="s">
        <v>128</v>
      </c>
      <c r="H957" s="36" t="s">
        <v>1807</v>
      </c>
      <c r="I957" s="36" t="s">
        <v>13</v>
      </c>
      <c r="J957" s="106" t="s">
        <v>1808</v>
      </c>
      <c r="K957" s="71">
        <v>44079</v>
      </c>
      <c r="L957" s="36"/>
      <c r="M957" s="141">
        <v>1</v>
      </c>
      <c r="N957" s="108">
        <f>MONTH(Tableau13[[#This Row],[Date fin intervention]])</f>
        <v>9</v>
      </c>
      <c r="O957" s="108">
        <f>YEAR(Tableau13[[#This Row],[Date fin intervention]])</f>
        <v>2020</v>
      </c>
      <c r="P957" s="36"/>
    </row>
    <row r="958" spans="1:16" ht="28.5">
      <c r="A958" s="104">
        <v>44079</v>
      </c>
      <c r="B958" s="105">
        <v>700</v>
      </c>
      <c r="C958" s="106" t="str">
        <f>IF(ISNA(VLOOKUP(Tableau13[[#This Row],[Code machine]],'CODE mchn'!$A$4:$C$170,2,0)),"",VLOOKUP(Tableau13[[#This Row],[Code machine]],'CODE mchn'!$A$4:$C$170,2,0))</f>
        <v>Béton</v>
      </c>
      <c r="D958" s="36" t="str">
        <f>IF(ISNA(VLOOKUP(Tableau13[[#This Row],[Code machine]],'CODE mchn'!$A$4:$C$170,3,0)),"",VLOOKUP(Tableau13[[#This Row],[Code machine]],'CODE mchn'!$A$4:$C$170,3,0))</f>
        <v>Poyatos 1</v>
      </c>
      <c r="E958" s="105"/>
      <c r="F958" s="36"/>
      <c r="G958" s="36" t="s">
        <v>230</v>
      </c>
      <c r="H958" s="36" t="s">
        <v>1833</v>
      </c>
      <c r="I958" s="36" t="s">
        <v>13</v>
      </c>
      <c r="J958" s="106" t="s">
        <v>1834</v>
      </c>
      <c r="K958" s="71">
        <v>44079</v>
      </c>
      <c r="L958" s="36"/>
      <c r="M958" s="141">
        <v>2</v>
      </c>
      <c r="N958" s="108">
        <f>MONTH(Tableau13[[#This Row],[Date fin intervention]])</f>
        <v>9</v>
      </c>
      <c r="O958" s="108">
        <f>YEAR(Tableau13[[#This Row],[Date fin intervention]])</f>
        <v>2020</v>
      </c>
      <c r="P958" s="36"/>
    </row>
    <row r="959" spans="1:16">
      <c r="A959" s="104">
        <v>44081</v>
      </c>
      <c r="B959" s="105">
        <v>605</v>
      </c>
      <c r="C959" s="106" t="str">
        <f>IF(ISNA(VLOOKUP(Tableau13[[#This Row],[Code machine]],'CODE mchn'!$A$4:$C$170,2,0)),"",VLOOKUP(Tableau13[[#This Row],[Code machine]],'CODE mchn'!$A$4:$C$170,2,0))</f>
        <v>Acier</v>
      </c>
      <c r="D959" s="36" t="str">
        <f>IF(ISNA(VLOOKUP(Tableau13[[#This Row],[Code machine]],'CODE mchn'!$A$4:$C$170,3,0)),"",VLOOKUP(Tableau13[[#This Row],[Code machine]],'CODE mchn'!$A$4:$C$170,3,0))</f>
        <v>Vitari 1</v>
      </c>
      <c r="E959" s="105"/>
      <c r="F959" s="36"/>
      <c r="G959" s="36" t="s">
        <v>664</v>
      </c>
      <c r="H959" s="36" t="s">
        <v>1809</v>
      </c>
      <c r="I959" s="36" t="s">
        <v>13</v>
      </c>
      <c r="J959" s="106" t="s">
        <v>1810</v>
      </c>
      <c r="K959" s="71">
        <v>44081</v>
      </c>
      <c r="L959" s="36"/>
      <c r="M959" s="141">
        <v>1</v>
      </c>
      <c r="N959" s="108">
        <f>MONTH(Tableau13[[#This Row],[Date fin intervention]])</f>
        <v>9</v>
      </c>
      <c r="O959" s="108">
        <f>YEAR(Tableau13[[#This Row],[Date fin intervention]])</f>
        <v>2020</v>
      </c>
      <c r="P959" s="36"/>
    </row>
    <row r="960" spans="1:16">
      <c r="A960" s="104">
        <v>44081</v>
      </c>
      <c r="B960" s="105">
        <v>565</v>
      </c>
      <c r="C960" s="106" t="str">
        <f>IF(ISNA(VLOOKUP(Tableau13[[#This Row],[Code machine]],'CODE mchn'!$A$4:$C$170,2,0)),"",VLOOKUP(Tableau13[[#This Row],[Code machine]],'CODE mchn'!$A$4:$C$170,2,0))</f>
        <v>Acier</v>
      </c>
      <c r="D960" s="36" t="str">
        <f>IF(ISNA(VLOOKUP(Tableau13[[#This Row],[Code machine]],'CODE mchn'!$A$4:$C$170,3,0)),"",VLOOKUP(Tableau13[[#This Row],[Code machine]],'CODE mchn'!$A$4:$C$170,3,0))</f>
        <v>EVG GE12</v>
      </c>
      <c r="E960" s="105"/>
      <c r="F960" s="36"/>
      <c r="G960" s="36" t="s">
        <v>463</v>
      </c>
      <c r="H960" s="36" t="s">
        <v>764</v>
      </c>
      <c r="I960" s="36" t="s">
        <v>13</v>
      </c>
      <c r="J960" s="106" t="s">
        <v>1600</v>
      </c>
      <c r="K960" s="71">
        <v>44081</v>
      </c>
      <c r="L960" s="36"/>
      <c r="M960" s="141">
        <v>1</v>
      </c>
      <c r="N960" s="108">
        <f>MONTH(Tableau13[[#This Row],[Date fin intervention]])</f>
        <v>9</v>
      </c>
      <c r="O960" s="108">
        <f>YEAR(Tableau13[[#This Row],[Date fin intervention]])</f>
        <v>2020</v>
      </c>
      <c r="P960" s="36"/>
    </row>
    <row r="961" spans="1:16">
      <c r="A961" s="104">
        <v>44081</v>
      </c>
      <c r="B961" s="105">
        <v>580</v>
      </c>
      <c r="C961" s="106" t="str">
        <f>IF(ISNA(VLOOKUP(Tableau13[[#This Row],[Code machine]],'CODE mchn'!$A$4:$C$170,2,0)),"",VLOOKUP(Tableau13[[#This Row],[Code machine]],'CODE mchn'!$A$4:$C$170,2,0))</f>
        <v>Acier</v>
      </c>
      <c r="D961" s="36" t="str">
        <f>IF(ISNA(VLOOKUP(Tableau13[[#This Row],[Code machine]],'CODE mchn'!$A$4:$C$170,3,0)),"",VLOOKUP(Tableau13[[#This Row],[Code machine]],'CODE mchn'!$A$4:$C$170,3,0))</f>
        <v>Techno Impiante</v>
      </c>
      <c r="E961" s="105"/>
      <c r="F961" s="36"/>
      <c r="G961" s="36" t="s">
        <v>1811</v>
      </c>
      <c r="H961" s="36" t="s">
        <v>1812</v>
      </c>
      <c r="I961" s="36" t="s">
        <v>13</v>
      </c>
      <c r="J961" s="106" t="s">
        <v>1812</v>
      </c>
      <c r="K961" s="71">
        <v>44081</v>
      </c>
      <c r="L961" s="36"/>
      <c r="M961" s="141">
        <v>1</v>
      </c>
      <c r="N961" s="108">
        <f>MONTH(Tableau13[[#This Row],[Date fin intervention]])</f>
        <v>9</v>
      </c>
      <c r="O961" s="108">
        <f>YEAR(Tableau13[[#This Row],[Date fin intervention]])</f>
        <v>2020</v>
      </c>
      <c r="P961" s="36"/>
    </row>
    <row r="962" spans="1:16">
      <c r="A962" s="104">
        <v>44081</v>
      </c>
      <c r="B962" s="105">
        <v>582</v>
      </c>
      <c r="C962" s="106" t="str">
        <f>IF(ISNA(VLOOKUP(Tableau13[[#This Row],[Code machine]],'CODE mchn'!$A$4:$C$170,2,0)),"",VLOOKUP(Tableau13[[#This Row],[Code machine]],'CODE mchn'!$A$4:$C$170,2,0))</f>
        <v>Acier</v>
      </c>
      <c r="D962" s="36" t="str">
        <f>IF(ISNA(VLOOKUP(Tableau13[[#This Row],[Code machine]],'CODE mchn'!$A$4:$C$170,3,0)),"",VLOOKUP(Tableau13[[#This Row],[Code machine]],'CODE mchn'!$A$4:$C$170,3,0))</f>
        <v>Teurema 2</v>
      </c>
      <c r="E962" s="105"/>
      <c r="F962" s="36"/>
      <c r="G962" s="36" t="s">
        <v>1813</v>
      </c>
      <c r="H962" s="36" t="s">
        <v>810</v>
      </c>
      <c r="I962" s="36" t="s">
        <v>13</v>
      </c>
      <c r="J962" s="106" t="s">
        <v>1814</v>
      </c>
      <c r="K962" s="71">
        <v>44081</v>
      </c>
      <c r="L962" s="36"/>
      <c r="M962" s="141">
        <v>1</v>
      </c>
      <c r="N962" s="108">
        <f>MONTH(Tableau13[[#This Row],[Date fin intervention]])</f>
        <v>9</v>
      </c>
      <c r="O962" s="108">
        <f>YEAR(Tableau13[[#This Row],[Date fin intervention]])</f>
        <v>2020</v>
      </c>
      <c r="P962" s="36"/>
    </row>
    <row r="963" spans="1:16" ht="42.75">
      <c r="A963" s="175">
        <v>44082</v>
      </c>
      <c r="B963" s="176">
        <v>700</v>
      </c>
      <c r="C963" s="177" t="str">
        <f>IF(ISNA(VLOOKUP(Tableau13[[#This Row],[Code machine]],'CODE mchn'!$A$4:$C$170,2,0)),"",VLOOKUP(Tableau13[[#This Row],[Code machine]],'CODE mchn'!$A$4:$C$170,2,0))</f>
        <v>Béton</v>
      </c>
      <c r="D963" s="36" t="str">
        <f>IF(ISNA(VLOOKUP(Tableau13[[#This Row],[Code machine]],'CODE mchn'!$A$4:$C$170,3,0)),"",VLOOKUP(Tableau13[[#This Row],[Code machine]],'CODE mchn'!$A$4:$C$170,3,0))</f>
        <v>Poyatos 1</v>
      </c>
      <c r="E963" s="105"/>
      <c r="F963" s="39"/>
      <c r="G963" s="39" t="s">
        <v>128</v>
      </c>
      <c r="H963" s="39" t="s">
        <v>524</v>
      </c>
      <c r="I963" s="39" t="s">
        <v>13</v>
      </c>
      <c r="J963" s="177" t="s">
        <v>1779</v>
      </c>
      <c r="K963" s="178">
        <v>44083</v>
      </c>
      <c r="L963" s="39"/>
      <c r="M963" s="179" t="s">
        <v>2259</v>
      </c>
      <c r="N963" s="180">
        <f>MONTH(Tableau13[[#This Row],[Date fin intervention]])</f>
        <v>9</v>
      </c>
      <c r="O963" s="180">
        <f>YEAR(Tableau13[[#This Row],[Date fin intervention]])</f>
        <v>2020</v>
      </c>
      <c r="P963" s="39"/>
    </row>
    <row r="964" spans="1:16" ht="28.5">
      <c r="A964" s="104">
        <v>44082</v>
      </c>
      <c r="B964" s="105">
        <v>700</v>
      </c>
      <c r="C964" s="106" t="str">
        <f>IF(ISNA(VLOOKUP(Tableau13[[#This Row],[Code machine]],'CODE mchn'!$A$4:$C$170,2,0)),"",VLOOKUP(Tableau13[[#This Row],[Code machine]],'CODE mchn'!$A$4:$C$170,2,0))</f>
        <v>Béton</v>
      </c>
      <c r="D964" s="36" t="str">
        <f>IF(ISNA(VLOOKUP(Tableau13[[#This Row],[Code machine]],'CODE mchn'!$A$4:$C$170,3,0)),"",VLOOKUP(Tableau13[[#This Row],[Code machine]],'CODE mchn'!$A$4:$C$170,3,0))</f>
        <v>Poyatos 1</v>
      </c>
      <c r="E964" s="105"/>
      <c r="F964" s="36"/>
      <c r="G964" s="36" t="s">
        <v>375</v>
      </c>
      <c r="H964" s="36" t="s">
        <v>1835</v>
      </c>
      <c r="I964" s="36" t="s">
        <v>13</v>
      </c>
      <c r="J964" s="106" t="s">
        <v>1836</v>
      </c>
      <c r="K964" s="71">
        <v>44082</v>
      </c>
      <c r="L964" s="36"/>
      <c r="M964" s="141">
        <v>4</v>
      </c>
      <c r="N964" s="108">
        <f>MONTH(Tableau13[[#This Row],[Date fin intervention]])</f>
        <v>9</v>
      </c>
      <c r="O964" s="108">
        <f>YEAR(Tableau13[[#This Row],[Date fin intervention]])</f>
        <v>2020</v>
      </c>
      <c r="P964" s="36"/>
    </row>
    <row r="965" spans="1:16">
      <c r="A965" s="104">
        <v>44082</v>
      </c>
      <c r="B965" s="105">
        <v>700</v>
      </c>
      <c r="C965" s="106" t="str">
        <f>IF(ISNA(VLOOKUP(Tableau13[[#This Row],[Code machine]],'CODE mchn'!$A$4:$C$170,2,0)),"",VLOOKUP(Tableau13[[#This Row],[Code machine]],'CODE mchn'!$A$4:$C$170,2,0))</f>
        <v>Béton</v>
      </c>
      <c r="D965" s="36" t="str">
        <f>IF(ISNA(VLOOKUP(Tableau13[[#This Row],[Code machine]],'CODE mchn'!$A$4:$C$170,3,0)),"",VLOOKUP(Tableau13[[#This Row],[Code machine]],'CODE mchn'!$A$4:$C$170,3,0))</f>
        <v>Poyatos 1</v>
      </c>
      <c r="E965" s="105"/>
      <c r="F965" s="36"/>
      <c r="G965" s="36" t="s">
        <v>682</v>
      </c>
      <c r="H965" s="36" t="s">
        <v>524</v>
      </c>
      <c r="I965" s="36" t="s">
        <v>13</v>
      </c>
      <c r="J965" s="106" t="s">
        <v>1837</v>
      </c>
      <c r="K965" s="71">
        <v>44082</v>
      </c>
      <c r="L965" s="36"/>
      <c r="M965" s="141">
        <v>4</v>
      </c>
      <c r="N965" s="108">
        <f>MONTH(Tableau13[[#This Row],[Date fin intervention]])</f>
        <v>9</v>
      </c>
      <c r="O965" s="108">
        <f>YEAR(Tableau13[[#This Row],[Date fin intervention]])</f>
        <v>2020</v>
      </c>
      <c r="P965" s="36"/>
    </row>
    <row r="966" spans="1:16" ht="28.5">
      <c r="A966" s="104">
        <v>44082</v>
      </c>
      <c r="B966" s="105">
        <v>583</v>
      </c>
      <c r="C966" s="106" t="str">
        <f>IF(ISNA(VLOOKUP(Tableau13[[#This Row],[Code machine]],'CODE mchn'!$A$4:$C$170,2,0)),"",VLOOKUP(Tableau13[[#This Row],[Code machine]],'CODE mchn'!$A$4:$C$170,2,0))</f>
        <v>Ponts roulants</v>
      </c>
      <c r="D966" s="36" t="str">
        <f>IF(ISNA(VLOOKUP(Tableau13[[#This Row],[Code machine]],'CODE mchn'!$A$4:$C$170,3,0)),"",VLOOKUP(Tableau13[[#This Row],[Code machine]],'CODE mchn'!$A$4:$C$170,3,0))</f>
        <v>Pont roulant Abus 5T (teurema1)</v>
      </c>
      <c r="E966" s="105"/>
      <c r="F966" s="36"/>
      <c r="G966" s="36" t="s">
        <v>667</v>
      </c>
      <c r="H966" s="36" t="s">
        <v>1862</v>
      </c>
      <c r="I966" s="36" t="s">
        <v>13</v>
      </c>
      <c r="J966" s="106" t="s">
        <v>1863</v>
      </c>
      <c r="K966" s="71">
        <v>44082</v>
      </c>
      <c r="L966" s="36"/>
      <c r="M966" s="141">
        <v>30</v>
      </c>
      <c r="N966" s="108">
        <f>MONTH(Tableau13[[#This Row],[Date fin intervention]])</f>
        <v>9</v>
      </c>
      <c r="O966" s="108">
        <f>YEAR(Tableau13[[#This Row],[Date fin intervention]])</f>
        <v>2020</v>
      </c>
      <c r="P966" s="36"/>
    </row>
    <row r="967" spans="1:16">
      <c r="A967" s="175">
        <v>44083</v>
      </c>
      <c r="B967" s="176">
        <v>560</v>
      </c>
      <c r="C967" s="177" t="str">
        <f>IF(ISNA(VLOOKUP(Tableau13[[#This Row],[Code machine]],'CODE mchn'!$A$4:$C$170,2,0)),"",VLOOKUP(Tableau13[[#This Row],[Code machine]],'CODE mchn'!$A$4:$C$170,2,0))</f>
        <v>Acier</v>
      </c>
      <c r="D967" s="36" t="str">
        <f>IF(ISNA(VLOOKUP(Tableau13[[#This Row],[Code machine]],'CODE mchn'!$A$4:$C$170,3,0)),"",VLOOKUP(Tableau13[[#This Row],[Code machine]],'CODE mchn'!$A$4:$C$170,3,0))</f>
        <v>Schlatter</v>
      </c>
      <c r="E967" s="105"/>
      <c r="F967" s="39"/>
      <c r="G967" s="39" t="s">
        <v>104</v>
      </c>
      <c r="H967" s="39" t="s">
        <v>1783</v>
      </c>
      <c r="I967" s="39" t="s">
        <v>13</v>
      </c>
      <c r="J967" s="177" t="s">
        <v>1784</v>
      </c>
      <c r="K967" s="178">
        <v>44083</v>
      </c>
      <c r="L967" s="39"/>
      <c r="M967" s="179">
        <v>15</v>
      </c>
      <c r="N967" s="180">
        <f>MONTH(Tableau13[[#This Row],[Date fin intervention]])</f>
        <v>9</v>
      </c>
      <c r="O967" s="180">
        <f>YEAR(Tableau13[[#This Row],[Date fin intervention]])</f>
        <v>2020</v>
      </c>
      <c r="P967" s="39"/>
    </row>
    <row r="968" spans="1:16">
      <c r="A968" s="104">
        <v>44083</v>
      </c>
      <c r="B968" s="105">
        <v>605</v>
      </c>
      <c r="C968" s="106" t="str">
        <f>IF(ISNA(VLOOKUP(Tableau13[[#This Row],[Code machine]],'CODE mchn'!$A$4:$C$170,2,0)),"",VLOOKUP(Tableau13[[#This Row],[Code machine]],'CODE mchn'!$A$4:$C$170,2,0))</f>
        <v>Acier</v>
      </c>
      <c r="D968" s="36" t="str">
        <f>IF(ISNA(VLOOKUP(Tableau13[[#This Row],[Code machine]],'CODE mchn'!$A$4:$C$170,3,0)),"",VLOOKUP(Tableau13[[#This Row],[Code machine]],'CODE mchn'!$A$4:$C$170,3,0))</f>
        <v>Vitari 1</v>
      </c>
      <c r="E968" s="105"/>
      <c r="F968" s="36"/>
      <c r="G968" s="36" t="s">
        <v>10</v>
      </c>
      <c r="H968" s="36" t="s">
        <v>1815</v>
      </c>
      <c r="I968" s="36" t="s">
        <v>13</v>
      </c>
      <c r="J968" s="106" t="s">
        <v>1177</v>
      </c>
      <c r="K968" s="71">
        <v>44083</v>
      </c>
      <c r="L968" s="36"/>
      <c r="M968" s="141">
        <v>20</v>
      </c>
      <c r="N968" s="108">
        <f>MONTH(Tableau13[[#This Row],[Date fin intervention]])</f>
        <v>9</v>
      </c>
      <c r="O968" s="108">
        <f>YEAR(Tableau13[[#This Row],[Date fin intervention]])</f>
        <v>2020</v>
      </c>
      <c r="P968" s="36"/>
    </row>
    <row r="969" spans="1:16">
      <c r="A969" s="104">
        <v>44083</v>
      </c>
      <c r="B969" s="105">
        <v>700</v>
      </c>
      <c r="C969" s="106" t="str">
        <f>IF(ISNA(VLOOKUP(Tableau13[[#This Row],[Code machine]],'CODE mchn'!$A$4:$C$170,2,0)),"",VLOOKUP(Tableau13[[#This Row],[Code machine]],'CODE mchn'!$A$4:$C$170,2,0))</f>
        <v>Béton</v>
      </c>
      <c r="D969" s="36" t="str">
        <f>IF(ISNA(VLOOKUP(Tableau13[[#This Row],[Code machine]],'CODE mchn'!$A$4:$C$170,3,0)),"",VLOOKUP(Tableau13[[#This Row],[Code machine]],'CODE mchn'!$A$4:$C$170,3,0))</f>
        <v>Poyatos 1</v>
      </c>
      <c r="E969" s="105"/>
      <c r="F969" s="36"/>
      <c r="G969" s="36" t="s">
        <v>291</v>
      </c>
      <c r="H969" s="36" t="s">
        <v>1841</v>
      </c>
      <c r="I969" s="36" t="s">
        <v>13</v>
      </c>
      <c r="J969" s="106" t="s">
        <v>1842</v>
      </c>
      <c r="K969" s="71">
        <v>44083</v>
      </c>
      <c r="L969" s="36"/>
      <c r="M969" s="141">
        <v>2</v>
      </c>
      <c r="N969" s="108">
        <f>MONTH(Tableau13[[#This Row],[Date fin intervention]])</f>
        <v>9</v>
      </c>
      <c r="O969" s="108">
        <f>YEAR(Tableau13[[#This Row],[Date fin intervention]])</f>
        <v>2020</v>
      </c>
      <c r="P969" s="36"/>
    </row>
    <row r="970" spans="1:16">
      <c r="A970" s="104">
        <v>44083</v>
      </c>
      <c r="B970" s="105">
        <v>605</v>
      </c>
      <c r="C970" s="106" t="str">
        <f>IF(ISNA(VLOOKUP(Tableau13[[#This Row],[Code machine]],'CODE mchn'!$A$4:$C$170,2,0)),"",VLOOKUP(Tableau13[[#This Row],[Code machine]],'CODE mchn'!$A$4:$C$170,2,0))</f>
        <v>Acier</v>
      </c>
      <c r="D970" s="36" t="str">
        <f>IF(ISNA(VLOOKUP(Tableau13[[#This Row],[Code machine]],'CODE mchn'!$A$4:$C$170,3,0)),"",VLOOKUP(Tableau13[[#This Row],[Code machine]],'CODE mchn'!$A$4:$C$170,3,0))</f>
        <v>Vitari 1</v>
      </c>
      <c r="E970" s="105"/>
      <c r="F970" s="36"/>
      <c r="G970" s="36" t="s">
        <v>10</v>
      </c>
      <c r="H970" s="36" t="s">
        <v>1870</v>
      </c>
      <c r="I970" s="36" t="s">
        <v>13</v>
      </c>
      <c r="J970" s="106" t="s">
        <v>1177</v>
      </c>
      <c r="K970" s="71">
        <v>44083</v>
      </c>
      <c r="L970" s="36"/>
      <c r="M970" s="141">
        <v>20</v>
      </c>
      <c r="N970" s="108">
        <f>MONTH(Tableau13[[#This Row],[Date fin intervention]])</f>
        <v>9</v>
      </c>
      <c r="O970" s="108">
        <f>YEAR(Tableau13[[#This Row],[Date fin intervention]])</f>
        <v>2020</v>
      </c>
      <c r="P970" s="36"/>
    </row>
    <row r="971" spans="1:16" ht="42.75">
      <c r="A971" s="175">
        <v>44084</v>
      </c>
      <c r="B971" s="176">
        <v>581</v>
      </c>
      <c r="C971" s="177" t="str">
        <f>IF(ISNA(VLOOKUP(Tableau13[[#This Row],[Code machine]],'CODE mchn'!$A$4:$C$170,2,0)),"",VLOOKUP(Tableau13[[#This Row],[Code machine]],'CODE mchn'!$A$4:$C$170,2,0))</f>
        <v>Acier</v>
      </c>
      <c r="D971" s="36" t="str">
        <f>IF(ISNA(VLOOKUP(Tableau13[[#This Row],[Code machine]],'CODE mchn'!$A$4:$C$170,3,0)),"",VLOOKUP(Tableau13[[#This Row],[Code machine]],'CODE mchn'!$A$4:$C$170,3,0))</f>
        <v>Teurema 1</v>
      </c>
      <c r="E971" s="105"/>
      <c r="F971" s="39"/>
      <c r="G971" s="39" t="s">
        <v>70</v>
      </c>
      <c r="H971" s="39" t="s">
        <v>1780</v>
      </c>
      <c r="I971" s="39" t="s">
        <v>13</v>
      </c>
      <c r="J971" s="177" t="s">
        <v>1756</v>
      </c>
      <c r="K971" s="178">
        <v>44096</v>
      </c>
      <c r="L971" s="39"/>
      <c r="M971" s="179" t="s">
        <v>2259</v>
      </c>
      <c r="N971" s="180">
        <f>MONTH(Tableau13[[#This Row],[Date fin intervention]])</f>
        <v>9</v>
      </c>
      <c r="O971" s="180">
        <f>YEAR(Tableau13[[#This Row],[Date fin intervention]])</f>
        <v>2020</v>
      </c>
      <c r="P971" s="39"/>
    </row>
    <row r="972" spans="1:16" ht="42.75">
      <c r="A972" s="175">
        <v>44084</v>
      </c>
      <c r="B972" s="176">
        <v>580</v>
      </c>
      <c r="C972" s="177" t="str">
        <f>IF(ISNA(VLOOKUP(Tableau13[[#This Row],[Code machine]],'CODE mchn'!$A$4:$C$170,2,0)),"",VLOOKUP(Tableau13[[#This Row],[Code machine]],'CODE mchn'!$A$4:$C$170,2,0))</f>
        <v>Acier</v>
      </c>
      <c r="D972" s="36" t="str">
        <f>IF(ISNA(VLOOKUP(Tableau13[[#This Row],[Code machine]],'CODE mchn'!$A$4:$C$170,3,0)),"",VLOOKUP(Tableau13[[#This Row],[Code machine]],'CODE mchn'!$A$4:$C$170,3,0))</f>
        <v>Techno Impiante</v>
      </c>
      <c r="E972" s="105"/>
      <c r="F972" s="39"/>
      <c r="G972" s="39" t="s">
        <v>612</v>
      </c>
      <c r="H972" s="39" t="s">
        <v>1781</v>
      </c>
      <c r="I972" s="39" t="s">
        <v>13</v>
      </c>
      <c r="J972" s="177" t="s">
        <v>1782</v>
      </c>
      <c r="K972" s="178">
        <v>44085</v>
      </c>
      <c r="L972" s="39"/>
      <c r="M972" s="179" t="s">
        <v>2259</v>
      </c>
      <c r="N972" s="180">
        <f>MONTH(Tableau13[[#This Row],[Date fin intervention]])</f>
        <v>9</v>
      </c>
      <c r="O972" s="180">
        <f>YEAR(Tableau13[[#This Row],[Date fin intervention]])</f>
        <v>2020</v>
      </c>
      <c r="P972" s="39"/>
    </row>
    <row r="973" spans="1:16" ht="28.5">
      <c r="A973" s="175">
        <v>44084</v>
      </c>
      <c r="B973" s="176">
        <v>568</v>
      </c>
      <c r="C973" s="177" t="str">
        <f>IF(ISNA(VLOOKUP(Tableau13[[#This Row],[Code machine]],'CODE mchn'!$A$4:$C$170,2,0)),"",VLOOKUP(Tableau13[[#This Row],[Code machine]],'CODE mchn'!$A$4:$C$170,2,0))</f>
        <v>Ponts roulants</v>
      </c>
      <c r="D973" s="36" t="str">
        <f>IF(ISNA(VLOOKUP(Tableau13[[#This Row],[Code machine]],'CODE mchn'!$A$4:$C$170,3,0)),"",VLOOKUP(Tableau13[[#This Row],[Code machine]],'CODE mchn'!$A$4:$C$170,3,0))</f>
        <v>Pont roulant Demag 5T (milieu)</v>
      </c>
      <c r="E973" s="105"/>
      <c r="F973" s="39"/>
      <c r="G973" s="39" t="s">
        <v>1294</v>
      </c>
      <c r="H973" s="39" t="s">
        <v>482</v>
      </c>
      <c r="I973" s="39"/>
      <c r="J973" s="177" t="s">
        <v>1786</v>
      </c>
      <c r="K973" s="178">
        <v>44084</v>
      </c>
      <c r="L973" s="39"/>
      <c r="M973" s="179"/>
      <c r="N973" s="180">
        <f>MONTH(Tableau13[[#This Row],[Date fin intervention]])</f>
        <v>9</v>
      </c>
      <c r="O973" s="180">
        <f>YEAR(Tableau13[[#This Row],[Date fin intervention]])</f>
        <v>2020</v>
      </c>
      <c r="P973" s="39"/>
    </row>
    <row r="974" spans="1:16">
      <c r="A974" s="175">
        <v>44084</v>
      </c>
      <c r="B974" s="176">
        <v>565</v>
      </c>
      <c r="C974" s="177" t="str">
        <f>IF(ISNA(VLOOKUP(Tableau13[[#This Row],[Code machine]],'CODE mchn'!$A$4:$C$170,2,0)),"",VLOOKUP(Tableau13[[#This Row],[Code machine]],'CODE mchn'!$A$4:$C$170,2,0))</f>
        <v>Acier</v>
      </c>
      <c r="D974" s="36" t="str">
        <f>IF(ISNA(VLOOKUP(Tableau13[[#This Row],[Code machine]],'CODE mchn'!$A$4:$C$170,3,0)),"",VLOOKUP(Tableau13[[#This Row],[Code machine]],'CODE mchn'!$A$4:$C$170,3,0))</f>
        <v>EVG GE12</v>
      </c>
      <c r="E974" s="105"/>
      <c r="F974" s="39"/>
      <c r="G974" s="39" t="s">
        <v>869</v>
      </c>
      <c r="H974" s="39" t="s">
        <v>1785</v>
      </c>
      <c r="I974" s="39" t="s">
        <v>13</v>
      </c>
      <c r="J974" s="106" t="s">
        <v>708</v>
      </c>
      <c r="K974" s="178">
        <v>44084</v>
      </c>
      <c r="L974" s="39"/>
      <c r="M974" s="179"/>
      <c r="N974" s="180">
        <f>MONTH(Tableau13[[#This Row],[Date fin intervention]])</f>
        <v>9</v>
      </c>
      <c r="O974" s="180">
        <f>YEAR(Tableau13[[#This Row],[Date fin intervention]])</f>
        <v>2020</v>
      </c>
      <c r="P974" s="39"/>
    </row>
    <row r="975" spans="1:16" ht="42.75">
      <c r="A975" s="104">
        <v>44084</v>
      </c>
      <c r="B975" s="105">
        <v>581</v>
      </c>
      <c r="C975" s="106" t="str">
        <f>IF(ISNA(VLOOKUP(Tableau13[[#This Row],[Code machine]],'CODE mchn'!$A$4:$C$170,2,0)),"",VLOOKUP(Tableau13[[#This Row],[Code machine]],'CODE mchn'!$A$4:$C$170,2,0))</f>
        <v>Acier</v>
      </c>
      <c r="D975" s="36" t="str">
        <f>IF(ISNA(VLOOKUP(Tableau13[[#This Row],[Code machine]],'CODE mchn'!$A$4:$C$170,3,0)),"",VLOOKUP(Tableau13[[#This Row],[Code machine]],'CODE mchn'!$A$4:$C$170,3,0))</f>
        <v>Teurema 1</v>
      </c>
      <c r="E975" s="105"/>
      <c r="F975" s="36"/>
      <c r="G975" s="36" t="s">
        <v>70</v>
      </c>
      <c r="H975" s="36" t="s">
        <v>1816</v>
      </c>
      <c r="I975" s="36" t="s">
        <v>13</v>
      </c>
      <c r="J975" s="106" t="s">
        <v>1817</v>
      </c>
      <c r="K975" s="71">
        <v>44095</v>
      </c>
      <c r="L975" s="36"/>
      <c r="M975" s="141" t="s">
        <v>2259</v>
      </c>
      <c r="N975" s="108">
        <f>MONTH(Tableau13[[#This Row],[Date fin intervention]])</f>
        <v>9</v>
      </c>
      <c r="O975" s="108">
        <f>YEAR(Tableau13[[#This Row],[Date fin intervention]])</f>
        <v>2020</v>
      </c>
      <c r="P975" s="36"/>
    </row>
    <row r="976" spans="1:16">
      <c r="A976" s="104">
        <v>44084</v>
      </c>
      <c r="B976" s="105">
        <v>700</v>
      </c>
      <c r="C976" s="106" t="str">
        <f>IF(ISNA(VLOOKUP(Tableau13[[#This Row],[Code machine]],'CODE mchn'!$A$4:$C$170,2,0)),"",VLOOKUP(Tableau13[[#This Row],[Code machine]],'CODE mchn'!$A$4:$C$170,2,0))</f>
        <v>Béton</v>
      </c>
      <c r="D976" s="36" t="str">
        <f>IF(ISNA(VLOOKUP(Tableau13[[#This Row],[Code machine]],'CODE mchn'!$A$4:$C$170,3,0)),"",VLOOKUP(Tableau13[[#This Row],[Code machine]],'CODE mchn'!$A$4:$C$170,3,0))</f>
        <v>Poyatos 1</v>
      </c>
      <c r="E976" s="105"/>
      <c r="F976" s="36"/>
      <c r="G976" s="36" t="s">
        <v>375</v>
      </c>
      <c r="H976" s="36" t="s">
        <v>1839</v>
      </c>
      <c r="I976" s="36" t="s">
        <v>13</v>
      </c>
      <c r="J976" s="106" t="s">
        <v>1838</v>
      </c>
      <c r="K976" s="71">
        <v>44084</v>
      </c>
      <c r="L976" s="36"/>
      <c r="M976" s="141">
        <v>1</v>
      </c>
      <c r="N976" s="108">
        <f>MONTH(Tableau13[[#This Row],[Date fin intervention]])</f>
        <v>9</v>
      </c>
      <c r="O976" s="108">
        <f>YEAR(Tableau13[[#This Row],[Date fin intervention]])</f>
        <v>2020</v>
      </c>
      <c r="P976" s="36"/>
    </row>
    <row r="977" spans="1:16">
      <c r="A977" s="104">
        <v>44084</v>
      </c>
      <c r="B977" s="105">
        <v>580</v>
      </c>
      <c r="C977" s="106" t="str">
        <f>IF(ISNA(VLOOKUP(Tableau13[[#This Row],[Code machine]],'CODE mchn'!$A$4:$C$170,2,0)),"",VLOOKUP(Tableau13[[#This Row],[Code machine]],'CODE mchn'!$A$4:$C$170,2,0))</f>
        <v>Acier</v>
      </c>
      <c r="D977" s="36" t="str">
        <f>IF(ISNA(VLOOKUP(Tableau13[[#This Row],[Code machine]],'CODE mchn'!$A$4:$C$170,3,0)),"",VLOOKUP(Tableau13[[#This Row],[Code machine]],'CODE mchn'!$A$4:$C$170,3,0))</f>
        <v>Techno Impiante</v>
      </c>
      <c r="E977" s="105"/>
      <c r="F977" s="36"/>
      <c r="G977" s="36" t="s">
        <v>612</v>
      </c>
      <c r="H977" s="36" t="s">
        <v>1864</v>
      </c>
      <c r="I977" s="36" t="s">
        <v>13</v>
      </c>
      <c r="J977" s="106" t="s">
        <v>1865</v>
      </c>
      <c r="K977" s="71">
        <v>44084</v>
      </c>
      <c r="L977" s="36"/>
      <c r="M977" s="141">
        <v>1</v>
      </c>
      <c r="N977" s="108">
        <f>MONTH(Tableau13[[#This Row],[Date fin intervention]])</f>
        <v>9</v>
      </c>
      <c r="O977" s="108">
        <f>YEAR(Tableau13[[#This Row],[Date fin intervention]])</f>
        <v>2020</v>
      </c>
      <c r="P977" s="36"/>
    </row>
    <row r="978" spans="1:16">
      <c r="A978" s="104">
        <v>44084</v>
      </c>
      <c r="B978" s="105">
        <v>560</v>
      </c>
      <c r="C978" s="106" t="str">
        <f>IF(ISNA(VLOOKUP(Tableau13[[#This Row],[Code machine]],'CODE mchn'!$A$4:$C$170,2,0)),"",VLOOKUP(Tableau13[[#This Row],[Code machine]],'CODE mchn'!$A$4:$C$170,2,0))</f>
        <v>Acier</v>
      </c>
      <c r="D978" s="36" t="str">
        <f>IF(ISNA(VLOOKUP(Tableau13[[#This Row],[Code machine]],'CODE mchn'!$A$4:$C$170,3,0)),"",VLOOKUP(Tableau13[[#This Row],[Code machine]],'CODE mchn'!$A$4:$C$170,3,0))</f>
        <v>Schlatter</v>
      </c>
      <c r="E978" s="105"/>
      <c r="F978" s="36"/>
      <c r="G978" s="36" t="s">
        <v>104</v>
      </c>
      <c r="H978" s="36" t="s">
        <v>1866</v>
      </c>
      <c r="I978" s="36" t="s">
        <v>13</v>
      </c>
      <c r="J978" s="106" t="s">
        <v>1867</v>
      </c>
      <c r="K978" s="71">
        <v>44084</v>
      </c>
      <c r="L978" s="36"/>
      <c r="M978" s="141">
        <v>1</v>
      </c>
      <c r="N978" s="108">
        <f>MONTH(Tableau13[[#This Row],[Date fin intervention]])</f>
        <v>9</v>
      </c>
      <c r="O978" s="108">
        <f>YEAR(Tableau13[[#This Row],[Date fin intervention]])</f>
        <v>2020</v>
      </c>
      <c r="P978" s="36"/>
    </row>
    <row r="979" spans="1:16" ht="28.5">
      <c r="A979" s="104">
        <v>44084</v>
      </c>
      <c r="B979" s="105">
        <v>568</v>
      </c>
      <c r="C979" s="106" t="str">
        <f>IF(ISNA(VLOOKUP(Tableau13[[#This Row],[Code machine]],'CODE mchn'!$A$4:$C$170,2,0)),"",VLOOKUP(Tableau13[[#This Row],[Code machine]],'CODE mchn'!$A$4:$C$170,2,0))</f>
        <v>Ponts roulants</v>
      </c>
      <c r="D979" s="36" t="str">
        <f>IF(ISNA(VLOOKUP(Tableau13[[#This Row],[Code machine]],'CODE mchn'!$A$4:$C$170,3,0)),"",VLOOKUP(Tableau13[[#This Row],[Code machine]],'CODE mchn'!$A$4:$C$170,3,0))</f>
        <v>Pont roulant Demag 5T (milieu)</v>
      </c>
      <c r="E979" s="105"/>
      <c r="F979" s="36"/>
      <c r="G979" s="36" t="s">
        <v>1869</v>
      </c>
      <c r="H979" s="36" t="s">
        <v>482</v>
      </c>
      <c r="I979" s="36" t="s">
        <v>13</v>
      </c>
      <c r="J979" s="106" t="s">
        <v>1868</v>
      </c>
      <c r="K979" s="71">
        <v>44084</v>
      </c>
      <c r="L979" s="36"/>
      <c r="M979" s="141"/>
      <c r="N979" s="108">
        <f>MONTH(Tableau13[[#This Row],[Date fin intervention]])</f>
        <v>9</v>
      </c>
      <c r="O979" s="108">
        <f>YEAR(Tableau13[[#This Row],[Date fin intervention]])</f>
        <v>2020</v>
      </c>
      <c r="P979" s="36"/>
    </row>
    <row r="980" spans="1:16">
      <c r="A980" s="104">
        <v>44084</v>
      </c>
      <c r="B980" s="105">
        <v>565</v>
      </c>
      <c r="C980" s="106" t="str">
        <f>IF(ISNA(VLOOKUP(Tableau13[[#This Row],[Code machine]],'CODE mchn'!$A$4:$C$170,2,0)),"",VLOOKUP(Tableau13[[#This Row],[Code machine]],'CODE mchn'!$A$4:$C$170,2,0))</f>
        <v>Acier</v>
      </c>
      <c r="D980" s="36" t="str">
        <f>IF(ISNA(VLOOKUP(Tableau13[[#This Row],[Code machine]],'CODE mchn'!$A$4:$C$170,3,0)),"",VLOOKUP(Tableau13[[#This Row],[Code machine]],'CODE mchn'!$A$4:$C$170,3,0))</f>
        <v>EVG GE12</v>
      </c>
      <c r="E980" s="105"/>
      <c r="F980" s="36"/>
      <c r="G980" s="36" t="s">
        <v>1101</v>
      </c>
      <c r="H980" s="36" t="s">
        <v>1871</v>
      </c>
      <c r="I980" s="36" t="s">
        <v>13</v>
      </c>
      <c r="J980" s="106" t="s">
        <v>708</v>
      </c>
      <c r="K980" s="71">
        <v>44084</v>
      </c>
      <c r="L980" s="36"/>
      <c r="M980" s="141">
        <v>20</v>
      </c>
      <c r="N980" s="108">
        <f>MONTH(Tableau13[[#This Row],[Date fin intervention]])</f>
        <v>9</v>
      </c>
      <c r="O980" s="108">
        <f>YEAR(Tableau13[[#This Row],[Date fin intervention]])</f>
        <v>2020</v>
      </c>
      <c r="P980" s="36"/>
    </row>
    <row r="981" spans="1:16">
      <c r="A981" s="104">
        <v>44085</v>
      </c>
      <c r="B981" s="105">
        <v>590</v>
      </c>
      <c r="C981" s="106" t="str">
        <f>IF(ISNA(VLOOKUP(Tableau13[[#This Row],[Code machine]],'CODE mchn'!$A$4:$C$170,2,0)),"",VLOOKUP(Tableau13[[#This Row],[Code machine]],'CODE mchn'!$A$4:$C$170,2,0))</f>
        <v>Acier</v>
      </c>
      <c r="D981" s="36" t="str">
        <f>IF(ISNA(VLOOKUP(Tableau13[[#This Row],[Code machine]],'CODE mchn'!$A$4:$C$170,3,0)),"",VLOOKUP(Tableau13[[#This Row],[Code machine]],'CODE mchn'!$A$4:$C$170,3,0))</f>
        <v>Teurema 3</v>
      </c>
      <c r="E981" s="105"/>
      <c r="F981" s="36"/>
      <c r="G981" s="36" t="s">
        <v>1640</v>
      </c>
      <c r="H981" s="36" t="s">
        <v>1818</v>
      </c>
      <c r="I981" s="36" t="s">
        <v>13</v>
      </c>
      <c r="J981" s="106" t="s">
        <v>1076</v>
      </c>
      <c r="K981" s="71">
        <v>44085</v>
      </c>
      <c r="L981" s="36"/>
      <c r="M981" s="141">
        <v>1</v>
      </c>
      <c r="N981" s="108">
        <f>MONTH(Tableau13[[#This Row],[Date fin intervention]])</f>
        <v>9</v>
      </c>
      <c r="O981" s="108">
        <f>YEAR(Tableau13[[#This Row],[Date fin intervention]])</f>
        <v>2020</v>
      </c>
      <c r="P981" s="36"/>
    </row>
    <row r="982" spans="1:16" ht="42.75">
      <c r="A982" s="104">
        <v>44085</v>
      </c>
      <c r="B982" s="105">
        <v>800</v>
      </c>
      <c r="C982" s="106" t="str">
        <f>IF(ISNA(VLOOKUP(Tableau13[[#This Row],[Code machine]],'CODE mchn'!$A$4:$C$170,2,0)),"",VLOOKUP(Tableau13[[#This Row],[Code machine]],'CODE mchn'!$A$4:$C$170,2,0))</f>
        <v>Béton</v>
      </c>
      <c r="D982" s="36" t="str">
        <f>IF(ISNA(VLOOKUP(Tableau13[[#This Row],[Code machine]],'CODE mchn'!$A$4:$C$170,3,0)),"",VLOOKUP(Tableau13[[#This Row],[Code machine]],'CODE mchn'!$A$4:$C$170,3,0))</f>
        <v>Poyatos 2</v>
      </c>
      <c r="E982" s="105"/>
      <c r="F982" s="36"/>
      <c r="G982" s="36" t="s">
        <v>3</v>
      </c>
      <c r="H982" s="36" t="s">
        <v>1578</v>
      </c>
      <c r="I982" s="36" t="s">
        <v>13</v>
      </c>
      <c r="J982" s="106" t="s">
        <v>1840</v>
      </c>
      <c r="K982" s="71">
        <v>44085</v>
      </c>
      <c r="L982" s="36"/>
      <c r="M982" s="141">
        <v>3</v>
      </c>
      <c r="N982" s="108">
        <f>MONTH(Tableau13[[#This Row],[Date fin intervention]])</f>
        <v>9</v>
      </c>
      <c r="O982" s="108">
        <f>YEAR(Tableau13[[#This Row],[Date fin intervention]])</f>
        <v>2020</v>
      </c>
      <c r="P982" s="36"/>
    </row>
    <row r="983" spans="1:16">
      <c r="A983" s="187">
        <v>44085</v>
      </c>
      <c r="B983" s="188">
        <v>590</v>
      </c>
      <c r="C983" s="189" t="str">
        <f>IF(ISNA(VLOOKUP(Tableau13[[#This Row],[Code machine]],'CODE mchn'!$A$4:$C$170,2,0)),"",VLOOKUP(Tableau13[[#This Row],[Code machine]],'CODE mchn'!$A$4:$C$170,2,0))</f>
        <v>Acier</v>
      </c>
      <c r="D983" s="36" t="str">
        <f>IF(ISNA(VLOOKUP(Tableau13[[#This Row],[Code machine]],'CODE mchn'!$A$4:$C$170,3,0)),"",VLOOKUP(Tableau13[[#This Row],[Code machine]],'CODE mchn'!$A$4:$C$170,3,0))</f>
        <v>Teurema 3</v>
      </c>
      <c r="E983" s="105"/>
      <c r="F983" s="40"/>
      <c r="G983" s="40" t="s">
        <v>1640</v>
      </c>
      <c r="H983" s="40" t="s">
        <v>1872</v>
      </c>
      <c r="I983" s="40" t="s">
        <v>13</v>
      </c>
      <c r="J983" s="189" t="s">
        <v>1873</v>
      </c>
      <c r="K983" s="190">
        <v>44085</v>
      </c>
      <c r="L983" s="40"/>
      <c r="M983" s="191">
        <v>1</v>
      </c>
      <c r="N983" s="192">
        <f>MONTH(Tableau13[[#This Row],[Date fin intervention]])</f>
        <v>9</v>
      </c>
      <c r="O983" s="192">
        <f>YEAR(Tableau13[[#This Row],[Date fin intervention]])</f>
        <v>2020</v>
      </c>
      <c r="P983" s="40"/>
    </row>
    <row r="984" spans="1:16">
      <c r="A984" s="104">
        <v>44086</v>
      </c>
      <c r="B984" s="105">
        <v>590</v>
      </c>
      <c r="C984" s="106" t="str">
        <f>IF(ISNA(VLOOKUP(Tableau13[[#This Row],[Code machine]],'CODE mchn'!$A$4:$C$170,2,0)),"",VLOOKUP(Tableau13[[#This Row],[Code machine]],'CODE mchn'!$A$4:$C$170,2,0))</f>
        <v>Acier</v>
      </c>
      <c r="D984" s="36" t="str">
        <f>IF(ISNA(VLOOKUP(Tableau13[[#This Row],[Code machine]],'CODE mchn'!$A$4:$C$170,3,0)),"",VLOOKUP(Tableau13[[#This Row],[Code machine]],'CODE mchn'!$A$4:$C$170,3,0))</f>
        <v>Teurema 3</v>
      </c>
      <c r="E984" s="105"/>
      <c r="F984" s="36"/>
      <c r="G984" s="36" t="s">
        <v>1819</v>
      </c>
      <c r="H984" s="36" t="s">
        <v>1820</v>
      </c>
      <c r="I984" s="36" t="s">
        <v>13</v>
      </c>
      <c r="J984" s="106" t="s">
        <v>1820</v>
      </c>
      <c r="K984" s="71">
        <v>44086</v>
      </c>
      <c r="L984" s="36"/>
      <c r="M984" s="141">
        <v>1</v>
      </c>
      <c r="N984" s="108">
        <f>MONTH(Tableau13[[#This Row],[Date fin intervention]])</f>
        <v>9</v>
      </c>
      <c r="O984" s="108">
        <f>YEAR(Tableau13[[#This Row],[Date fin intervention]])</f>
        <v>2020</v>
      </c>
      <c r="P984" s="36"/>
    </row>
    <row r="985" spans="1:16">
      <c r="A985" s="104">
        <v>44088</v>
      </c>
      <c r="B985" s="105">
        <v>800</v>
      </c>
      <c r="C985" s="106" t="str">
        <f>IF(ISNA(VLOOKUP(Tableau13[[#This Row],[Code machine]],'CODE mchn'!$A$4:$C$170,2,0)),"",VLOOKUP(Tableau13[[#This Row],[Code machine]],'CODE mchn'!$A$4:$C$170,2,0))</f>
        <v>Béton</v>
      </c>
      <c r="D985" s="36" t="str">
        <f>IF(ISNA(VLOOKUP(Tableau13[[#This Row],[Code machine]],'CODE mchn'!$A$4:$C$170,3,0)),"",VLOOKUP(Tableau13[[#This Row],[Code machine]],'CODE mchn'!$A$4:$C$170,3,0))</f>
        <v>Poyatos 2</v>
      </c>
      <c r="E985" s="105"/>
      <c r="F985" s="36"/>
      <c r="G985" s="36" t="s">
        <v>1132</v>
      </c>
      <c r="H985" s="36" t="s">
        <v>1843</v>
      </c>
      <c r="I985" s="36" t="s">
        <v>13</v>
      </c>
      <c r="J985" s="106" t="s">
        <v>1844</v>
      </c>
      <c r="K985" s="71">
        <v>44088</v>
      </c>
      <c r="L985" s="36"/>
      <c r="M985" s="141">
        <v>30</v>
      </c>
      <c r="N985" s="108">
        <f>MONTH(Tableau13[[#This Row],[Date fin intervention]])</f>
        <v>9</v>
      </c>
      <c r="O985" s="108">
        <f>YEAR(Tableau13[[#This Row],[Date fin intervention]])</f>
        <v>2020</v>
      </c>
      <c r="P985" s="36"/>
    </row>
    <row r="986" spans="1:16">
      <c r="A986" s="104">
        <v>44088</v>
      </c>
      <c r="B986" s="105">
        <v>800</v>
      </c>
      <c r="C986" s="106" t="str">
        <f>IF(ISNA(VLOOKUP(Tableau13[[#This Row],[Code machine]],'CODE mchn'!$A$4:$C$170,2,0)),"",VLOOKUP(Tableau13[[#This Row],[Code machine]],'CODE mchn'!$A$4:$C$170,2,0))</f>
        <v>Béton</v>
      </c>
      <c r="D986" s="36" t="str">
        <f>IF(ISNA(VLOOKUP(Tableau13[[#This Row],[Code machine]],'CODE mchn'!$A$4:$C$170,3,0)),"",VLOOKUP(Tableau13[[#This Row],[Code machine]],'CODE mchn'!$A$4:$C$170,3,0))</f>
        <v>Poyatos 2</v>
      </c>
      <c r="E986" s="105"/>
      <c r="F986" s="36"/>
      <c r="G986" s="36" t="s">
        <v>1847</v>
      </c>
      <c r="H986" s="36" t="s">
        <v>776</v>
      </c>
      <c r="I986" s="36" t="s">
        <v>13</v>
      </c>
      <c r="J986" s="106" t="s">
        <v>601</v>
      </c>
      <c r="K986" s="71">
        <v>44088</v>
      </c>
      <c r="L986" s="36"/>
      <c r="M986" s="141">
        <v>30</v>
      </c>
      <c r="N986" s="108">
        <f>MONTH(Tableau13[[#This Row],[Date fin intervention]])</f>
        <v>9</v>
      </c>
      <c r="O986" s="108">
        <f>YEAR(Tableau13[[#This Row],[Date fin intervention]])</f>
        <v>2020</v>
      </c>
      <c r="P986" s="36"/>
    </row>
    <row r="987" spans="1:16">
      <c r="A987" s="104">
        <v>44089</v>
      </c>
      <c r="B987" s="105">
        <v>590</v>
      </c>
      <c r="C987" s="106" t="str">
        <f>IF(ISNA(VLOOKUP(Tableau13[[#This Row],[Code machine]],'CODE mchn'!$A$4:$C$170,2,0)),"",VLOOKUP(Tableau13[[#This Row],[Code machine]],'CODE mchn'!$A$4:$C$170,2,0))</f>
        <v>Acier</v>
      </c>
      <c r="D987" s="36" t="str">
        <f>IF(ISNA(VLOOKUP(Tableau13[[#This Row],[Code machine]],'CODE mchn'!$A$4:$C$170,3,0)),"",VLOOKUP(Tableau13[[#This Row],[Code machine]],'CODE mchn'!$A$4:$C$170,3,0))</f>
        <v>Teurema 3</v>
      </c>
      <c r="E987" s="105"/>
      <c r="F987" s="36"/>
      <c r="G987" s="36" t="s">
        <v>1821</v>
      </c>
      <c r="H987" s="36" t="s">
        <v>352</v>
      </c>
      <c r="I987" s="36" t="s">
        <v>13</v>
      </c>
      <c r="J987" s="106" t="s">
        <v>1822</v>
      </c>
      <c r="K987" s="71">
        <v>44089</v>
      </c>
      <c r="L987" s="36"/>
      <c r="M987" s="141">
        <v>1</v>
      </c>
      <c r="N987" s="108">
        <f>MONTH(Tableau13[[#This Row],[Date fin intervention]])</f>
        <v>9</v>
      </c>
      <c r="O987" s="108">
        <f>YEAR(Tableau13[[#This Row],[Date fin intervention]])</f>
        <v>2020</v>
      </c>
      <c r="P987" s="36"/>
    </row>
    <row r="988" spans="1:16">
      <c r="A988" s="104">
        <v>44089</v>
      </c>
      <c r="B988" s="105">
        <v>700</v>
      </c>
      <c r="C988" s="106" t="str">
        <f>IF(ISNA(VLOOKUP(Tableau13[[#This Row],[Code machine]],'CODE mchn'!$A$4:$C$170,2,0)),"",VLOOKUP(Tableau13[[#This Row],[Code machine]],'CODE mchn'!$A$4:$C$170,2,0))</f>
        <v>Béton</v>
      </c>
      <c r="D988" s="36" t="str">
        <f>IF(ISNA(VLOOKUP(Tableau13[[#This Row],[Code machine]],'CODE mchn'!$A$4:$C$170,3,0)),"",VLOOKUP(Tableau13[[#This Row],[Code machine]],'CODE mchn'!$A$4:$C$170,3,0))</f>
        <v>Poyatos 1</v>
      </c>
      <c r="E988" s="105"/>
      <c r="F988" s="36"/>
      <c r="G988" s="36" t="s">
        <v>118</v>
      </c>
      <c r="H988" s="36" t="s">
        <v>1845</v>
      </c>
      <c r="I988" s="36" t="s">
        <v>13</v>
      </c>
      <c r="J988" s="106" t="s">
        <v>1846</v>
      </c>
      <c r="K988" s="71">
        <v>44089</v>
      </c>
      <c r="L988" s="36"/>
      <c r="M988" s="141"/>
      <c r="N988" s="108">
        <f>MONTH(Tableau13[[#This Row],[Date fin intervention]])</f>
        <v>9</v>
      </c>
      <c r="O988" s="108">
        <f>YEAR(Tableau13[[#This Row],[Date fin intervention]])</f>
        <v>2020</v>
      </c>
      <c r="P988" s="36"/>
    </row>
    <row r="989" spans="1:16">
      <c r="A989" s="104">
        <v>44089</v>
      </c>
      <c r="B989" s="105">
        <v>800</v>
      </c>
      <c r="C989" s="106" t="str">
        <f>IF(ISNA(VLOOKUP(Tableau13[[#This Row],[Code machine]],'CODE mchn'!$A$4:$C$170,2,0)),"",VLOOKUP(Tableau13[[#This Row],[Code machine]],'CODE mchn'!$A$4:$C$170,2,0))</f>
        <v>Béton</v>
      </c>
      <c r="D989" s="36" t="str">
        <f>IF(ISNA(VLOOKUP(Tableau13[[#This Row],[Code machine]],'CODE mchn'!$A$4:$C$170,3,0)),"",VLOOKUP(Tableau13[[#This Row],[Code machine]],'CODE mchn'!$A$4:$C$170,3,0))</f>
        <v>Poyatos 2</v>
      </c>
      <c r="E989" s="105"/>
      <c r="F989" s="36"/>
      <c r="G989" s="36" t="s">
        <v>118</v>
      </c>
      <c r="H989" s="36" t="s">
        <v>1848</v>
      </c>
      <c r="I989" s="36" t="s">
        <v>13</v>
      </c>
      <c r="J989" s="106" t="s">
        <v>1849</v>
      </c>
      <c r="K989" s="71">
        <v>44089</v>
      </c>
      <c r="L989" s="36"/>
      <c r="M989" s="141">
        <v>45</v>
      </c>
      <c r="N989" s="108">
        <f>MONTH(Tableau13[[#This Row],[Date fin intervention]])</f>
        <v>9</v>
      </c>
      <c r="O989" s="108">
        <f>YEAR(Tableau13[[#This Row],[Date fin intervention]])</f>
        <v>2020</v>
      </c>
      <c r="P989" s="36"/>
    </row>
    <row r="990" spans="1:16">
      <c r="A990" s="104">
        <v>44089</v>
      </c>
      <c r="B990" s="105">
        <v>800</v>
      </c>
      <c r="C990" s="106" t="str">
        <f>IF(ISNA(VLOOKUP(Tableau13[[#This Row],[Code machine]],'CODE mchn'!$A$4:$C$170,2,0)),"",VLOOKUP(Tableau13[[#This Row],[Code machine]],'CODE mchn'!$A$4:$C$170,2,0))</f>
        <v>Béton</v>
      </c>
      <c r="D990" s="36" t="str">
        <f>IF(ISNA(VLOOKUP(Tableau13[[#This Row],[Code machine]],'CODE mchn'!$A$4:$C$170,3,0)),"",VLOOKUP(Tableau13[[#This Row],[Code machine]],'CODE mchn'!$A$4:$C$170,3,0))</f>
        <v>Poyatos 2</v>
      </c>
      <c r="E990" s="105"/>
      <c r="F990" s="36"/>
      <c r="G990" s="36" t="s">
        <v>132</v>
      </c>
      <c r="H990" s="36" t="s">
        <v>1850</v>
      </c>
      <c r="I990" s="36" t="s">
        <v>13</v>
      </c>
      <c r="J990" s="106" t="s">
        <v>1851</v>
      </c>
      <c r="K990" s="71">
        <v>44089</v>
      </c>
      <c r="L990" s="36"/>
      <c r="M990" s="141">
        <v>30</v>
      </c>
      <c r="N990" s="108">
        <f>MONTH(Tableau13[[#This Row],[Date fin intervention]])</f>
        <v>9</v>
      </c>
      <c r="O990" s="108">
        <f>YEAR(Tableau13[[#This Row],[Date fin intervention]])</f>
        <v>2020</v>
      </c>
      <c r="P990" s="36"/>
    </row>
    <row r="991" spans="1:16">
      <c r="A991" s="104">
        <v>44090</v>
      </c>
      <c r="B991" s="105">
        <v>533</v>
      </c>
      <c r="C991" s="106" t="str">
        <f>IF(ISNA(VLOOKUP(Tableau13[[#This Row],[Code machine]],'CODE mchn'!$A$4:$C$170,2,0)),"",VLOOKUP(Tableau13[[#This Row],[Code machine]],'CODE mchn'!$A$4:$C$170,2,0))</f>
        <v>Enrobage</v>
      </c>
      <c r="D991" s="36" t="str">
        <f>IF(ISNA(VLOOKUP(Tableau13[[#This Row],[Code machine]],'CODE mchn'!$A$4:$C$170,3,0)),"",VLOOKUP(Tableau13[[#This Row],[Code machine]],'CODE mchn'!$A$4:$C$170,3,0))</f>
        <v>CAROSSEL</v>
      </c>
      <c r="E991" s="105"/>
      <c r="F991" s="36"/>
      <c r="G991" s="36" t="s">
        <v>1852</v>
      </c>
      <c r="H991" s="36" t="s">
        <v>1853</v>
      </c>
      <c r="I991" s="36" t="s">
        <v>13</v>
      </c>
      <c r="J991" s="106" t="s">
        <v>1854</v>
      </c>
      <c r="K991" s="71">
        <v>44090</v>
      </c>
      <c r="L991" s="36"/>
      <c r="M991" s="141">
        <v>2</v>
      </c>
      <c r="N991" s="108">
        <f>MONTH(Tableau13[[#This Row],[Date fin intervention]])</f>
        <v>9</v>
      </c>
      <c r="O991" s="108">
        <f>YEAR(Tableau13[[#This Row],[Date fin intervention]])</f>
        <v>2020</v>
      </c>
      <c r="P991" s="36"/>
    </row>
    <row r="992" spans="1:16">
      <c r="A992" s="104">
        <v>44091</v>
      </c>
      <c r="B992" s="105">
        <v>582</v>
      </c>
      <c r="C992" s="106" t="str">
        <f>IF(ISNA(VLOOKUP(Tableau13[[#This Row],[Code machine]],'CODE mchn'!$A$4:$C$170,2,0)),"",VLOOKUP(Tableau13[[#This Row],[Code machine]],'CODE mchn'!$A$4:$C$170,2,0))</f>
        <v>Acier</v>
      </c>
      <c r="D992" s="36" t="str">
        <f>IF(ISNA(VLOOKUP(Tableau13[[#This Row],[Code machine]],'CODE mchn'!$A$4:$C$170,3,0)),"",VLOOKUP(Tableau13[[#This Row],[Code machine]],'CODE mchn'!$A$4:$C$170,3,0))</f>
        <v>Teurema 2</v>
      </c>
      <c r="E992" s="105"/>
      <c r="F992" s="36"/>
      <c r="G992" s="36" t="s">
        <v>1813</v>
      </c>
      <c r="H992" s="36" t="s">
        <v>810</v>
      </c>
      <c r="I992" s="36" t="s">
        <v>13</v>
      </c>
      <c r="J992" s="106" t="s">
        <v>1823</v>
      </c>
      <c r="K992" s="71">
        <v>44091</v>
      </c>
      <c r="L992" s="36"/>
      <c r="M992" s="141">
        <v>2</v>
      </c>
      <c r="N992" s="108">
        <f>MONTH(Tableau13[[#This Row],[Date fin intervention]])</f>
        <v>9</v>
      </c>
      <c r="O992" s="108">
        <f>YEAR(Tableau13[[#This Row],[Date fin intervention]])</f>
        <v>2020</v>
      </c>
      <c r="P992" s="36"/>
    </row>
    <row r="993" spans="1:16">
      <c r="A993" s="104">
        <v>44095</v>
      </c>
      <c r="B993" s="105">
        <v>800</v>
      </c>
      <c r="C993" s="106" t="str">
        <f>IF(ISNA(VLOOKUP(Tableau13[[#This Row],[Code machine]],'CODE mchn'!$A$4:$C$170,2,0)),"",VLOOKUP(Tableau13[[#This Row],[Code machine]],'CODE mchn'!$A$4:$C$170,2,0))</f>
        <v>Béton</v>
      </c>
      <c r="D993" s="36" t="str">
        <f>IF(ISNA(VLOOKUP(Tableau13[[#This Row],[Code machine]],'CODE mchn'!$A$4:$C$170,3,0)),"",VLOOKUP(Tableau13[[#This Row],[Code machine]],'CODE mchn'!$A$4:$C$170,3,0))</f>
        <v>Poyatos 2</v>
      </c>
      <c r="E993" s="105"/>
      <c r="F993" s="36"/>
      <c r="G993" s="36" t="s">
        <v>213</v>
      </c>
      <c r="H993" s="36" t="s">
        <v>1855</v>
      </c>
      <c r="I993" s="36" t="s">
        <v>13</v>
      </c>
      <c r="J993" s="106" t="s">
        <v>1413</v>
      </c>
      <c r="K993" s="71">
        <v>44095</v>
      </c>
      <c r="L993" s="36"/>
      <c r="M993" s="141">
        <v>45</v>
      </c>
      <c r="N993" s="108">
        <f>MONTH(Tableau13[[#This Row],[Date fin intervention]])</f>
        <v>9</v>
      </c>
      <c r="O993" s="108">
        <f>YEAR(Tableau13[[#This Row],[Date fin intervention]])</f>
        <v>2020</v>
      </c>
      <c r="P993" s="36"/>
    </row>
    <row r="994" spans="1:16">
      <c r="A994" s="104">
        <v>44095</v>
      </c>
      <c r="B994" s="105">
        <v>800</v>
      </c>
      <c r="C994" s="106" t="str">
        <f>IF(ISNA(VLOOKUP(Tableau13[[#This Row],[Code machine]],'CODE mchn'!$A$4:$C$170,2,0)),"",VLOOKUP(Tableau13[[#This Row],[Code machine]],'CODE mchn'!$A$4:$C$170,2,0))</f>
        <v>Béton</v>
      </c>
      <c r="D994" s="36" t="str">
        <f>IF(ISNA(VLOOKUP(Tableau13[[#This Row],[Code machine]],'CODE mchn'!$A$4:$C$170,3,0)),"",VLOOKUP(Tableau13[[#This Row],[Code machine]],'CODE mchn'!$A$4:$C$170,3,0))</f>
        <v>Poyatos 2</v>
      </c>
      <c r="E994" s="105"/>
      <c r="F994" s="36"/>
      <c r="G994" s="36" t="s">
        <v>128</v>
      </c>
      <c r="H994" s="36" t="s">
        <v>1856</v>
      </c>
      <c r="I994" s="36" t="s">
        <v>13</v>
      </c>
      <c r="J994" s="106" t="s">
        <v>1857</v>
      </c>
      <c r="K994" s="71">
        <v>44095</v>
      </c>
      <c r="L994" s="36"/>
      <c r="M994" s="141">
        <v>30</v>
      </c>
      <c r="N994" s="108">
        <f>MONTH(Tableau13[[#This Row],[Date fin intervention]])</f>
        <v>9</v>
      </c>
      <c r="O994" s="108">
        <f>YEAR(Tableau13[[#This Row],[Date fin intervention]])</f>
        <v>2020</v>
      </c>
      <c r="P994" s="36"/>
    </row>
    <row r="995" spans="1:16">
      <c r="A995" s="187">
        <v>44095</v>
      </c>
      <c r="B995" s="188">
        <v>590</v>
      </c>
      <c r="C995" s="189" t="str">
        <f>IF(ISNA(VLOOKUP(Tableau13[[#This Row],[Code machine]],'CODE mchn'!$A$4:$C$170,2,0)),"",VLOOKUP(Tableau13[[#This Row],[Code machine]],'CODE mchn'!$A$4:$C$170,2,0))</f>
        <v>Acier</v>
      </c>
      <c r="D995" s="36" t="str">
        <f>IF(ISNA(VLOOKUP(Tableau13[[#This Row],[Code machine]],'CODE mchn'!$A$4:$C$170,3,0)),"",VLOOKUP(Tableau13[[#This Row],[Code machine]],'CODE mchn'!$A$4:$C$170,3,0))</f>
        <v>Teurema 3</v>
      </c>
      <c r="E995" s="105"/>
      <c r="F995" s="40"/>
      <c r="G995" s="40" t="s">
        <v>200</v>
      </c>
      <c r="H995" s="40" t="s">
        <v>1874</v>
      </c>
      <c r="I995" s="40" t="s">
        <v>13</v>
      </c>
      <c r="J995" s="189" t="s">
        <v>1875</v>
      </c>
      <c r="K995" s="190">
        <v>44095</v>
      </c>
      <c r="L995" s="40"/>
      <c r="M995" s="191">
        <v>3</v>
      </c>
      <c r="N995" s="192">
        <f>MONTH(Tableau13[[#This Row],[Date fin intervention]])</f>
        <v>9</v>
      </c>
      <c r="O995" s="192">
        <f>YEAR(Tableau13[[#This Row],[Date fin intervention]])</f>
        <v>2020</v>
      </c>
      <c r="P995" s="40"/>
    </row>
    <row r="996" spans="1:16">
      <c r="A996" s="104">
        <v>44098</v>
      </c>
      <c r="B996" s="105">
        <v>700</v>
      </c>
      <c r="C996" s="106" t="str">
        <f>IF(ISNA(VLOOKUP(Tableau13[[#This Row],[Code machine]],'CODE mchn'!$A$4:$C$170,2,0)),"",VLOOKUP(Tableau13[[#This Row],[Code machine]],'CODE mchn'!$A$4:$C$170,2,0))</f>
        <v>Béton</v>
      </c>
      <c r="D996" s="36" t="str">
        <f>IF(ISNA(VLOOKUP(Tableau13[[#This Row],[Code machine]],'CODE mchn'!$A$4:$C$170,3,0)),"",VLOOKUP(Tableau13[[#This Row],[Code machine]],'CODE mchn'!$A$4:$C$170,3,0))</f>
        <v>Poyatos 1</v>
      </c>
      <c r="E996" s="105"/>
      <c r="F996" s="36"/>
      <c r="G996" s="36" t="s">
        <v>110</v>
      </c>
      <c r="H996" s="36" t="s">
        <v>1858</v>
      </c>
      <c r="I996" s="36" t="s">
        <v>13</v>
      </c>
      <c r="J996" s="106" t="s">
        <v>1859</v>
      </c>
      <c r="K996" s="71">
        <v>44098</v>
      </c>
      <c r="L996" s="36"/>
      <c r="M996" s="141">
        <v>2</v>
      </c>
      <c r="N996" s="108">
        <f>MONTH(Tableau13[[#This Row],[Date fin intervention]])</f>
        <v>9</v>
      </c>
      <c r="O996" s="108">
        <f>YEAR(Tableau13[[#This Row],[Date fin intervention]])</f>
        <v>2020</v>
      </c>
      <c r="P996" s="36"/>
    </row>
    <row r="997" spans="1:16">
      <c r="A997" s="104">
        <v>44098</v>
      </c>
      <c r="B997" s="105">
        <v>800</v>
      </c>
      <c r="C997" s="106" t="str">
        <f>IF(ISNA(VLOOKUP(Tableau13[[#This Row],[Code machine]],'CODE mchn'!$A$4:$C$170,2,0)),"",VLOOKUP(Tableau13[[#This Row],[Code machine]],'CODE mchn'!$A$4:$C$170,2,0))</f>
        <v>Béton</v>
      </c>
      <c r="D997" s="36" t="str">
        <f>IF(ISNA(VLOOKUP(Tableau13[[#This Row],[Code machine]],'CODE mchn'!$A$4:$C$170,3,0)),"",VLOOKUP(Tableau13[[#This Row],[Code machine]],'CODE mchn'!$A$4:$C$170,3,0))</f>
        <v>Poyatos 2</v>
      </c>
      <c r="E997" s="105"/>
      <c r="F997" s="36"/>
      <c r="G997" s="36" t="s">
        <v>118</v>
      </c>
      <c r="H997" s="36" t="s">
        <v>1860</v>
      </c>
      <c r="I997" s="36" t="s">
        <v>13</v>
      </c>
      <c r="J997" s="106" t="s">
        <v>1861</v>
      </c>
      <c r="K997" s="71">
        <v>44098</v>
      </c>
      <c r="L997" s="36"/>
      <c r="M997" s="141">
        <v>30</v>
      </c>
      <c r="N997" s="108">
        <f>MONTH(Tableau13[[#This Row],[Date fin intervention]])</f>
        <v>9</v>
      </c>
      <c r="O997" s="108">
        <f>YEAR(Tableau13[[#This Row],[Date fin intervention]])</f>
        <v>2020</v>
      </c>
      <c r="P997" s="36"/>
    </row>
    <row r="998" spans="1:16">
      <c r="A998" s="187">
        <v>44105</v>
      </c>
      <c r="B998" s="188">
        <v>533</v>
      </c>
      <c r="C998" s="189" t="str">
        <f>IF(ISNA(VLOOKUP(Tableau13[[#This Row],[Code machine]],'CODE mchn'!$A$4:$C$170,2,0)),"",VLOOKUP(Tableau13[[#This Row],[Code machine]],'CODE mchn'!$A$4:$C$170,2,0))</f>
        <v>Enrobage</v>
      </c>
      <c r="D998" s="36" t="str">
        <f>IF(ISNA(VLOOKUP(Tableau13[[#This Row],[Code machine]],'CODE mchn'!$A$4:$C$170,3,0)),"",VLOOKUP(Tableau13[[#This Row],[Code machine]],'CODE mchn'!$A$4:$C$170,3,0))</f>
        <v>CAROSSEL</v>
      </c>
      <c r="E998" s="105"/>
      <c r="F998" s="40"/>
      <c r="G998" s="40" t="s">
        <v>1876</v>
      </c>
      <c r="H998" s="40" t="s">
        <v>1853</v>
      </c>
      <c r="I998" s="40" t="s">
        <v>13</v>
      </c>
      <c r="J998" s="189" t="s">
        <v>1854</v>
      </c>
      <c r="K998" s="190">
        <v>44105</v>
      </c>
      <c r="L998" s="40"/>
      <c r="M998" s="191">
        <v>2</v>
      </c>
      <c r="N998" s="192">
        <f>MONTH(Tableau13[[#This Row],[Date fin intervention]])</f>
        <v>10</v>
      </c>
      <c r="O998" s="192">
        <f>YEAR(Tableau13[[#This Row],[Date fin intervention]])</f>
        <v>2020</v>
      </c>
      <c r="P998" s="40"/>
    </row>
    <row r="999" spans="1:16">
      <c r="A999" s="187">
        <v>44106</v>
      </c>
      <c r="B999" s="188">
        <v>700</v>
      </c>
      <c r="C999" s="189" t="str">
        <f>IF(ISNA(VLOOKUP(Tableau13[[#This Row],[Code machine]],'CODE mchn'!$A$4:$C$170,2,0)),"",VLOOKUP(Tableau13[[#This Row],[Code machine]],'CODE mchn'!$A$4:$C$170,2,0))</f>
        <v>Béton</v>
      </c>
      <c r="D999" s="36" t="str">
        <f>IF(ISNA(VLOOKUP(Tableau13[[#This Row],[Code machine]],'CODE mchn'!$A$4:$C$170,3,0)),"",VLOOKUP(Tableau13[[#This Row],[Code machine]],'CODE mchn'!$A$4:$C$170,3,0))</f>
        <v>Poyatos 1</v>
      </c>
      <c r="E999" s="105"/>
      <c r="F999" s="40"/>
      <c r="G999" s="40" t="s">
        <v>319</v>
      </c>
      <c r="H999" s="40" t="s">
        <v>1037</v>
      </c>
      <c r="I999" s="40" t="s">
        <v>13</v>
      </c>
      <c r="J999" s="189" t="s">
        <v>1038</v>
      </c>
      <c r="K999" s="190">
        <v>44106</v>
      </c>
      <c r="L999" s="40"/>
      <c r="M999" s="191">
        <v>20</v>
      </c>
      <c r="N999" s="192">
        <f>MONTH(Tableau13[[#This Row],[Date fin intervention]])</f>
        <v>10</v>
      </c>
      <c r="O999" s="192">
        <f>YEAR(Tableau13[[#This Row],[Date fin intervention]])</f>
        <v>2020</v>
      </c>
      <c r="P999" s="40"/>
    </row>
    <row r="1000" spans="1:16">
      <c r="A1000" s="187">
        <v>44106</v>
      </c>
      <c r="B1000" s="188">
        <v>700</v>
      </c>
      <c r="C1000" s="189" t="str">
        <f>IF(ISNA(VLOOKUP(Tableau13[[#This Row],[Code machine]],'CODE mchn'!$A$4:$C$170,2,0)),"",VLOOKUP(Tableau13[[#This Row],[Code machine]],'CODE mchn'!$A$4:$C$170,2,0))</f>
        <v>Béton</v>
      </c>
      <c r="D1000" s="36" t="str">
        <f>IF(ISNA(VLOOKUP(Tableau13[[#This Row],[Code machine]],'CODE mchn'!$A$4:$C$170,3,0)),"",VLOOKUP(Tableau13[[#This Row],[Code machine]],'CODE mchn'!$A$4:$C$170,3,0))</f>
        <v>Poyatos 1</v>
      </c>
      <c r="E1000" s="105"/>
      <c r="F1000" s="40"/>
      <c r="G1000" s="40" t="s">
        <v>291</v>
      </c>
      <c r="H1000" s="40" t="s">
        <v>1877</v>
      </c>
      <c r="I1000" s="40" t="s">
        <v>13</v>
      </c>
      <c r="J1000" s="189" t="s">
        <v>1878</v>
      </c>
      <c r="K1000" s="190">
        <v>44106</v>
      </c>
      <c r="L1000" s="40"/>
      <c r="M1000" s="191">
        <v>13</v>
      </c>
      <c r="N1000" s="192">
        <f>MONTH(Tableau13[[#This Row],[Date fin intervention]])</f>
        <v>10</v>
      </c>
      <c r="O1000" s="192">
        <f>YEAR(Tableau13[[#This Row],[Date fin intervention]])</f>
        <v>2020</v>
      </c>
      <c r="P1000" s="40"/>
    </row>
    <row r="1001" spans="1:16">
      <c r="A1001" s="187">
        <v>44107</v>
      </c>
      <c r="B1001" s="188">
        <v>800</v>
      </c>
      <c r="C1001" s="189" t="str">
        <f>IF(ISNA(VLOOKUP(Tableau13[[#This Row],[Code machine]],'CODE mchn'!$A$4:$C$170,2,0)),"",VLOOKUP(Tableau13[[#This Row],[Code machine]],'CODE mchn'!$A$4:$C$170,2,0))</f>
        <v>Béton</v>
      </c>
      <c r="D1001" s="36" t="str">
        <f>IF(ISNA(VLOOKUP(Tableau13[[#This Row],[Code machine]],'CODE mchn'!$A$4:$C$170,3,0)),"",VLOOKUP(Tableau13[[#This Row],[Code machine]],'CODE mchn'!$A$4:$C$170,3,0))</f>
        <v>Poyatos 2</v>
      </c>
      <c r="E1001" s="105"/>
      <c r="F1001" s="40"/>
      <c r="G1001" s="40" t="s">
        <v>213</v>
      </c>
      <c r="H1001" s="40" t="s">
        <v>1879</v>
      </c>
      <c r="I1001" s="40" t="s">
        <v>13</v>
      </c>
      <c r="J1001" s="189" t="s">
        <v>1880</v>
      </c>
      <c r="K1001" s="190">
        <v>44107</v>
      </c>
      <c r="L1001" s="40"/>
      <c r="M1001" s="191">
        <v>30</v>
      </c>
      <c r="N1001" s="192">
        <f>MONTH(Tableau13[[#This Row],[Date fin intervention]])</f>
        <v>10</v>
      </c>
      <c r="O1001" s="192">
        <f>YEAR(Tableau13[[#This Row],[Date fin intervention]])</f>
        <v>2020</v>
      </c>
      <c r="P1001" s="40"/>
    </row>
    <row r="1002" spans="1:16">
      <c r="A1002" s="187">
        <v>44108</v>
      </c>
      <c r="B1002" s="188">
        <v>800</v>
      </c>
      <c r="C1002" s="189" t="str">
        <f>IF(ISNA(VLOOKUP(Tableau13[[#This Row],[Code machine]],'CODE mchn'!$A$4:$C$170,2,0)),"",VLOOKUP(Tableau13[[#This Row],[Code machine]],'CODE mchn'!$A$4:$C$170,2,0))</f>
        <v>Béton</v>
      </c>
      <c r="D1002" s="36" t="str">
        <f>IF(ISNA(VLOOKUP(Tableau13[[#This Row],[Code machine]],'CODE mchn'!$A$4:$C$170,3,0)),"",VLOOKUP(Tableau13[[#This Row],[Code machine]],'CODE mchn'!$A$4:$C$170,3,0))</f>
        <v>Poyatos 2</v>
      </c>
      <c r="E1002" s="105"/>
      <c r="F1002" s="40"/>
      <c r="G1002" s="40" t="s">
        <v>291</v>
      </c>
      <c r="H1002" s="40" t="s">
        <v>1881</v>
      </c>
      <c r="I1002" s="40" t="s">
        <v>13</v>
      </c>
      <c r="J1002" s="189" t="s">
        <v>1882</v>
      </c>
      <c r="K1002" s="190">
        <v>44108</v>
      </c>
      <c r="L1002" s="40"/>
      <c r="M1002" s="191">
        <v>1</v>
      </c>
      <c r="N1002" s="192">
        <f>MONTH(Tableau13[[#This Row],[Date fin intervention]])</f>
        <v>10</v>
      </c>
      <c r="O1002" s="192">
        <f>YEAR(Tableau13[[#This Row],[Date fin intervention]])</f>
        <v>2020</v>
      </c>
      <c r="P1002" s="40"/>
    </row>
    <row r="1003" spans="1:16">
      <c r="A1003" s="187">
        <v>44109</v>
      </c>
      <c r="B1003" s="188">
        <v>560</v>
      </c>
      <c r="C1003" s="189" t="str">
        <f>IF(ISNA(VLOOKUP(Tableau13[[#This Row],[Code machine]],'CODE mchn'!$A$4:$C$170,2,0)),"",VLOOKUP(Tableau13[[#This Row],[Code machine]],'CODE mchn'!$A$4:$C$170,2,0))</f>
        <v>Acier</v>
      </c>
      <c r="D1003" s="36" t="str">
        <f>IF(ISNA(VLOOKUP(Tableau13[[#This Row],[Code machine]],'CODE mchn'!$A$4:$C$170,3,0)),"",VLOOKUP(Tableau13[[#This Row],[Code machine]],'CODE mchn'!$A$4:$C$170,3,0))</f>
        <v>Schlatter</v>
      </c>
      <c r="E1003" s="105"/>
      <c r="F1003" s="40"/>
      <c r="G1003" s="40" t="s">
        <v>10</v>
      </c>
      <c r="H1003" s="40" t="s">
        <v>1914</v>
      </c>
      <c r="I1003" s="40" t="s">
        <v>13</v>
      </c>
      <c r="J1003" s="189" t="s">
        <v>1915</v>
      </c>
      <c r="K1003" s="190">
        <v>44109</v>
      </c>
      <c r="L1003" s="40"/>
      <c r="M1003" s="191">
        <v>1</v>
      </c>
      <c r="N1003" s="192">
        <f>MONTH(Tableau13[[#This Row],[Date fin intervention]])</f>
        <v>10</v>
      </c>
      <c r="O1003" s="192">
        <f>YEAR(Tableau13[[#This Row],[Date fin intervention]])</f>
        <v>2020</v>
      </c>
      <c r="P1003" s="40"/>
    </row>
    <row r="1004" spans="1:16" ht="28.5">
      <c r="A1004" s="187">
        <v>44109</v>
      </c>
      <c r="B1004" s="188">
        <v>571</v>
      </c>
      <c r="C1004" s="189" t="str">
        <f>IF(ISNA(VLOOKUP(Tableau13[[#This Row],[Code machine]],'CODE mchn'!$A$4:$C$170,2,0)),"",VLOOKUP(Tableau13[[#This Row],[Code machine]],'CODE mchn'!$A$4:$C$170,2,0))</f>
        <v>Acier</v>
      </c>
      <c r="D1004" s="36" t="str">
        <f>IF(ISNA(VLOOKUP(Tableau13[[#This Row],[Code machine]],'CODE mchn'!$A$4:$C$170,3,0)),"",VLOOKUP(Tableau13[[#This Row],[Code machine]],'CODE mchn'!$A$4:$C$170,3,0))</f>
        <v>EVG PN 1</v>
      </c>
      <c r="E1004" s="105"/>
      <c r="F1004" s="40"/>
      <c r="G1004" s="40" t="s">
        <v>463</v>
      </c>
      <c r="H1004" s="40" t="s">
        <v>1916</v>
      </c>
      <c r="I1004" s="40" t="s">
        <v>13</v>
      </c>
      <c r="J1004" s="189" t="s">
        <v>1917</v>
      </c>
      <c r="K1004" s="190">
        <v>44109</v>
      </c>
      <c r="L1004" s="40"/>
      <c r="M1004" s="191">
        <v>30</v>
      </c>
      <c r="N1004" s="192">
        <f>MONTH(Tableau13[[#This Row],[Date fin intervention]])</f>
        <v>10</v>
      </c>
      <c r="O1004" s="192">
        <f>YEAR(Tableau13[[#This Row],[Date fin intervention]])</f>
        <v>2020</v>
      </c>
      <c r="P1004" s="40"/>
    </row>
    <row r="1005" spans="1:16">
      <c r="A1005" s="187">
        <v>44109</v>
      </c>
      <c r="B1005" s="188">
        <v>581</v>
      </c>
      <c r="C1005" s="189" t="str">
        <f>IF(ISNA(VLOOKUP(Tableau13[[#This Row],[Code machine]],'CODE mchn'!$A$4:$C$170,2,0)),"",VLOOKUP(Tableau13[[#This Row],[Code machine]],'CODE mchn'!$A$4:$C$170,2,0))</f>
        <v>Acier</v>
      </c>
      <c r="D1005" s="36" t="str">
        <f>IF(ISNA(VLOOKUP(Tableau13[[#This Row],[Code machine]],'CODE mchn'!$A$4:$C$170,3,0)),"",VLOOKUP(Tableau13[[#This Row],[Code machine]],'CODE mchn'!$A$4:$C$170,3,0))</f>
        <v>Teurema 1</v>
      </c>
      <c r="E1005" s="105"/>
      <c r="F1005" s="40"/>
      <c r="G1005" s="40" t="s">
        <v>1660</v>
      </c>
      <c r="H1005" s="40" t="s">
        <v>1070</v>
      </c>
      <c r="I1005" s="40" t="s">
        <v>13</v>
      </c>
      <c r="J1005" s="189" t="s">
        <v>302</v>
      </c>
      <c r="K1005" s="190">
        <v>44109</v>
      </c>
      <c r="L1005" s="40"/>
      <c r="M1005" s="191">
        <v>1</v>
      </c>
      <c r="N1005" s="192">
        <f>MONTH(Tableau13[[#This Row],[Date fin intervention]])</f>
        <v>10</v>
      </c>
      <c r="O1005" s="192">
        <f>YEAR(Tableau13[[#This Row],[Date fin intervention]])</f>
        <v>2020</v>
      </c>
      <c r="P1005" s="40"/>
    </row>
    <row r="1006" spans="1:16">
      <c r="A1006" s="187">
        <v>44109</v>
      </c>
      <c r="B1006" s="188">
        <v>581</v>
      </c>
      <c r="C1006" s="189" t="str">
        <f>IF(ISNA(VLOOKUP(Tableau13[[#This Row],[Code machine]],'CODE mchn'!$A$4:$C$170,2,0)),"",VLOOKUP(Tableau13[[#This Row],[Code machine]],'CODE mchn'!$A$4:$C$170,2,0))</f>
        <v>Acier</v>
      </c>
      <c r="D1006" s="36" t="str">
        <f>IF(ISNA(VLOOKUP(Tableau13[[#This Row],[Code machine]],'CODE mchn'!$A$4:$C$170,3,0)),"",VLOOKUP(Tableau13[[#This Row],[Code machine]],'CODE mchn'!$A$4:$C$170,3,0))</f>
        <v>Teurema 1</v>
      </c>
      <c r="E1006" s="105"/>
      <c r="F1006" s="40"/>
      <c r="G1006" s="40" t="s">
        <v>1660</v>
      </c>
      <c r="H1006" s="40" t="s">
        <v>1918</v>
      </c>
      <c r="I1006" s="40" t="s">
        <v>13</v>
      </c>
      <c r="J1006" s="189" t="s">
        <v>896</v>
      </c>
      <c r="K1006" s="190">
        <v>44109</v>
      </c>
      <c r="L1006" s="40"/>
      <c r="M1006" s="191">
        <v>15</v>
      </c>
      <c r="N1006" s="192">
        <f>MONTH(Tableau13[[#This Row],[Date fin intervention]])</f>
        <v>10</v>
      </c>
      <c r="O1006" s="192">
        <f>YEAR(Tableau13[[#This Row],[Date fin intervention]])</f>
        <v>2020</v>
      </c>
      <c r="P1006" s="40"/>
    </row>
    <row r="1007" spans="1:16">
      <c r="A1007" s="187">
        <v>44110</v>
      </c>
      <c r="B1007" s="188">
        <v>560</v>
      </c>
      <c r="C1007" s="189" t="str">
        <f>IF(ISNA(VLOOKUP(Tableau13[[#This Row],[Code machine]],'CODE mchn'!$A$4:$C$170,2,0)),"",VLOOKUP(Tableau13[[#This Row],[Code machine]],'CODE mchn'!$A$4:$C$170,2,0))</f>
        <v>Acier</v>
      </c>
      <c r="D1007" s="36" t="str">
        <f>IF(ISNA(VLOOKUP(Tableau13[[#This Row],[Code machine]],'CODE mchn'!$A$4:$C$170,3,0)),"",VLOOKUP(Tableau13[[#This Row],[Code machine]],'CODE mchn'!$A$4:$C$170,3,0))</f>
        <v>Schlatter</v>
      </c>
      <c r="E1007" s="105"/>
      <c r="F1007" s="40"/>
      <c r="G1007" s="40" t="s">
        <v>10</v>
      </c>
      <c r="H1007" s="40" t="s">
        <v>1919</v>
      </c>
      <c r="I1007" s="40" t="s">
        <v>13</v>
      </c>
      <c r="J1007" s="189" t="s">
        <v>562</v>
      </c>
      <c r="K1007" s="190">
        <v>44110</v>
      </c>
      <c r="L1007" s="40"/>
      <c r="M1007" s="191">
        <v>20</v>
      </c>
      <c r="N1007" s="192">
        <f>MONTH(Tableau13[[#This Row],[Date fin intervention]])</f>
        <v>10</v>
      </c>
      <c r="O1007" s="192">
        <f>YEAR(Tableau13[[#This Row],[Date fin intervention]])</f>
        <v>2020</v>
      </c>
      <c r="P1007" s="40"/>
    </row>
    <row r="1008" spans="1:16">
      <c r="A1008" s="187">
        <v>44110</v>
      </c>
      <c r="B1008" s="188">
        <v>571</v>
      </c>
      <c r="C1008" s="189" t="str">
        <f>IF(ISNA(VLOOKUP(Tableau13[[#This Row],[Code machine]],'CODE mchn'!$A$4:$C$170,2,0)),"",VLOOKUP(Tableau13[[#This Row],[Code machine]],'CODE mchn'!$A$4:$C$170,2,0))</f>
        <v>Acier</v>
      </c>
      <c r="D1008" s="36" t="str">
        <f>IF(ISNA(VLOOKUP(Tableau13[[#This Row],[Code machine]],'CODE mchn'!$A$4:$C$170,3,0)),"",VLOOKUP(Tableau13[[#This Row],[Code machine]],'CODE mchn'!$A$4:$C$170,3,0))</f>
        <v>EVG PN 1</v>
      </c>
      <c r="E1008" s="105"/>
      <c r="F1008" s="40"/>
      <c r="G1008" s="40" t="s">
        <v>664</v>
      </c>
      <c r="H1008" s="40" t="s">
        <v>1920</v>
      </c>
      <c r="I1008" s="40" t="s">
        <v>13</v>
      </c>
      <c r="J1008" s="189" t="s">
        <v>1921</v>
      </c>
      <c r="K1008" s="190">
        <v>44110</v>
      </c>
      <c r="L1008" s="40"/>
      <c r="M1008" s="191">
        <v>45</v>
      </c>
      <c r="N1008" s="192">
        <f>MONTH(Tableau13[[#This Row],[Date fin intervention]])</f>
        <v>10</v>
      </c>
      <c r="O1008" s="192">
        <f>YEAR(Tableau13[[#This Row],[Date fin intervention]])</f>
        <v>2020</v>
      </c>
      <c r="P1008" s="40"/>
    </row>
    <row r="1009" spans="1:16">
      <c r="A1009" s="187">
        <v>44111</v>
      </c>
      <c r="B1009" s="188">
        <v>700</v>
      </c>
      <c r="C1009" s="189" t="str">
        <f>IF(ISNA(VLOOKUP(Tableau13[[#This Row],[Code machine]],'CODE mchn'!$A$4:$C$170,2,0)),"",VLOOKUP(Tableau13[[#This Row],[Code machine]],'CODE mchn'!$A$4:$C$170,2,0))</f>
        <v>Béton</v>
      </c>
      <c r="D1009" s="36" t="str">
        <f>IF(ISNA(VLOOKUP(Tableau13[[#This Row],[Code machine]],'CODE mchn'!$A$4:$C$170,3,0)),"",VLOOKUP(Tableau13[[#This Row],[Code machine]],'CODE mchn'!$A$4:$C$170,3,0))</f>
        <v>Poyatos 1</v>
      </c>
      <c r="E1009" s="105"/>
      <c r="F1009" s="40"/>
      <c r="G1009" s="40" t="s">
        <v>213</v>
      </c>
      <c r="H1009" s="40" t="s">
        <v>1883</v>
      </c>
      <c r="I1009" s="40" t="s">
        <v>13</v>
      </c>
      <c r="J1009" s="189" t="s">
        <v>1884</v>
      </c>
      <c r="K1009" s="190">
        <v>44111</v>
      </c>
      <c r="L1009" s="40"/>
      <c r="M1009" s="191">
        <v>2</v>
      </c>
      <c r="N1009" s="192">
        <f>MONTH(Tableau13[[#This Row],[Date fin intervention]])</f>
        <v>10</v>
      </c>
      <c r="O1009" s="192">
        <f>YEAR(Tableau13[[#This Row],[Date fin intervention]])</f>
        <v>2020</v>
      </c>
      <c r="P1009" s="40"/>
    </row>
    <row r="1010" spans="1:16">
      <c r="A1010" s="187">
        <v>44111</v>
      </c>
      <c r="B1010" s="188">
        <v>620</v>
      </c>
      <c r="C1010" s="189" t="str">
        <f>IF(ISNA(VLOOKUP(Tableau13[[#This Row],[Code machine]],'CODE mchn'!$A$4:$C$170,2,0)),"",VLOOKUP(Tableau13[[#This Row],[Code machine]],'CODE mchn'!$A$4:$C$170,2,0))</f>
        <v>Acier</v>
      </c>
      <c r="D1010" s="36" t="str">
        <f>IF(ISNA(VLOOKUP(Tableau13[[#This Row],[Code machine]],'CODE mchn'!$A$4:$C$170,3,0)),"",VLOOKUP(Tableau13[[#This Row],[Code machine]],'CODE mchn'!$A$4:$C$170,3,0))</f>
        <v>EVG PN 2</v>
      </c>
      <c r="E1010" s="105"/>
      <c r="F1010" s="40"/>
      <c r="G1010" s="40" t="s">
        <v>20</v>
      </c>
      <c r="H1010" s="40" t="s">
        <v>1922</v>
      </c>
      <c r="I1010" s="40" t="s">
        <v>13</v>
      </c>
      <c r="J1010" s="189" t="s">
        <v>1501</v>
      </c>
      <c r="K1010" s="190">
        <v>44111</v>
      </c>
      <c r="L1010" s="40"/>
      <c r="M1010" s="191">
        <v>40</v>
      </c>
      <c r="N1010" s="192">
        <f>MONTH(Tableau13[[#This Row],[Date fin intervention]])</f>
        <v>10</v>
      </c>
      <c r="O1010" s="192">
        <f>YEAR(Tableau13[[#This Row],[Date fin intervention]])</f>
        <v>2020</v>
      </c>
      <c r="P1010" s="40"/>
    </row>
    <row r="1011" spans="1:16">
      <c r="A1011" s="187">
        <v>44111</v>
      </c>
      <c r="B1011" s="188">
        <v>582</v>
      </c>
      <c r="C1011" s="189" t="str">
        <f>IF(ISNA(VLOOKUP(Tableau13[[#This Row],[Code machine]],'CODE mchn'!$A$4:$C$170,2,0)),"",VLOOKUP(Tableau13[[#This Row],[Code machine]],'CODE mchn'!$A$4:$C$170,2,0))</f>
        <v>Acier</v>
      </c>
      <c r="D1011" s="36" t="str">
        <f>IF(ISNA(VLOOKUP(Tableau13[[#This Row],[Code machine]],'CODE mchn'!$A$4:$C$170,3,0)),"",VLOOKUP(Tableau13[[#This Row],[Code machine]],'CODE mchn'!$A$4:$C$170,3,0))</f>
        <v>Teurema 2</v>
      </c>
      <c r="E1011" s="105"/>
      <c r="F1011" s="40"/>
      <c r="G1011" s="40" t="s">
        <v>161</v>
      </c>
      <c r="H1011" s="40" t="s">
        <v>1037</v>
      </c>
      <c r="I1011" s="40" t="s">
        <v>13</v>
      </c>
      <c r="J1011" s="189" t="s">
        <v>1923</v>
      </c>
      <c r="K1011" s="190">
        <v>44111</v>
      </c>
      <c r="L1011" s="40"/>
      <c r="M1011" s="191">
        <v>15</v>
      </c>
      <c r="N1011" s="192">
        <f>MONTH(Tableau13[[#This Row],[Date fin intervention]])</f>
        <v>10</v>
      </c>
      <c r="O1011" s="192">
        <f>YEAR(Tableau13[[#This Row],[Date fin intervention]])</f>
        <v>2020</v>
      </c>
      <c r="P1011" s="40"/>
    </row>
    <row r="1012" spans="1:16">
      <c r="A1012" s="187">
        <v>44111</v>
      </c>
      <c r="B1012" s="188">
        <v>607</v>
      </c>
      <c r="C1012" s="189" t="str">
        <f>IF(ISNA(VLOOKUP(Tableau13[[#This Row],[Code machine]],'CODE mchn'!$A$4:$C$170,2,0)),"",VLOOKUP(Tableau13[[#This Row],[Code machine]],'CODE mchn'!$A$4:$C$170,2,0))</f>
        <v>Acier</v>
      </c>
      <c r="D1012" s="36" t="str">
        <f>IF(ISNA(VLOOKUP(Tableau13[[#This Row],[Code machine]],'CODE mchn'!$A$4:$C$170,3,0)),"",VLOOKUP(Tableau13[[#This Row],[Code machine]],'CODE mchn'!$A$4:$C$170,3,0))</f>
        <v>Vitari 3</v>
      </c>
      <c r="E1012" s="105"/>
      <c r="F1012" s="40"/>
      <c r="G1012" s="40" t="s">
        <v>664</v>
      </c>
      <c r="H1012" s="40" t="s">
        <v>892</v>
      </c>
      <c r="I1012" s="40" t="s">
        <v>13</v>
      </c>
      <c r="J1012" s="189" t="s">
        <v>1924</v>
      </c>
      <c r="K1012" s="190">
        <v>44111</v>
      </c>
      <c r="L1012" s="40"/>
      <c r="M1012" s="191">
        <v>30</v>
      </c>
      <c r="N1012" s="192">
        <f>MONTH(Tableau13[[#This Row],[Date fin intervention]])</f>
        <v>10</v>
      </c>
      <c r="O1012" s="192">
        <f>YEAR(Tableau13[[#This Row],[Date fin intervention]])</f>
        <v>2020</v>
      </c>
      <c r="P1012" s="40"/>
    </row>
    <row r="1013" spans="1:16">
      <c r="A1013" s="187">
        <v>44111</v>
      </c>
      <c r="B1013" s="188">
        <v>604</v>
      </c>
      <c r="C1013" s="189" t="str">
        <f>IF(ISNA(VLOOKUP(Tableau13[[#This Row],[Code machine]],'CODE mchn'!$A$4:$C$170,2,0)),"",VLOOKUP(Tableau13[[#This Row],[Code machine]],'CODE mchn'!$A$4:$C$170,2,0))</f>
        <v>Acier</v>
      </c>
      <c r="D1013" s="36" t="str">
        <f>IF(ISNA(VLOOKUP(Tableau13[[#This Row],[Code machine]],'CODE mchn'!$A$4:$C$170,3,0)),"",VLOOKUP(Tableau13[[#This Row],[Code machine]],'CODE mchn'!$A$4:$C$170,3,0))</f>
        <v>TI</v>
      </c>
      <c r="E1013" s="105"/>
      <c r="F1013" s="40"/>
      <c r="G1013" s="40" t="s">
        <v>10</v>
      </c>
      <c r="H1013" s="40" t="s">
        <v>1925</v>
      </c>
      <c r="I1013" s="40" t="s">
        <v>13</v>
      </c>
      <c r="J1013" s="189" t="s">
        <v>1926</v>
      </c>
      <c r="K1013" s="190">
        <v>44111</v>
      </c>
      <c r="L1013" s="40"/>
      <c r="M1013" s="191">
        <v>15</v>
      </c>
      <c r="N1013" s="192">
        <f>MONTH(Tableau13[[#This Row],[Date fin intervention]])</f>
        <v>10</v>
      </c>
      <c r="O1013" s="192">
        <f>YEAR(Tableau13[[#This Row],[Date fin intervention]])</f>
        <v>2020</v>
      </c>
      <c r="P1013" s="40"/>
    </row>
    <row r="1014" spans="1:16">
      <c r="A1014" s="187">
        <v>44112</v>
      </c>
      <c r="B1014" s="188">
        <v>582</v>
      </c>
      <c r="C1014" s="189" t="str">
        <f>IF(ISNA(VLOOKUP(Tableau13[[#This Row],[Code machine]],'CODE mchn'!$A$4:$C$170,2,0)),"",VLOOKUP(Tableau13[[#This Row],[Code machine]],'CODE mchn'!$A$4:$C$170,2,0))</f>
        <v>Acier</v>
      </c>
      <c r="D1014" s="36" t="str">
        <f>IF(ISNA(VLOOKUP(Tableau13[[#This Row],[Code machine]],'CODE mchn'!$A$4:$C$170,3,0)),"",VLOOKUP(Tableau13[[#This Row],[Code machine]],'CODE mchn'!$A$4:$C$170,3,0))</f>
        <v>Teurema 2</v>
      </c>
      <c r="E1014" s="105"/>
      <c r="F1014" s="40"/>
      <c r="G1014" s="40" t="s">
        <v>70</v>
      </c>
      <c r="H1014" s="40" t="s">
        <v>1927</v>
      </c>
      <c r="I1014" s="40" t="s">
        <v>13</v>
      </c>
      <c r="J1014" s="189" t="s">
        <v>1928</v>
      </c>
      <c r="K1014" s="190">
        <v>44112</v>
      </c>
      <c r="L1014" s="40"/>
      <c r="M1014" s="191">
        <v>45</v>
      </c>
      <c r="N1014" s="192">
        <f>MONTH(Tableau13[[#This Row],[Date fin intervention]])</f>
        <v>10</v>
      </c>
      <c r="O1014" s="192">
        <f>YEAR(Tableau13[[#This Row],[Date fin intervention]])</f>
        <v>2020</v>
      </c>
      <c r="P1014" s="40"/>
    </row>
    <row r="1015" spans="1:16">
      <c r="A1015" s="187">
        <v>44113</v>
      </c>
      <c r="B1015" s="188">
        <v>800</v>
      </c>
      <c r="C1015" s="189" t="str">
        <f>IF(ISNA(VLOOKUP(Tableau13[[#This Row],[Code machine]],'CODE mchn'!$A$4:$C$170,2,0)),"",VLOOKUP(Tableau13[[#This Row],[Code machine]],'CODE mchn'!$A$4:$C$170,2,0))</f>
        <v>Béton</v>
      </c>
      <c r="D1015" s="36" t="str">
        <f>IF(ISNA(VLOOKUP(Tableau13[[#This Row],[Code machine]],'CODE mchn'!$A$4:$C$170,3,0)),"",VLOOKUP(Tableau13[[#This Row],[Code machine]],'CODE mchn'!$A$4:$C$170,3,0))</f>
        <v>Poyatos 2</v>
      </c>
      <c r="E1015" s="105"/>
      <c r="F1015" s="40"/>
      <c r="G1015" s="40" t="s">
        <v>291</v>
      </c>
      <c r="H1015" s="40" t="s">
        <v>608</v>
      </c>
      <c r="I1015" s="40" t="s">
        <v>13</v>
      </c>
      <c r="J1015" s="189" t="s">
        <v>1885</v>
      </c>
      <c r="K1015" s="190">
        <v>44113</v>
      </c>
      <c r="L1015" s="40"/>
      <c r="M1015" s="191">
        <v>1</v>
      </c>
      <c r="N1015" s="192">
        <f>MONTH(Tableau13[[#This Row],[Date fin intervention]])</f>
        <v>10</v>
      </c>
      <c r="O1015" s="192">
        <f>YEAR(Tableau13[[#This Row],[Date fin intervention]])</f>
        <v>2020</v>
      </c>
      <c r="P1015" s="40"/>
    </row>
    <row r="1016" spans="1:16">
      <c r="A1016" s="187">
        <v>44114</v>
      </c>
      <c r="B1016" s="188">
        <v>700</v>
      </c>
      <c r="C1016" s="189" t="str">
        <f>IF(ISNA(VLOOKUP(Tableau13[[#This Row],[Code machine]],'CODE mchn'!$A$4:$C$170,2,0)),"",VLOOKUP(Tableau13[[#This Row],[Code machine]],'CODE mchn'!$A$4:$C$170,2,0))</f>
        <v>Béton</v>
      </c>
      <c r="D1016" s="36" t="str">
        <f>IF(ISNA(VLOOKUP(Tableau13[[#This Row],[Code machine]],'CODE mchn'!$A$4:$C$170,3,0)),"",VLOOKUP(Tableau13[[#This Row],[Code machine]],'CODE mchn'!$A$4:$C$170,3,0))</f>
        <v>Poyatos 1</v>
      </c>
      <c r="E1016" s="105"/>
      <c r="F1016" s="40"/>
      <c r="G1016" s="40" t="s">
        <v>682</v>
      </c>
      <c r="H1016" s="40" t="s">
        <v>1886</v>
      </c>
      <c r="I1016" s="40" t="s">
        <v>13</v>
      </c>
      <c r="J1016" s="189" t="s">
        <v>1887</v>
      </c>
      <c r="K1016" s="190">
        <v>44114</v>
      </c>
      <c r="L1016" s="40"/>
      <c r="M1016" s="191">
        <v>20</v>
      </c>
      <c r="N1016" s="192">
        <f>MONTH(Tableau13[[#This Row],[Date fin intervention]])</f>
        <v>10</v>
      </c>
      <c r="O1016" s="192">
        <f>YEAR(Tableau13[[#This Row],[Date fin intervention]])</f>
        <v>2020</v>
      </c>
      <c r="P1016" s="40"/>
    </row>
    <row r="1017" spans="1:16">
      <c r="A1017" s="187">
        <v>44114</v>
      </c>
      <c r="B1017" s="188">
        <v>700</v>
      </c>
      <c r="C1017" s="189" t="str">
        <f>IF(ISNA(VLOOKUP(Tableau13[[#This Row],[Code machine]],'CODE mchn'!$A$4:$C$170,2,0)),"",VLOOKUP(Tableau13[[#This Row],[Code machine]],'CODE mchn'!$A$4:$C$170,2,0))</f>
        <v>Béton</v>
      </c>
      <c r="D1017" s="36" t="str">
        <f>IF(ISNA(VLOOKUP(Tableau13[[#This Row],[Code machine]],'CODE mchn'!$A$4:$C$170,3,0)),"",VLOOKUP(Tableau13[[#This Row],[Code machine]],'CODE mchn'!$A$4:$C$170,3,0))</f>
        <v>Poyatos 1</v>
      </c>
      <c r="E1017" s="105"/>
      <c r="F1017" s="40"/>
      <c r="G1017" s="40" t="s">
        <v>1888</v>
      </c>
      <c r="H1017" s="40" t="s">
        <v>1889</v>
      </c>
      <c r="I1017" s="40" t="s">
        <v>13</v>
      </c>
      <c r="J1017" s="189" t="s">
        <v>1038</v>
      </c>
      <c r="K1017" s="190">
        <v>44114</v>
      </c>
      <c r="L1017" s="40"/>
      <c r="M1017" s="191">
        <v>15</v>
      </c>
      <c r="N1017" s="192">
        <f>MONTH(Tableau13[[#This Row],[Date fin intervention]])</f>
        <v>10</v>
      </c>
      <c r="O1017" s="192">
        <f>YEAR(Tableau13[[#This Row],[Date fin intervention]])</f>
        <v>2020</v>
      </c>
      <c r="P1017" s="40"/>
    </row>
    <row r="1018" spans="1:16">
      <c r="A1018" s="187">
        <v>44114</v>
      </c>
      <c r="B1018" s="188">
        <v>581</v>
      </c>
      <c r="C1018" s="189" t="str">
        <f>IF(ISNA(VLOOKUP(Tableau13[[#This Row],[Code machine]],'CODE mchn'!$A$4:$C$170,2,0)),"",VLOOKUP(Tableau13[[#This Row],[Code machine]],'CODE mchn'!$A$4:$C$170,2,0))</f>
        <v>Acier</v>
      </c>
      <c r="D1018" s="36" t="str">
        <f>IF(ISNA(VLOOKUP(Tableau13[[#This Row],[Code machine]],'CODE mchn'!$A$4:$C$170,3,0)),"",VLOOKUP(Tableau13[[#This Row],[Code machine]],'CODE mchn'!$A$4:$C$170,3,0))</f>
        <v>Teurema 1</v>
      </c>
      <c r="E1018" s="105"/>
      <c r="F1018" s="40"/>
      <c r="G1018" s="40" t="s">
        <v>1929</v>
      </c>
      <c r="H1018" s="40" t="s">
        <v>1356</v>
      </c>
      <c r="I1018" s="40" t="s">
        <v>13</v>
      </c>
      <c r="J1018" s="189" t="s">
        <v>896</v>
      </c>
      <c r="K1018" s="190">
        <v>44114</v>
      </c>
      <c r="L1018" s="40"/>
      <c r="M1018" s="191">
        <v>20</v>
      </c>
      <c r="N1018" s="192">
        <f>MONTH(Tableau13[[#This Row],[Date fin intervention]])</f>
        <v>10</v>
      </c>
      <c r="O1018" s="192">
        <f>YEAR(Tableau13[[#This Row],[Date fin intervention]])</f>
        <v>2020</v>
      </c>
      <c r="P1018" s="40"/>
    </row>
    <row r="1019" spans="1:16">
      <c r="A1019" s="187">
        <v>44116</v>
      </c>
      <c r="B1019" s="188">
        <v>800</v>
      </c>
      <c r="C1019" s="189" t="str">
        <f>IF(ISNA(VLOOKUP(Tableau13[[#This Row],[Code machine]],'CODE mchn'!$A$4:$C$170,2,0)),"",VLOOKUP(Tableau13[[#This Row],[Code machine]],'CODE mchn'!$A$4:$C$170,2,0))</f>
        <v>Béton</v>
      </c>
      <c r="D1019" s="36" t="str">
        <f>IF(ISNA(VLOOKUP(Tableau13[[#This Row],[Code machine]],'CODE mchn'!$A$4:$C$170,3,0)),"",VLOOKUP(Tableau13[[#This Row],[Code machine]],'CODE mchn'!$A$4:$C$170,3,0))</f>
        <v>Poyatos 2</v>
      </c>
      <c r="E1019" s="105"/>
      <c r="F1019" s="40"/>
      <c r="G1019" s="40" t="s">
        <v>1890</v>
      </c>
      <c r="H1019" s="40" t="s">
        <v>1843</v>
      </c>
      <c r="I1019" s="40" t="s">
        <v>13</v>
      </c>
      <c r="J1019" s="189" t="s">
        <v>418</v>
      </c>
      <c r="K1019" s="190">
        <v>44116</v>
      </c>
      <c r="L1019" s="40"/>
      <c r="M1019" s="191">
        <v>20</v>
      </c>
      <c r="N1019" s="192">
        <f>MONTH(Tableau13[[#This Row],[Date fin intervention]])</f>
        <v>10</v>
      </c>
      <c r="O1019" s="192">
        <f>YEAR(Tableau13[[#This Row],[Date fin intervention]])</f>
        <v>2020</v>
      </c>
      <c r="P1019" s="40"/>
    </row>
    <row r="1020" spans="1:16">
      <c r="A1020" s="187">
        <v>44116</v>
      </c>
      <c r="B1020" s="188">
        <v>582</v>
      </c>
      <c r="C1020" s="189" t="str">
        <f>IF(ISNA(VLOOKUP(Tableau13[[#This Row],[Code machine]],'CODE mchn'!$A$4:$C$170,2,0)),"",VLOOKUP(Tableau13[[#This Row],[Code machine]],'CODE mchn'!$A$4:$C$170,2,0))</f>
        <v>Acier</v>
      </c>
      <c r="D1020" s="36" t="str">
        <f>IF(ISNA(VLOOKUP(Tableau13[[#This Row],[Code machine]],'CODE mchn'!$A$4:$C$170,3,0)),"",VLOOKUP(Tableau13[[#This Row],[Code machine]],'CODE mchn'!$A$4:$C$170,3,0))</f>
        <v>Teurema 2</v>
      </c>
      <c r="E1020" s="105"/>
      <c r="F1020" s="40"/>
      <c r="G1020" s="40" t="s">
        <v>880</v>
      </c>
      <c r="H1020" s="40" t="s">
        <v>1874</v>
      </c>
      <c r="I1020" s="40" t="s">
        <v>13</v>
      </c>
      <c r="J1020" s="189" t="s">
        <v>1263</v>
      </c>
      <c r="K1020" s="190">
        <v>44116</v>
      </c>
      <c r="L1020" s="40"/>
      <c r="M1020" s="191">
        <v>3</v>
      </c>
      <c r="N1020" s="192">
        <f>MONTH(Tableau13[[#This Row],[Date fin intervention]])</f>
        <v>10</v>
      </c>
      <c r="O1020" s="192">
        <f>YEAR(Tableau13[[#This Row],[Date fin intervention]])</f>
        <v>2020</v>
      </c>
      <c r="P1020" s="40"/>
    </row>
    <row r="1021" spans="1:16">
      <c r="A1021" s="187">
        <v>44116</v>
      </c>
      <c r="B1021" s="188">
        <v>565</v>
      </c>
      <c r="C1021" s="189" t="str">
        <f>IF(ISNA(VLOOKUP(Tableau13[[#This Row],[Code machine]],'CODE mchn'!$A$4:$C$170,2,0)),"",VLOOKUP(Tableau13[[#This Row],[Code machine]],'CODE mchn'!$A$4:$C$170,2,0))</f>
        <v>Acier</v>
      </c>
      <c r="D1021" s="36" t="str">
        <f>IF(ISNA(VLOOKUP(Tableau13[[#This Row],[Code machine]],'CODE mchn'!$A$4:$C$170,3,0)),"",VLOOKUP(Tableau13[[#This Row],[Code machine]],'CODE mchn'!$A$4:$C$170,3,0))</f>
        <v>EVG GE12</v>
      </c>
      <c r="E1021" s="105"/>
      <c r="F1021" s="40"/>
      <c r="G1021" s="40" t="s">
        <v>104</v>
      </c>
      <c r="H1021" s="40" t="s">
        <v>1930</v>
      </c>
      <c r="I1021" s="40" t="s">
        <v>13</v>
      </c>
      <c r="J1021" s="189" t="s">
        <v>1146</v>
      </c>
      <c r="K1021" s="190">
        <v>44116</v>
      </c>
      <c r="L1021" s="40"/>
      <c r="M1021" s="191">
        <v>30</v>
      </c>
      <c r="N1021" s="192">
        <f>MONTH(Tableau13[[#This Row],[Date fin intervention]])</f>
        <v>10</v>
      </c>
      <c r="O1021" s="192">
        <f>YEAR(Tableau13[[#This Row],[Date fin intervention]])</f>
        <v>2020</v>
      </c>
      <c r="P1021" s="40"/>
    </row>
    <row r="1022" spans="1:16">
      <c r="A1022" s="187">
        <v>44117</v>
      </c>
      <c r="B1022" s="188">
        <v>700</v>
      </c>
      <c r="C1022" s="189" t="str">
        <f>IF(ISNA(VLOOKUP(Tableau13[[#This Row],[Code machine]],'CODE mchn'!$A$4:$C$170,2,0)),"",VLOOKUP(Tableau13[[#This Row],[Code machine]],'CODE mchn'!$A$4:$C$170,2,0))</f>
        <v>Béton</v>
      </c>
      <c r="D1022" s="36" t="str">
        <f>IF(ISNA(VLOOKUP(Tableau13[[#This Row],[Code machine]],'CODE mchn'!$A$4:$C$170,3,0)),"",VLOOKUP(Tableau13[[#This Row],[Code machine]],'CODE mchn'!$A$4:$C$170,3,0))</f>
        <v>Poyatos 1</v>
      </c>
      <c r="E1022" s="105"/>
      <c r="F1022" s="40"/>
      <c r="G1022" s="40" t="s">
        <v>1888</v>
      </c>
      <c r="H1022" s="40" t="s">
        <v>520</v>
      </c>
      <c r="I1022" s="40" t="s">
        <v>13</v>
      </c>
      <c r="J1022" s="189" t="s">
        <v>1732</v>
      </c>
      <c r="K1022" s="190">
        <v>44117</v>
      </c>
      <c r="L1022" s="40"/>
      <c r="M1022" s="191">
        <v>20</v>
      </c>
      <c r="N1022" s="192">
        <f>MONTH(Tableau13[[#This Row],[Date fin intervention]])</f>
        <v>10</v>
      </c>
      <c r="O1022" s="192">
        <f>YEAR(Tableau13[[#This Row],[Date fin intervention]])</f>
        <v>2020</v>
      </c>
      <c r="P1022" s="40"/>
    </row>
    <row r="1023" spans="1:16">
      <c r="A1023" s="187">
        <v>44117</v>
      </c>
      <c r="B1023" s="188">
        <v>700</v>
      </c>
      <c r="C1023" s="189" t="str">
        <f>IF(ISNA(VLOOKUP(Tableau13[[#This Row],[Code machine]],'CODE mchn'!$A$4:$C$170,2,0)),"",VLOOKUP(Tableau13[[#This Row],[Code machine]],'CODE mchn'!$A$4:$C$170,2,0))</f>
        <v>Béton</v>
      </c>
      <c r="D1023" s="36" t="str">
        <f>IF(ISNA(VLOOKUP(Tableau13[[#This Row],[Code machine]],'CODE mchn'!$A$4:$C$170,3,0)),"",VLOOKUP(Tableau13[[#This Row],[Code machine]],'CODE mchn'!$A$4:$C$170,3,0))</f>
        <v>Poyatos 1</v>
      </c>
      <c r="E1023" s="105"/>
      <c r="F1023" s="40"/>
      <c r="G1023" s="40" t="s">
        <v>809</v>
      </c>
      <c r="H1023" s="40" t="s">
        <v>1898</v>
      </c>
      <c r="I1023" s="40" t="s">
        <v>13</v>
      </c>
      <c r="J1023" s="189" t="s">
        <v>1899</v>
      </c>
      <c r="K1023" s="190">
        <v>44117</v>
      </c>
      <c r="L1023" s="40"/>
      <c r="M1023" s="191">
        <v>1</v>
      </c>
      <c r="N1023" s="192">
        <f>MONTH(Tableau13[[#This Row],[Date fin intervention]])</f>
        <v>10</v>
      </c>
      <c r="O1023" s="192">
        <f>YEAR(Tableau13[[#This Row],[Date fin intervention]])</f>
        <v>2020</v>
      </c>
      <c r="P1023" s="40"/>
    </row>
    <row r="1024" spans="1:16" ht="28.5">
      <c r="A1024" s="187">
        <v>44117</v>
      </c>
      <c r="B1024" s="188">
        <v>584</v>
      </c>
      <c r="C1024" s="189" t="str">
        <f>IF(ISNA(VLOOKUP(Tableau13[[#This Row],[Code machine]],'CODE mchn'!$A$4:$C$170,2,0)),"",VLOOKUP(Tableau13[[#This Row],[Code machine]],'CODE mchn'!$A$4:$C$170,2,0))</f>
        <v>Ponts roulants</v>
      </c>
      <c r="D1024" s="36" t="str">
        <f>IF(ISNA(VLOOKUP(Tableau13[[#This Row],[Code machine]],'CODE mchn'!$A$4:$C$170,3,0)),"",VLOOKUP(Tableau13[[#This Row],[Code machine]],'CODE mchn'!$A$4:$C$170,3,0))</f>
        <v>Pont roulant Demag 3,2T (teurema2)</v>
      </c>
      <c r="E1024" s="105"/>
      <c r="F1024" s="40"/>
      <c r="G1024" s="40" t="s">
        <v>52</v>
      </c>
      <c r="H1024" s="40" t="s">
        <v>1931</v>
      </c>
      <c r="I1024" s="40" t="s">
        <v>13</v>
      </c>
      <c r="J1024" s="189" t="s">
        <v>1932</v>
      </c>
      <c r="K1024" s="190">
        <v>44117</v>
      </c>
      <c r="L1024" s="40"/>
      <c r="M1024" s="191">
        <v>1</v>
      </c>
      <c r="N1024" s="192">
        <f>MONTH(Tableau13[[#This Row],[Date fin intervention]])</f>
        <v>10</v>
      </c>
      <c r="O1024" s="192">
        <f>YEAR(Tableau13[[#This Row],[Date fin intervention]])</f>
        <v>2020</v>
      </c>
      <c r="P1024" s="40"/>
    </row>
    <row r="1025" spans="1:16">
      <c r="A1025" s="187">
        <v>44118</v>
      </c>
      <c r="B1025" s="188">
        <v>800</v>
      </c>
      <c r="C1025" s="189" t="str">
        <f>IF(ISNA(VLOOKUP(Tableau13[[#This Row],[Code machine]],'CODE mchn'!$A$4:$C$170,2,0)),"",VLOOKUP(Tableau13[[#This Row],[Code machine]],'CODE mchn'!$A$4:$C$170,2,0))</f>
        <v>Béton</v>
      </c>
      <c r="D1025" s="36" t="str">
        <f>IF(ISNA(VLOOKUP(Tableau13[[#This Row],[Code machine]],'CODE mchn'!$A$4:$C$170,3,0)),"",VLOOKUP(Tableau13[[#This Row],[Code machine]],'CODE mchn'!$A$4:$C$170,3,0))</f>
        <v>Poyatos 2</v>
      </c>
      <c r="E1025" s="105"/>
      <c r="F1025" s="40"/>
      <c r="G1025" s="40" t="s">
        <v>291</v>
      </c>
      <c r="H1025" s="40" t="s">
        <v>1891</v>
      </c>
      <c r="I1025" s="40" t="s">
        <v>13</v>
      </c>
      <c r="J1025" s="189" t="s">
        <v>1892</v>
      </c>
      <c r="K1025" s="190">
        <v>44118</v>
      </c>
      <c r="L1025" s="40"/>
      <c r="M1025" s="191">
        <v>1</v>
      </c>
      <c r="N1025" s="192">
        <f>MONTH(Tableau13[[#This Row],[Date fin intervention]])</f>
        <v>10</v>
      </c>
      <c r="O1025" s="192">
        <f>YEAR(Tableau13[[#This Row],[Date fin intervention]])</f>
        <v>2020</v>
      </c>
      <c r="P1025" s="40"/>
    </row>
    <row r="1026" spans="1:16">
      <c r="A1026" s="187">
        <v>44118</v>
      </c>
      <c r="B1026" s="188">
        <v>533</v>
      </c>
      <c r="C1026" s="189" t="str">
        <f>IF(ISNA(VLOOKUP(Tableau13[[#This Row],[Code machine]],'CODE mchn'!$A$4:$C$170,2,0)),"",VLOOKUP(Tableau13[[#This Row],[Code machine]],'CODE mchn'!$A$4:$C$170,2,0))</f>
        <v>Enrobage</v>
      </c>
      <c r="D1026" s="36" t="str">
        <f>IF(ISNA(VLOOKUP(Tableau13[[#This Row],[Code machine]],'CODE mchn'!$A$4:$C$170,3,0)),"",VLOOKUP(Tableau13[[#This Row],[Code machine]],'CODE mchn'!$A$4:$C$170,3,0))</f>
        <v>CAROSSEL</v>
      </c>
      <c r="E1026" s="105"/>
      <c r="F1026" s="40"/>
      <c r="G1026" s="40" t="s">
        <v>1893</v>
      </c>
      <c r="H1026" s="40" t="s">
        <v>1894</v>
      </c>
      <c r="I1026" s="40" t="s">
        <v>13</v>
      </c>
      <c r="J1026" s="189" t="s">
        <v>1895</v>
      </c>
      <c r="K1026" s="190">
        <v>44118</v>
      </c>
      <c r="L1026" s="40"/>
      <c r="M1026" s="191">
        <v>20</v>
      </c>
      <c r="N1026" s="192">
        <f>MONTH(Tableau13[[#This Row],[Date fin intervention]])</f>
        <v>10</v>
      </c>
      <c r="O1026" s="192">
        <f>YEAR(Tableau13[[#This Row],[Date fin intervention]])</f>
        <v>2020</v>
      </c>
      <c r="P1026" s="40"/>
    </row>
    <row r="1027" spans="1:16">
      <c r="A1027" s="187">
        <v>44118</v>
      </c>
      <c r="B1027" s="188">
        <v>570</v>
      </c>
      <c r="C1027" s="189" t="str">
        <f>IF(ISNA(VLOOKUP(Tableau13[[#This Row],[Code machine]],'CODE mchn'!$A$4:$C$170,2,0)),"",VLOOKUP(Tableau13[[#This Row],[Code machine]],'CODE mchn'!$A$4:$C$170,2,0))</f>
        <v>Acier</v>
      </c>
      <c r="D1027" s="36" t="str">
        <f>IF(ISNA(VLOOKUP(Tableau13[[#This Row],[Code machine]],'CODE mchn'!$A$4:$C$170,3,0)),"",VLOOKUP(Tableau13[[#This Row],[Code machine]],'CODE mchn'!$A$4:$C$170,3,0))</f>
        <v>Sigmatic</v>
      </c>
      <c r="E1027" s="105"/>
      <c r="F1027" s="40"/>
      <c r="G1027" s="40" t="s">
        <v>664</v>
      </c>
      <c r="H1027" s="40" t="s">
        <v>1933</v>
      </c>
      <c r="I1027" s="40" t="s">
        <v>13</v>
      </c>
      <c r="J1027" s="189" t="s">
        <v>1038</v>
      </c>
      <c r="K1027" s="190">
        <v>44118</v>
      </c>
      <c r="L1027" s="40"/>
      <c r="M1027" s="191">
        <v>15</v>
      </c>
      <c r="N1027" s="192">
        <f>MONTH(Tableau13[[#This Row],[Date fin intervention]])</f>
        <v>10</v>
      </c>
      <c r="O1027" s="192">
        <f>YEAR(Tableau13[[#This Row],[Date fin intervention]])</f>
        <v>2020</v>
      </c>
      <c r="P1027" s="40"/>
    </row>
    <row r="1028" spans="1:16">
      <c r="A1028" s="187">
        <v>44120</v>
      </c>
      <c r="B1028" s="188">
        <v>700</v>
      </c>
      <c r="C1028" s="189" t="str">
        <f>IF(ISNA(VLOOKUP(Tableau13[[#This Row],[Code machine]],'CODE mchn'!$A$4:$C$170,2,0)),"",VLOOKUP(Tableau13[[#This Row],[Code machine]],'CODE mchn'!$A$4:$C$170,2,0))</f>
        <v>Béton</v>
      </c>
      <c r="D1028" s="36" t="str">
        <f>IF(ISNA(VLOOKUP(Tableau13[[#This Row],[Code machine]],'CODE mchn'!$A$4:$C$170,3,0)),"",VLOOKUP(Tableau13[[#This Row],[Code machine]],'CODE mchn'!$A$4:$C$170,3,0))</f>
        <v>Poyatos 1</v>
      </c>
      <c r="E1028" s="105"/>
      <c r="F1028" s="40"/>
      <c r="G1028" s="40" t="s">
        <v>365</v>
      </c>
      <c r="H1028" s="40" t="s">
        <v>1896</v>
      </c>
      <c r="I1028" s="40" t="s">
        <v>13</v>
      </c>
      <c r="J1028" s="189" t="s">
        <v>1897</v>
      </c>
      <c r="K1028" s="190">
        <v>44120</v>
      </c>
      <c r="L1028" s="40"/>
      <c r="M1028" s="191">
        <v>30</v>
      </c>
      <c r="N1028" s="192">
        <f>MONTH(Tableau13[[#This Row],[Date fin intervention]])</f>
        <v>10</v>
      </c>
      <c r="O1028" s="192">
        <f>YEAR(Tableau13[[#This Row],[Date fin intervention]])</f>
        <v>2020</v>
      </c>
      <c r="P1028" s="40"/>
    </row>
    <row r="1029" spans="1:16">
      <c r="A1029" s="187">
        <v>44120</v>
      </c>
      <c r="B1029" s="188">
        <v>700</v>
      </c>
      <c r="C1029" s="189" t="str">
        <f>IF(ISNA(VLOOKUP(Tableau13[[#This Row],[Code machine]],'CODE mchn'!$A$4:$C$170,2,0)),"",VLOOKUP(Tableau13[[#This Row],[Code machine]],'CODE mchn'!$A$4:$C$170,2,0))</f>
        <v>Béton</v>
      </c>
      <c r="D1029" s="36" t="str">
        <f>IF(ISNA(VLOOKUP(Tableau13[[#This Row],[Code machine]],'CODE mchn'!$A$4:$C$170,3,0)),"",VLOOKUP(Tableau13[[#This Row],[Code machine]],'CODE mchn'!$A$4:$C$170,3,0))</f>
        <v>Poyatos 1</v>
      </c>
      <c r="E1029" s="105"/>
      <c r="F1029" s="40"/>
      <c r="G1029" s="40" t="s">
        <v>291</v>
      </c>
      <c r="H1029" s="40" t="s">
        <v>482</v>
      </c>
      <c r="I1029" s="40" t="s">
        <v>13</v>
      </c>
      <c r="J1029" s="189" t="s">
        <v>1177</v>
      </c>
      <c r="K1029" s="190">
        <v>44120</v>
      </c>
      <c r="L1029" s="40"/>
      <c r="M1029" s="191">
        <v>1</v>
      </c>
      <c r="N1029" s="192">
        <f>MONTH(Tableau13[[#This Row],[Date fin intervention]])</f>
        <v>10</v>
      </c>
      <c r="O1029" s="192">
        <f>YEAR(Tableau13[[#This Row],[Date fin intervention]])</f>
        <v>2020</v>
      </c>
      <c r="P1029" s="40"/>
    </row>
    <row r="1030" spans="1:16">
      <c r="A1030" s="187">
        <v>44120</v>
      </c>
      <c r="B1030" s="188">
        <v>560</v>
      </c>
      <c r="C1030" s="189" t="str">
        <f>IF(ISNA(VLOOKUP(Tableau13[[#This Row],[Code machine]],'CODE mchn'!$A$4:$C$170,2,0)),"",VLOOKUP(Tableau13[[#This Row],[Code machine]],'CODE mchn'!$A$4:$C$170,2,0))</f>
        <v>Acier</v>
      </c>
      <c r="D1030" s="36" t="str">
        <f>IF(ISNA(VLOOKUP(Tableau13[[#This Row],[Code machine]],'CODE mchn'!$A$4:$C$170,3,0)),"",VLOOKUP(Tableau13[[#This Row],[Code machine]],'CODE mchn'!$A$4:$C$170,3,0))</f>
        <v>Schlatter</v>
      </c>
      <c r="E1030" s="105"/>
      <c r="F1030" s="40"/>
      <c r="G1030" s="40" t="s">
        <v>104</v>
      </c>
      <c r="H1030" s="40" t="s">
        <v>1934</v>
      </c>
      <c r="I1030" s="40" t="s">
        <v>13</v>
      </c>
      <c r="J1030" s="189" t="s">
        <v>1935</v>
      </c>
      <c r="K1030" s="190">
        <v>44120</v>
      </c>
      <c r="L1030" s="40"/>
      <c r="M1030" s="191">
        <v>40</v>
      </c>
      <c r="N1030" s="192">
        <f>MONTH(Tableau13[[#This Row],[Date fin intervention]])</f>
        <v>10</v>
      </c>
      <c r="O1030" s="192">
        <f>YEAR(Tableau13[[#This Row],[Date fin intervention]])</f>
        <v>2020</v>
      </c>
      <c r="P1030" s="40"/>
    </row>
    <row r="1031" spans="1:16">
      <c r="A1031" s="187">
        <v>44121</v>
      </c>
      <c r="B1031" s="188">
        <v>700</v>
      </c>
      <c r="C1031" s="189" t="str">
        <f>IF(ISNA(VLOOKUP(Tableau13[[#This Row],[Code machine]],'CODE mchn'!$A$4:$C$170,2,0)),"",VLOOKUP(Tableau13[[#This Row],[Code machine]],'CODE mchn'!$A$4:$C$170,2,0))</f>
        <v>Béton</v>
      </c>
      <c r="D1031" s="36" t="str">
        <f>IF(ISNA(VLOOKUP(Tableau13[[#This Row],[Code machine]],'CODE mchn'!$A$4:$C$170,3,0)),"",VLOOKUP(Tableau13[[#This Row],[Code machine]],'CODE mchn'!$A$4:$C$170,3,0))</f>
        <v>Poyatos 1</v>
      </c>
      <c r="E1031" s="105"/>
      <c r="F1031" s="40"/>
      <c r="G1031" s="40" t="s">
        <v>289</v>
      </c>
      <c r="H1031" s="40" t="s">
        <v>1900</v>
      </c>
      <c r="I1031" s="40" t="s">
        <v>13</v>
      </c>
      <c r="J1031" s="189" t="s">
        <v>1901</v>
      </c>
      <c r="K1031" s="190">
        <v>44121</v>
      </c>
      <c r="L1031" s="40"/>
      <c r="M1031" s="191">
        <v>1</v>
      </c>
      <c r="N1031" s="192">
        <f>MONTH(Tableau13[[#This Row],[Date fin intervention]])</f>
        <v>10</v>
      </c>
      <c r="O1031" s="192">
        <f>YEAR(Tableau13[[#This Row],[Date fin intervention]])</f>
        <v>2020</v>
      </c>
      <c r="P1031" s="40"/>
    </row>
    <row r="1032" spans="1:16">
      <c r="A1032" s="187">
        <v>44121</v>
      </c>
      <c r="B1032" s="188">
        <v>582</v>
      </c>
      <c r="C1032" s="189" t="str">
        <f>IF(ISNA(VLOOKUP(Tableau13[[#This Row],[Code machine]],'CODE mchn'!$A$4:$C$170,2,0)),"",VLOOKUP(Tableau13[[#This Row],[Code machine]],'CODE mchn'!$A$4:$C$170,2,0))</f>
        <v>Acier</v>
      </c>
      <c r="D1032" s="36" t="str">
        <f>IF(ISNA(VLOOKUP(Tableau13[[#This Row],[Code machine]],'CODE mchn'!$A$4:$C$170,3,0)),"",VLOOKUP(Tableau13[[#This Row],[Code machine]],'CODE mchn'!$A$4:$C$170,3,0))</f>
        <v>Teurema 2</v>
      </c>
      <c r="E1032" s="105"/>
      <c r="F1032" s="40"/>
      <c r="G1032" s="40" t="s">
        <v>612</v>
      </c>
      <c r="H1032" s="40" t="s">
        <v>1936</v>
      </c>
      <c r="I1032" s="40" t="s">
        <v>13</v>
      </c>
      <c r="J1032" s="189" t="s">
        <v>1865</v>
      </c>
      <c r="K1032" s="190">
        <v>44121</v>
      </c>
      <c r="L1032" s="40"/>
      <c r="M1032" s="191" t="s">
        <v>1937</v>
      </c>
      <c r="N1032" s="192">
        <f>MONTH(Tableau13[[#This Row],[Date fin intervention]])</f>
        <v>10</v>
      </c>
      <c r="O1032" s="192">
        <f>YEAR(Tableau13[[#This Row],[Date fin intervention]])</f>
        <v>2020</v>
      </c>
      <c r="P1032" s="40"/>
    </row>
    <row r="1033" spans="1:16">
      <c r="A1033" s="187">
        <v>44123</v>
      </c>
      <c r="B1033" s="188">
        <v>700</v>
      </c>
      <c r="C1033" s="189" t="str">
        <f>IF(ISNA(VLOOKUP(Tableau13[[#This Row],[Code machine]],'CODE mchn'!$A$4:$C$170,2,0)),"",VLOOKUP(Tableau13[[#This Row],[Code machine]],'CODE mchn'!$A$4:$C$170,2,0))</f>
        <v>Béton</v>
      </c>
      <c r="D1033" s="36" t="str">
        <f>IF(ISNA(VLOOKUP(Tableau13[[#This Row],[Code machine]],'CODE mchn'!$A$4:$C$170,3,0)),"",VLOOKUP(Tableau13[[#This Row],[Code machine]],'CODE mchn'!$A$4:$C$170,3,0))</f>
        <v>Poyatos 1</v>
      </c>
      <c r="E1033" s="105"/>
      <c r="F1033" s="40"/>
      <c r="G1033" s="40" t="s">
        <v>230</v>
      </c>
      <c r="H1033" s="40" t="s">
        <v>1902</v>
      </c>
      <c r="I1033" s="40" t="s">
        <v>13</v>
      </c>
      <c r="J1033" s="189" t="s">
        <v>898</v>
      </c>
      <c r="K1033" s="190">
        <v>44123</v>
      </c>
      <c r="L1033" s="40"/>
      <c r="M1033" s="191">
        <v>2</v>
      </c>
      <c r="N1033" s="192">
        <f>MONTH(Tableau13[[#This Row],[Date fin intervention]])</f>
        <v>10</v>
      </c>
      <c r="O1033" s="192">
        <f>YEAR(Tableau13[[#This Row],[Date fin intervention]])</f>
        <v>2020</v>
      </c>
      <c r="P1033" s="40"/>
    </row>
    <row r="1034" spans="1:16">
      <c r="A1034" s="187">
        <v>44123</v>
      </c>
      <c r="B1034" s="188">
        <v>590</v>
      </c>
      <c r="C1034" s="189" t="str">
        <f>IF(ISNA(VLOOKUP(Tableau13[[#This Row],[Code machine]],'CODE mchn'!$A$4:$C$170,2,0)),"",VLOOKUP(Tableau13[[#This Row],[Code machine]],'CODE mchn'!$A$4:$C$170,2,0))</f>
        <v>Acier</v>
      </c>
      <c r="D1034" s="36" t="str">
        <f>IF(ISNA(VLOOKUP(Tableau13[[#This Row],[Code machine]],'CODE mchn'!$A$4:$C$170,3,0)),"",VLOOKUP(Tableau13[[#This Row],[Code machine]],'CODE mchn'!$A$4:$C$170,3,0))</f>
        <v>Teurema 3</v>
      </c>
      <c r="E1034" s="105"/>
      <c r="F1034" s="40"/>
      <c r="G1034" s="40" t="s">
        <v>1653</v>
      </c>
      <c r="H1034" s="40" t="s">
        <v>1172</v>
      </c>
      <c r="I1034" s="40" t="s">
        <v>13</v>
      </c>
      <c r="J1034" s="189" t="s">
        <v>1938</v>
      </c>
      <c r="K1034" s="190">
        <v>44123</v>
      </c>
      <c r="L1034" s="40"/>
      <c r="M1034" s="191">
        <v>30</v>
      </c>
      <c r="N1034" s="192">
        <f>MONTH(Tableau13[[#This Row],[Date fin intervention]])</f>
        <v>10</v>
      </c>
      <c r="O1034" s="192">
        <f>YEAR(Tableau13[[#This Row],[Date fin intervention]])</f>
        <v>2020</v>
      </c>
      <c r="P1034" s="40"/>
    </row>
    <row r="1035" spans="1:16">
      <c r="A1035" s="187">
        <v>44124</v>
      </c>
      <c r="B1035" s="188">
        <v>800</v>
      </c>
      <c r="C1035" s="189" t="str">
        <f>IF(ISNA(VLOOKUP(Tableau13[[#This Row],[Code machine]],'CODE mchn'!$A$4:$C$170,2,0)),"",VLOOKUP(Tableau13[[#This Row],[Code machine]],'CODE mchn'!$A$4:$C$170,2,0))</f>
        <v>Béton</v>
      </c>
      <c r="D1035" s="36" t="str">
        <f>IF(ISNA(VLOOKUP(Tableau13[[#This Row],[Code machine]],'CODE mchn'!$A$4:$C$170,3,0)),"",VLOOKUP(Tableau13[[#This Row],[Code machine]],'CODE mchn'!$A$4:$C$170,3,0))</f>
        <v>Poyatos 2</v>
      </c>
      <c r="E1035" s="105"/>
      <c r="F1035" s="40"/>
      <c r="G1035" s="40" t="s">
        <v>118</v>
      </c>
      <c r="H1035" s="40" t="s">
        <v>1903</v>
      </c>
      <c r="I1035" s="40" t="s">
        <v>13</v>
      </c>
      <c r="J1035" s="189" t="s">
        <v>1904</v>
      </c>
      <c r="K1035" s="190">
        <v>44124</v>
      </c>
      <c r="L1035" s="40"/>
      <c r="M1035" s="191">
        <v>20</v>
      </c>
      <c r="N1035" s="192">
        <f>MONTH(Tableau13[[#This Row],[Date fin intervention]])</f>
        <v>10</v>
      </c>
      <c r="O1035" s="192">
        <f>YEAR(Tableau13[[#This Row],[Date fin intervention]])</f>
        <v>2020</v>
      </c>
      <c r="P1035" s="40"/>
    </row>
    <row r="1036" spans="1:16">
      <c r="A1036" s="187">
        <v>44124</v>
      </c>
      <c r="B1036" s="188">
        <v>700</v>
      </c>
      <c r="C1036" s="189" t="str">
        <f>IF(ISNA(VLOOKUP(Tableau13[[#This Row],[Code machine]],'CODE mchn'!$A$4:$C$170,2,0)),"",VLOOKUP(Tableau13[[#This Row],[Code machine]],'CODE mchn'!$A$4:$C$170,2,0))</f>
        <v>Béton</v>
      </c>
      <c r="D1036" s="36" t="str">
        <f>IF(ISNA(VLOOKUP(Tableau13[[#This Row],[Code machine]],'CODE mchn'!$A$4:$C$170,3,0)),"",VLOOKUP(Tableau13[[#This Row],[Code machine]],'CODE mchn'!$A$4:$C$170,3,0))</f>
        <v>Poyatos 1</v>
      </c>
      <c r="E1036" s="105"/>
      <c r="F1036" s="40"/>
      <c r="G1036" s="40" t="s">
        <v>128</v>
      </c>
      <c r="H1036" s="40" t="s">
        <v>931</v>
      </c>
      <c r="I1036" s="40" t="s">
        <v>13</v>
      </c>
      <c r="J1036" s="189" t="s">
        <v>1177</v>
      </c>
      <c r="K1036" s="190">
        <v>44124</v>
      </c>
      <c r="L1036" s="40"/>
      <c r="M1036" s="191">
        <v>30</v>
      </c>
      <c r="N1036" s="192">
        <f>MONTH(Tableau13[[#This Row],[Date fin intervention]])</f>
        <v>10</v>
      </c>
      <c r="O1036" s="192">
        <f>YEAR(Tableau13[[#This Row],[Date fin intervention]])</f>
        <v>2020</v>
      </c>
      <c r="P1036" s="40"/>
    </row>
    <row r="1037" spans="1:16">
      <c r="A1037" s="187">
        <v>44125</v>
      </c>
      <c r="B1037" s="188">
        <v>800</v>
      </c>
      <c r="C1037" s="189" t="str">
        <f>IF(ISNA(VLOOKUP(Tableau13[[#This Row],[Code machine]],'CODE mchn'!$A$4:$C$170,2,0)),"",VLOOKUP(Tableau13[[#This Row],[Code machine]],'CODE mchn'!$A$4:$C$170,2,0))</f>
        <v>Béton</v>
      </c>
      <c r="D1037" s="36" t="str">
        <f>IF(ISNA(VLOOKUP(Tableau13[[#This Row],[Code machine]],'CODE mchn'!$A$4:$C$170,3,0)),"",VLOOKUP(Tableau13[[#This Row],[Code machine]],'CODE mchn'!$A$4:$C$170,3,0))</f>
        <v>Poyatos 2</v>
      </c>
      <c r="E1037" s="105"/>
      <c r="F1037" s="40"/>
      <c r="G1037" s="40" t="s">
        <v>1905</v>
      </c>
      <c r="H1037" s="40" t="s">
        <v>709</v>
      </c>
      <c r="I1037" s="40" t="s">
        <v>13</v>
      </c>
      <c r="J1037" s="189" t="s">
        <v>1906</v>
      </c>
      <c r="K1037" s="190">
        <v>44125</v>
      </c>
      <c r="L1037" s="40"/>
      <c r="M1037" s="191">
        <v>20</v>
      </c>
      <c r="N1037" s="192">
        <f>MONTH(Tableau13[[#This Row],[Date fin intervention]])</f>
        <v>10</v>
      </c>
      <c r="O1037" s="192">
        <f>YEAR(Tableau13[[#This Row],[Date fin intervention]])</f>
        <v>2020</v>
      </c>
      <c r="P1037" s="40"/>
    </row>
    <row r="1038" spans="1:16">
      <c r="A1038" s="187">
        <v>44125</v>
      </c>
      <c r="B1038" s="188">
        <v>590</v>
      </c>
      <c r="C1038" s="189" t="str">
        <f>IF(ISNA(VLOOKUP(Tableau13[[#This Row],[Code machine]],'CODE mchn'!$A$4:$C$170,2,0)),"",VLOOKUP(Tableau13[[#This Row],[Code machine]],'CODE mchn'!$A$4:$C$170,2,0))</f>
        <v>Acier</v>
      </c>
      <c r="D1038" s="36" t="str">
        <f>IF(ISNA(VLOOKUP(Tableau13[[#This Row],[Code machine]],'CODE mchn'!$A$4:$C$170,3,0)),"",VLOOKUP(Tableau13[[#This Row],[Code machine]],'CODE mchn'!$A$4:$C$170,3,0))</f>
        <v>Teurema 3</v>
      </c>
      <c r="E1038" s="105"/>
      <c r="F1038" s="40"/>
      <c r="G1038" s="40" t="s">
        <v>880</v>
      </c>
      <c r="H1038" s="40" t="s">
        <v>1070</v>
      </c>
      <c r="I1038" s="40" t="s">
        <v>13</v>
      </c>
      <c r="J1038" s="189" t="s">
        <v>302</v>
      </c>
      <c r="K1038" s="190">
        <v>44125</v>
      </c>
      <c r="L1038" s="40"/>
      <c r="M1038" s="191">
        <v>2</v>
      </c>
      <c r="N1038" s="192">
        <f>MONTH(Tableau13[[#This Row],[Date fin intervention]])</f>
        <v>10</v>
      </c>
      <c r="O1038" s="192">
        <f>YEAR(Tableau13[[#This Row],[Date fin intervention]])</f>
        <v>2020</v>
      </c>
      <c r="P1038" s="40"/>
    </row>
    <row r="1039" spans="1:16">
      <c r="A1039" s="187">
        <v>44126</v>
      </c>
      <c r="B1039" s="188">
        <v>700</v>
      </c>
      <c r="C1039" s="189" t="str">
        <f>IF(ISNA(VLOOKUP(Tableau13[[#This Row],[Code machine]],'CODE mchn'!$A$4:$C$170,2,0)),"",VLOOKUP(Tableau13[[#This Row],[Code machine]],'CODE mchn'!$A$4:$C$170,2,0))</f>
        <v>Béton</v>
      </c>
      <c r="D1039" s="36" t="str">
        <f>IF(ISNA(VLOOKUP(Tableau13[[#This Row],[Code machine]],'CODE mchn'!$A$4:$C$170,3,0)),"",VLOOKUP(Tableau13[[#This Row],[Code machine]],'CODE mchn'!$A$4:$C$170,3,0))</f>
        <v>Poyatos 1</v>
      </c>
      <c r="E1039" s="105"/>
      <c r="F1039" s="40"/>
      <c r="G1039" s="40" t="s">
        <v>809</v>
      </c>
      <c r="H1039" s="40" t="s">
        <v>1188</v>
      </c>
      <c r="I1039" s="40" t="s">
        <v>13</v>
      </c>
      <c r="J1039" s="189" t="s">
        <v>1907</v>
      </c>
      <c r="K1039" s="190">
        <v>44126</v>
      </c>
      <c r="L1039" s="40"/>
      <c r="M1039" s="191">
        <v>45</v>
      </c>
      <c r="N1039" s="192">
        <f>MONTH(Tableau13[[#This Row],[Date fin intervention]])</f>
        <v>10</v>
      </c>
      <c r="O1039" s="192">
        <f>YEAR(Tableau13[[#This Row],[Date fin intervention]])</f>
        <v>2020</v>
      </c>
      <c r="P1039" s="40"/>
    </row>
    <row r="1040" spans="1:16">
      <c r="A1040" s="187">
        <v>44126</v>
      </c>
      <c r="B1040" s="188">
        <v>700</v>
      </c>
      <c r="C1040" s="189" t="str">
        <f>IF(ISNA(VLOOKUP(Tableau13[[#This Row],[Code machine]],'CODE mchn'!$A$4:$C$170,2,0)),"",VLOOKUP(Tableau13[[#This Row],[Code machine]],'CODE mchn'!$A$4:$C$170,2,0))</f>
        <v>Béton</v>
      </c>
      <c r="D1040" s="36" t="str">
        <f>IF(ISNA(VLOOKUP(Tableau13[[#This Row],[Code machine]],'CODE mchn'!$A$4:$C$170,3,0)),"",VLOOKUP(Tableau13[[#This Row],[Code machine]],'CODE mchn'!$A$4:$C$170,3,0))</f>
        <v>Poyatos 1</v>
      </c>
      <c r="E1040" s="105"/>
      <c r="F1040" s="40"/>
      <c r="G1040" s="40" t="s">
        <v>230</v>
      </c>
      <c r="H1040" s="40" t="s">
        <v>1909</v>
      </c>
      <c r="I1040" s="40" t="s">
        <v>13</v>
      </c>
      <c r="J1040" s="189" t="s">
        <v>1908</v>
      </c>
      <c r="K1040" s="190">
        <v>44126</v>
      </c>
      <c r="L1040" s="40"/>
      <c r="M1040" s="191">
        <v>40</v>
      </c>
      <c r="N1040" s="192">
        <f>MONTH(Tableau13[[#This Row],[Date fin intervention]])</f>
        <v>10</v>
      </c>
      <c r="O1040" s="192">
        <f>YEAR(Tableau13[[#This Row],[Date fin intervention]])</f>
        <v>2020</v>
      </c>
      <c r="P1040" s="40"/>
    </row>
    <row r="1041" spans="1:16">
      <c r="A1041" s="187">
        <v>44127</v>
      </c>
      <c r="B1041" s="188">
        <v>590</v>
      </c>
      <c r="C1041" s="189" t="str">
        <f>IF(ISNA(VLOOKUP(Tableau13[[#This Row],[Code machine]],'CODE mchn'!$A$4:$C$170,2,0)),"",VLOOKUP(Tableau13[[#This Row],[Code machine]],'CODE mchn'!$A$4:$C$170,2,0))</f>
        <v>Acier</v>
      </c>
      <c r="D1041" s="36" t="str">
        <f>IF(ISNA(VLOOKUP(Tableau13[[#This Row],[Code machine]],'CODE mchn'!$A$4:$C$170,3,0)),"",VLOOKUP(Tableau13[[#This Row],[Code machine]],'CODE mchn'!$A$4:$C$170,3,0))</f>
        <v>Teurema 3</v>
      </c>
      <c r="E1041" s="105"/>
      <c r="F1041" s="40"/>
      <c r="G1041" s="40" t="s">
        <v>1473</v>
      </c>
      <c r="H1041" s="40" t="s">
        <v>350</v>
      </c>
      <c r="I1041" s="40" t="s">
        <v>13</v>
      </c>
      <c r="J1041" s="189" t="s">
        <v>1939</v>
      </c>
      <c r="K1041" s="190">
        <v>44127</v>
      </c>
      <c r="L1041" s="40"/>
      <c r="M1041" s="191">
        <v>1</v>
      </c>
      <c r="N1041" s="192">
        <f>MONTH(Tableau13[[#This Row],[Date fin intervention]])</f>
        <v>10</v>
      </c>
      <c r="O1041" s="192">
        <f>YEAR(Tableau13[[#This Row],[Date fin intervention]])</f>
        <v>2020</v>
      </c>
      <c r="P1041" s="40"/>
    </row>
    <row r="1042" spans="1:16">
      <c r="A1042" s="187">
        <v>44128</v>
      </c>
      <c r="B1042" s="188">
        <v>700</v>
      </c>
      <c r="C1042" s="189" t="str">
        <f>IF(ISNA(VLOOKUP(Tableau13[[#This Row],[Code machine]],'CODE mchn'!$A$4:$C$170,2,0)),"",VLOOKUP(Tableau13[[#This Row],[Code machine]],'CODE mchn'!$A$4:$C$170,2,0))</f>
        <v>Béton</v>
      </c>
      <c r="D1042" s="36" t="str">
        <f>IF(ISNA(VLOOKUP(Tableau13[[#This Row],[Code machine]],'CODE mchn'!$A$4:$C$170,3,0)),"",VLOOKUP(Tableau13[[#This Row],[Code machine]],'CODE mchn'!$A$4:$C$170,3,0))</f>
        <v>Poyatos 1</v>
      </c>
      <c r="E1042" s="105"/>
      <c r="F1042" s="40"/>
      <c r="G1042" s="40" t="s">
        <v>289</v>
      </c>
      <c r="H1042" s="40" t="s">
        <v>1910</v>
      </c>
      <c r="I1042" s="40" t="s">
        <v>13</v>
      </c>
      <c r="J1042" s="189" t="s">
        <v>1911</v>
      </c>
      <c r="K1042" s="190">
        <v>44128</v>
      </c>
      <c r="L1042" s="40"/>
      <c r="M1042" s="191">
        <v>30</v>
      </c>
      <c r="N1042" s="192">
        <f>MONTH(Tableau13[[#This Row],[Date fin intervention]])</f>
        <v>10</v>
      </c>
      <c r="O1042" s="192">
        <f>YEAR(Tableau13[[#This Row],[Date fin intervention]])</f>
        <v>2020</v>
      </c>
      <c r="P1042" s="40"/>
    </row>
    <row r="1043" spans="1:16">
      <c r="A1043" s="187">
        <v>44128</v>
      </c>
      <c r="B1043" s="188">
        <v>582</v>
      </c>
      <c r="C1043" s="189" t="str">
        <f>IF(ISNA(VLOOKUP(Tableau13[[#This Row],[Code machine]],'CODE mchn'!$A$4:$C$170,2,0)),"",VLOOKUP(Tableau13[[#This Row],[Code machine]],'CODE mchn'!$A$4:$C$170,2,0))</f>
        <v>Acier</v>
      </c>
      <c r="D1043" s="36" t="str">
        <f>IF(ISNA(VLOOKUP(Tableau13[[#This Row],[Code machine]],'CODE mchn'!$A$4:$C$170,3,0)),"",VLOOKUP(Tableau13[[#This Row],[Code machine]],'CODE mchn'!$A$4:$C$170,3,0))</f>
        <v>Teurema 2</v>
      </c>
      <c r="E1043" s="105"/>
      <c r="F1043" s="40"/>
      <c r="G1043" s="40" t="s">
        <v>49</v>
      </c>
      <c r="H1043" s="40" t="s">
        <v>1696</v>
      </c>
      <c r="I1043" s="40" t="s">
        <v>13</v>
      </c>
      <c r="J1043" s="189" t="s">
        <v>1075</v>
      </c>
      <c r="K1043" s="190">
        <v>44128</v>
      </c>
      <c r="L1043" s="40"/>
      <c r="M1043" s="191">
        <v>30</v>
      </c>
      <c r="N1043" s="192">
        <f>MONTH(Tableau13[[#This Row],[Date fin intervention]])</f>
        <v>10</v>
      </c>
      <c r="O1043" s="192">
        <f>YEAR(Tableau13[[#This Row],[Date fin intervention]])</f>
        <v>2020</v>
      </c>
      <c r="P1043" s="40"/>
    </row>
    <row r="1044" spans="1:16">
      <c r="A1044" s="187">
        <v>44128</v>
      </c>
      <c r="B1044" s="188">
        <v>601</v>
      </c>
      <c r="C1044" s="189" t="str">
        <f>IF(ISNA(VLOOKUP(Tableau13[[#This Row],[Code machine]],'CODE mchn'!$A$4:$C$170,2,0)),"",VLOOKUP(Tableau13[[#This Row],[Code machine]],'CODE mchn'!$A$4:$C$170,2,0))</f>
        <v>Acier</v>
      </c>
      <c r="D1044" s="36" t="str">
        <f>IF(ISNA(VLOOKUP(Tableau13[[#This Row],[Code machine]],'CODE mchn'!$A$4:$C$170,3,0)),"",VLOOKUP(Tableau13[[#This Row],[Code machine]],'CODE mchn'!$A$4:$C$170,3,0))</f>
        <v>TI 9505/9</v>
      </c>
      <c r="E1044" s="105"/>
      <c r="F1044" s="40"/>
      <c r="G1044" s="40" t="s">
        <v>10</v>
      </c>
      <c r="H1044" s="40" t="s">
        <v>1940</v>
      </c>
      <c r="I1044" s="40" t="s">
        <v>13</v>
      </c>
      <c r="J1044" s="189" t="s">
        <v>1941</v>
      </c>
      <c r="K1044" s="190">
        <v>44128</v>
      </c>
      <c r="L1044" s="40"/>
      <c r="M1044" s="191">
        <v>2</v>
      </c>
      <c r="N1044" s="192">
        <f>MONTH(Tableau13[[#This Row],[Date fin intervention]])</f>
        <v>10</v>
      </c>
      <c r="O1044" s="192">
        <f>YEAR(Tableau13[[#This Row],[Date fin intervention]])</f>
        <v>2020</v>
      </c>
      <c r="P1044" s="40"/>
    </row>
    <row r="1045" spans="1:16">
      <c r="A1045" s="187">
        <v>44130</v>
      </c>
      <c r="B1045" s="188">
        <v>565</v>
      </c>
      <c r="C1045" s="189" t="str">
        <f>IF(ISNA(VLOOKUP(Tableau13[[#This Row],[Code machine]],'CODE mchn'!$A$4:$C$170,2,0)),"",VLOOKUP(Tableau13[[#This Row],[Code machine]],'CODE mchn'!$A$4:$C$170,2,0))</f>
        <v>Acier</v>
      </c>
      <c r="D1045" s="36" t="str">
        <f>IF(ISNA(VLOOKUP(Tableau13[[#This Row],[Code machine]],'CODE mchn'!$A$4:$C$170,3,0)),"",VLOOKUP(Tableau13[[#This Row],[Code machine]],'CODE mchn'!$A$4:$C$170,3,0))</f>
        <v>EVG GE12</v>
      </c>
      <c r="E1045" s="105"/>
      <c r="F1045" s="40"/>
      <c r="G1045" s="40" t="s">
        <v>726</v>
      </c>
      <c r="H1045" s="40" t="s">
        <v>1942</v>
      </c>
      <c r="I1045" s="40" t="s">
        <v>13</v>
      </c>
      <c r="J1045" s="189" t="s">
        <v>1943</v>
      </c>
      <c r="K1045" s="190">
        <v>44130</v>
      </c>
      <c r="L1045" s="40"/>
      <c r="M1045" s="191">
        <v>30</v>
      </c>
      <c r="N1045" s="192">
        <f>MONTH(Tableau13[[#This Row],[Date fin intervention]])</f>
        <v>10</v>
      </c>
      <c r="O1045" s="192">
        <f>YEAR(Tableau13[[#This Row],[Date fin intervention]])</f>
        <v>2020</v>
      </c>
      <c r="P1045" s="40"/>
    </row>
    <row r="1046" spans="1:16">
      <c r="A1046" s="187">
        <v>44133</v>
      </c>
      <c r="B1046" s="188">
        <v>700</v>
      </c>
      <c r="C1046" s="189" t="str">
        <f>IF(ISNA(VLOOKUP(Tableau13[[#This Row],[Code machine]],'CODE mchn'!$A$4:$C$170,2,0)),"",VLOOKUP(Tableau13[[#This Row],[Code machine]],'CODE mchn'!$A$4:$C$170,2,0))</f>
        <v>Béton</v>
      </c>
      <c r="D1046" s="36" t="str">
        <f>IF(ISNA(VLOOKUP(Tableau13[[#This Row],[Code machine]],'CODE mchn'!$A$4:$C$170,3,0)),"",VLOOKUP(Tableau13[[#This Row],[Code machine]],'CODE mchn'!$A$4:$C$170,3,0))</f>
        <v>Poyatos 1</v>
      </c>
      <c r="E1046" s="105"/>
      <c r="F1046" s="40"/>
      <c r="G1046" s="40" t="s">
        <v>118</v>
      </c>
      <c r="H1046" s="40" t="s">
        <v>1912</v>
      </c>
      <c r="I1046" s="40" t="s">
        <v>13</v>
      </c>
      <c r="J1046" s="189" t="s">
        <v>1913</v>
      </c>
      <c r="K1046" s="190">
        <v>44133</v>
      </c>
      <c r="L1046" s="40"/>
      <c r="M1046" s="191">
        <v>1</v>
      </c>
      <c r="N1046" s="192">
        <f>MONTH(Tableau13[[#This Row],[Date fin intervention]])</f>
        <v>10</v>
      </c>
      <c r="O1046" s="192">
        <f>YEAR(Tableau13[[#This Row],[Date fin intervention]])</f>
        <v>2020</v>
      </c>
      <c r="P1046" s="40"/>
    </row>
    <row r="1047" spans="1:16">
      <c r="A1047" s="187">
        <v>44136</v>
      </c>
      <c r="B1047" s="176">
        <v>565</v>
      </c>
      <c r="C1047" s="177" t="str">
        <f>IF(ISNA(VLOOKUP(Tableau13[[#This Row],[Code machine]],'CODE mchn'!$A$4:$C$170,2,0)),"",VLOOKUP(Tableau13[[#This Row],[Code machine]],'CODE mchn'!$A$4:$C$170,2,0))</f>
        <v>Acier</v>
      </c>
      <c r="D1047" s="36" t="str">
        <f>IF(ISNA(VLOOKUP(Tableau13[[#This Row],[Code machine]],'CODE mchn'!$A$4:$C$170,3,0)),"",VLOOKUP(Tableau13[[#This Row],[Code machine]],'CODE mchn'!$A$4:$C$170,3,0))</f>
        <v>EVG GE12</v>
      </c>
      <c r="E1047" s="105"/>
      <c r="F1047" s="39"/>
      <c r="G1047" s="39" t="s">
        <v>463</v>
      </c>
      <c r="H1047" s="39" t="s">
        <v>1742</v>
      </c>
      <c r="I1047" s="39" t="s">
        <v>13</v>
      </c>
      <c r="J1047" s="177" t="s">
        <v>1743</v>
      </c>
      <c r="K1047" s="187">
        <v>44136</v>
      </c>
      <c r="L1047" s="39"/>
      <c r="M1047" s="179">
        <v>2</v>
      </c>
      <c r="N1047" s="192">
        <f>MONTH(Tableau13[[#This Row],[Date fin intervention]])</f>
        <v>11</v>
      </c>
      <c r="O1047" s="192">
        <f>YEAR(Tableau13[[#This Row],[Date fin intervention]])</f>
        <v>2020</v>
      </c>
      <c r="P1047" s="40"/>
    </row>
    <row r="1048" spans="1:16">
      <c r="A1048" s="187">
        <v>44136</v>
      </c>
      <c r="B1048" s="176">
        <v>581</v>
      </c>
      <c r="C1048" s="177" t="str">
        <f>IF(ISNA(VLOOKUP(Tableau13[[#This Row],[Code machine]],'CODE mchn'!$A$4:$C$170,2,0)),"",VLOOKUP(Tableau13[[#This Row],[Code machine]],'CODE mchn'!$A$4:$C$170,2,0))</f>
        <v>Acier</v>
      </c>
      <c r="D1048" s="36" t="str">
        <f>IF(ISNA(VLOOKUP(Tableau13[[#This Row],[Code machine]],'CODE mchn'!$A$4:$C$170,3,0)),"",VLOOKUP(Tableau13[[#This Row],[Code machine]],'CODE mchn'!$A$4:$C$170,3,0))</f>
        <v>Teurema 1</v>
      </c>
      <c r="E1048" s="105"/>
      <c r="F1048" s="39"/>
      <c r="G1048" s="39" t="s">
        <v>921</v>
      </c>
      <c r="H1048" s="39" t="s">
        <v>1744</v>
      </c>
      <c r="I1048" s="39" t="s">
        <v>13</v>
      </c>
      <c r="J1048" s="177" t="s">
        <v>1451</v>
      </c>
      <c r="K1048" s="187">
        <v>44136</v>
      </c>
      <c r="L1048" s="39"/>
      <c r="M1048" s="179">
        <v>2</v>
      </c>
      <c r="N1048" s="192">
        <f>MONTH(Tableau13[[#This Row],[Date fin intervention]])</f>
        <v>11</v>
      </c>
      <c r="O1048" s="192">
        <f>YEAR(Tableau13[[#This Row],[Date fin intervention]])</f>
        <v>2020</v>
      </c>
      <c r="P1048" s="40"/>
    </row>
    <row r="1049" spans="1:16">
      <c r="A1049" s="187">
        <v>44137</v>
      </c>
      <c r="B1049" s="176">
        <v>606</v>
      </c>
      <c r="C1049" s="177" t="str">
        <f>IF(ISNA(VLOOKUP(Tableau13[[#This Row],[Code machine]],'CODE mchn'!$A$4:$C$170,2,0)),"",VLOOKUP(Tableau13[[#This Row],[Code machine]],'CODE mchn'!$A$4:$C$170,2,0))</f>
        <v>Acier</v>
      </c>
      <c r="D1049" s="36" t="str">
        <f>IF(ISNA(VLOOKUP(Tableau13[[#This Row],[Code machine]],'CODE mchn'!$A$4:$C$170,3,0)),"",VLOOKUP(Tableau13[[#This Row],[Code machine]],'CODE mchn'!$A$4:$C$170,3,0))</f>
        <v>Vitari 2</v>
      </c>
      <c r="E1049" s="105"/>
      <c r="F1049" s="39"/>
      <c r="G1049" s="39" t="s">
        <v>10</v>
      </c>
      <c r="H1049" s="39" t="s">
        <v>1745</v>
      </c>
      <c r="I1049" s="39" t="s">
        <v>13</v>
      </c>
      <c r="J1049" s="177" t="s">
        <v>1746</v>
      </c>
      <c r="K1049" s="187">
        <v>44137</v>
      </c>
      <c r="L1049" s="39"/>
      <c r="M1049" s="179">
        <v>1</v>
      </c>
      <c r="N1049" s="192">
        <f>MONTH(Tableau13[[#This Row],[Date fin intervention]])</f>
        <v>11</v>
      </c>
      <c r="O1049" s="192">
        <f>YEAR(Tableau13[[#This Row],[Date fin intervention]])</f>
        <v>2020</v>
      </c>
      <c r="P1049" s="40"/>
    </row>
    <row r="1050" spans="1:16">
      <c r="A1050" s="187">
        <v>44138</v>
      </c>
      <c r="B1050" s="176">
        <v>582</v>
      </c>
      <c r="C1050" s="177" t="str">
        <f>IF(ISNA(VLOOKUP(Tableau13[[#This Row],[Code machine]],'CODE mchn'!$A$4:$C$170,2,0)),"",VLOOKUP(Tableau13[[#This Row],[Code machine]],'CODE mchn'!$A$4:$C$170,2,0))</f>
        <v>Acier</v>
      </c>
      <c r="D1050" s="36" t="str">
        <f>IF(ISNA(VLOOKUP(Tableau13[[#This Row],[Code machine]],'CODE mchn'!$A$4:$C$170,3,0)),"",VLOOKUP(Tableau13[[#This Row],[Code machine]],'CODE mchn'!$A$4:$C$170,3,0))</f>
        <v>Teurema 2</v>
      </c>
      <c r="E1050" s="105"/>
      <c r="F1050" s="39"/>
      <c r="G1050" s="39" t="s">
        <v>161</v>
      </c>
      <c r="H1050" s="39" t="s">
        <v>1710</v>
      </c>
      <c r="I1050" s="39" t="s">
        <v>13</v>
      </c>
      <c r="J1050" s="177" t="s">
        <v>1711</v>
      </c>
      <c r="K1050" s="187">
        <v>44138</v>
      </c>
      <c r="L1050" s="39"/>
      <c r="M1050" s="179">
        <v>1</v>
      </c>
      <c r="N1050" s="192">
        <f>MONTH(Tableau13[[#This Row],[Date fin intervention]])</f>
        <v>11</v>
      </c>
      <c r="O1050" s="192">
        <f>YEAR(Tableau13[[#This Row],[Date fin intervention]])</f>
        <v>2020</v>
      </c>
      <c r="P1050" s="40"/>
    </row>
    <row r="1051" spans="1:16">
      <c r="A1051" s="187">
        <v>44139</v>
      </c>
      <c r="B1051" s="176">
        <v>582</v>
      </c>
      <c r="C1051" s="177" t="str">
        <f>IF(ISNA(VLOOKUP(Tableau13[[#This Row],[Code machine]],'CODE mchn'!$A$4:$C$170,2,0)),"",VLOOKUP(Tableau13[[#This Row],[Code machine]],'CODE mchn'!$A$4:$C$170,2,0))</f>
        <v>Acier</v>
      </c>
      <c r="D1051" s="36" t="str">
        <f>IF(ISNA(VLOOKUP(Tableau13[[#This Row],[Code machine]],'CODE mchn'!$A$4:$C$170,3,0)),"",VLOOKUP(Tableau13[[#This Row],[Code machine]],'CODE mchn'!$A$4:$C$170,3,0))</f>
        <v>Teurema 2</v>
      </c>
      <c r="E1051" s="105"/>
      <c r="F1051" s="39"/>
      <c r="G1051" s="39" t="s">
        <v>78</v>
      </c>
      <c r="H1051" s="39" t="s">
        <v>1744</v>
      </c>
      <c r="I1051" s="39" t="s">
        <v>13</v>
      </c>
      <c r="J1051" s="177" t="s">
        <v>1747</v>
      </c>
      <c r="K1051" s="187">
        <v>44139</v>
      </c>
      <c r="L1051" s="39"/>
      <c r="M1051" s="179">
        <v>2</v>
      </c>
      <c r="N1051" s="192">
        <f>MONTH(Tableau13[[#This Row],[Date fin intervention]])</f>
        <v>11</v>
      </c>
      <c r="O1051" s="192">
        <f>YEAR(Tableau13[[#This Row],[Date fin intervention]])</f>
        <v>2020</v>
      </c>
      <c r="P1051" s="40"/>
    </row>
    <row r="1052" spans="1:16">
      <c r="A1052" s="187">
        <v>44139</v>
      </c>
      <c r="B1052" s="176">
        <v>800</v>
      </c>
      <c r="C1052" s="177" t="str">
        <f>IF(ISNA(VLOOKUP(Tableau13[[#This Row],[Code machine]],'CODE mchn'!$A$4:$C$170,2,0)),"",VLOOKUP(Tableau13[[#This Row],[Code machine]],'CODE mchn'!$A$4:$C$170,2,0))</f>
        <v>Béton</v>
      </c>
      <c r="D1052" s="36" t="str">
        <f>IF(ISNA(VLOOKUP(Tableau13[[#This Row],[Code machine]],'CODE mchn'!$A$4:$C$170,3,0)),"",VLOOKUP(Tableau13[[#This Row],[Code machine]],'CODE mchn'!$A$4:$C$170,3,0))</f>
        <v>Poyatos 2</v>
      </c>
      <c r="E1052" s="105"/>
      <c r="F1052" s="39"/>
      <c r="G1052" s="39" t="s">
        <v>1748</v>
      </c>
      <c r="H1052" s="39" t="s">
        <v>1749</v>
      </c>
      <c r="I1052" s="39" t="s">
        <v>13</v>
      </c>
      <c r="J1052" s="177" t="s">
        <v>1399</v>
      </c>
      <c r="K1052" s="187">
        <v>44139</v>
      </c>
      <c r="L1052" s="39"/>
      <c r="M1052" s="141">
        <v>1</v>
      </c>
      <c r="N1052" s="192">
        <f>MONTH(Tableau13[[#This Row],[Date fin intervention]])</f>
        <v>11</v>
      </c>
      <c r="O1052" s="192">
        <f>YEAR(Tableau13[[#This Row],[Date fin intervention]])</f>
        <v>2020</v>
      </c>
      <c r="P1052" s="40"/>
    </row>
    <row r="1053" spans="1:16">
      <c r="A1053" s="187">
        <v>44140</v>
      </c>
      <c r="B1053" s="176">
        <v>582</v>
      </c>
      <c r="C1053" s="177" t="str">
        <f>IF(ISNA(VLOOKUP(Tableau13[[#This Row],[Code machine]],'CODE mchn'!$A$4:$C$170,2,0)),"",VLOOKUP(Tableau13[[#This Row],[Code machine]],'CODE mchn'!$A$4:$C$170,2,0))</f>
        <v>Acier</v>
      </c>
      <c r="D1053" s="36" t="str">
        <f>IF(ISNA(VLOOKUP(Tableau13[[#This Row],[Code machine]],'CODE mchn'!$A$4:$C$170,3,0)),"",VLOOKUP(Tableau13[[#This Row],[Code machine]],'CODE mchn'!$A$4:$C$170,3,0))</f>
        <v>Teurema 2</v>
      </c>
      <c r="E1053" s="105"/>
      <c r="F1053" s="39"/>
      <c r="G1053" s="39" t="s">
        <v>1693</v>
      </c>
      <c r="H1053" s="39" t="s">
        <v>352</v>
      </c>
      <c r="I1053" s="39" t="s">
        <v>13</v>
      </c>
      <c r="J1053" s="177" t="s">
        <v>1349</v>
      </c>
      <c r="K1053" s="187">
        <v>44140</v>
      </c>
      <c r="L1053" s="39"/>
      <c r="M1053" s="179">
        <v>1</v>
      </c>
      <c r="N1053" s="192">
        <f>MONTH(Tableau13[[#This Row],[Date fin intervention]])</f>
        <v>11</v>
      </c>
      <c r="O1053" s="192">
        <f>YEAR(Tableau13[[#This Row],[Date fin intervention]])</f>
        <v>2020</v>
      </c>
      <c r="P1053" s="40"/>
    </row>
    <row r="1054" spans="1:16">
      <c r="A1054" s="187">
        <v>44141</v>
      </c>
      <c r="B1054" s="176">
        <v>590</v>
      </c>
      <c r="C1054" s="177" t="str">
        <f>IF(ISNA(VLOOKUP(Tableau13[[#This Row],[Code machine]],'CODE mchn'!$A$4:$C$170,2,0)),"",VLOOKUP(Tableau13[[#This Row],[Code machine]],'CODE mchn'!$A$4:$C$170,2,0))</f>
        <v>Acier</v>
      </c>
      <c r="D1054" s="36" t="str">
        <f>IF(ISNA(VLOOKUP(Tableau13[[#This Row],[Code machine]],'CODE mchn'!$A$4:$C$170,3,0)),"",VLOOKUP(Tableau13[[#This Row],[Code machine]],'CODE mchn'!$A$4:$C$170,3,0))</f>
        <v>Teurema 3</v>
      </c>
      <c r="E1054" s="105"/>
      <c r="F1054" s="39"/>
      <c r="G1054" s="39" t="s">
        <v>55</v>
      </c>
      <c r="H1054" s="39" t="s">
        <v>439</v>
      </c>
      <c r="I1054" s="39" t="s">
        <v>13</v>
      </c>
      <c r="J1054" s="177" t="s">
        <v>1694</v>
      </c>
      <c r="K1054" s="187">
        <v>44141</v>
      </c>
      <c r="L1054" s="39"/>
      <c r="M1054" s="179">
        <v>1</v>
      </c>
      <c r="N1054" s="192">
        <f>MONTH(Tableau13[[#This Row],[Date fin intervention]])</f>
        <v>11</v>
      </c>
      <c r="O1054" s="192">
        <f>YEAR(Tableau13[[#This Row],[Date fin intervention]])</f>
        <v>2020</v>
      </c>
      <c r="P1054" s="40"/>
    </row>
    <row r="1055" spans="1:16">
      <c r="A1055" s="187">
        <v>44141</v>
      </c>
      <c r="B1055" s="176">
        <v>581</v>
      </c>
      <c r="C1055" s="177" t="str">
        <f>IF(ISNA(VLOOKUP(Tableau13[[#This Row],[Code machine]],'CODE mchn'!$A$4:$C$170,2,0)),"",VLOOKUP(Tableau13[[#This Row],[Code machine]],'CODE mchn'!$A$4:$C$170,2,0))</f>
        <v>Acier</v>
      </c>
      <c r="D1055" s="36" t="str">
        <f>IF(ISNA(VLOOKUP(Tableau13[[#This Row],[Code machine]],'CODE mchn'!$A$4:$C$170,3,0)),"",VLOOKUP(Tableau13[[#This Row],[Code machine]],'CODE mchn'!$A$4:$C$170,3,0))</f>
        <v>Teurema 1</v>
      </c>
      <c r="E1055" s="105"/>
      <c r="F1055" s="39"/>
      <c r="G1055" s="39" t="s">
        <v>844</v>
      </c>
      <c r="H1055" s="39" t="s">
        <v>1696</v>
      </c>
      <c r="I1055" s="39" t="s">
        <v>13</v>
      </c>
      <c r="J1055" s="177" t="s">
        <v>1695</v>
      </c>
      <c r="K1055" s="187">
        <v>44141</v>
      </c>
      <c r="L1055" s="39"/>
      <c r="M1055" s="179">
        <v>1</v>
      </c>
      <c r="N1055" s="192">
        <f>MONTH(Tableau13[[#This Row],[Date fin intervention]])</f>
        <v>11</v>
      </c>
      <c r="O1055" s="192">
        <f>YEAR(Tableau13[[#This Row],[Date fin intervention]])</f>
        <v>2020</v>
      </c>
      <c r="P1055" s="40"/>
    </row>
    <row r="1056" spans="1:16">
      <c r="A1056" s="187">
        <v>44141</v>
      </c>
      <c r="B1056" s="176">
        <v>605</v>
      </c>
      <c r="C1056" s="177" t="str">
        <f>IF(ISNA(VLOOKUP(Tableau13[[#This Row],[Code machine]],'CODE mchn'!$A$4:$C$170,2,0)),"",VLOOKUP(Tableau13[[#This Row],[Code machine]],'CODE mchn'!$A$4:$C$170,2,0))</f>
        <v>Acier</v>
      </c>
      <c r="D1056" s="36" t="str">
        <f>IF(ISNA(VLOOKUP(Tableau13[[#This Row],[Code machine]],'CODE mchn'!$A$4:$C$170,3,0)),"",VLOOKUP(Tableau13[[#This Row],[Code machine]],'CODE mchn'!$A$4:$C$170,3,0))</f>
        <v>Vitari 1</v>
      </c>
      <c r="E1056" s="105"/>
      <c r="F1056" s="39"/>
      <c r="G1056" s="39" t="s">
        <v>78</v>
      </c>
      <c r="H1056" s="39" t="s">
        <v>1697</v>
      </c>
      <c r="I1056" s="39" t="s">
        <v>13</v>
      </c>
      <c r="J1056" s="177" t="s">
        <v>1698</v>
      </c>
      <c r="K1056" s="187">
        <v>44141</v>
      </c>
      <c r="L1056" s="39"/>
      <c r="M1056" s="179">
        <v>1</v>
      </c>
      <c r="N1056" s="192">
        <f>MONTH(Tableau13[[#This Row],[Date fin intervention]])</f>
        <v>11</v>
      </c>
      <c r="O1056" s="192">
        <f>YEAR(Tableau13[[#This Row],[Date fin intervention]])</f>
        <v>2020</v>
      </c>
      <c r="P1056" s="40"/>
    </row>
    <row r="1057" spans="1:16" ht="28.5">
      <c r="A1057" s="187">
        <v>44142</v>
      </c>
      <c r="B1057" s="176">
        <v>565</v>
      </c>
      <c r="C1057" s="177" t="str">
        <f>IF(ISNA(VLOOKUP(Tableau13[[#This Row],[Code machine]],'CODE mchn'!$A$4:$C$170,2,0)),"",VLOOKUP(Tableau13[[#This Row],[Code machine]],'CODE mchn'!$A$4:$C$170,2,0))</f>
        <v>Acier</v>
      </c>
      <c r="D1057" s="36" t="str">
        <f>IF(ISNA(VLOOKUP(Tableau13[[#This Row],[Code machine]],'CODE mchn'!$A$4:$C$170,3,0)),"",VLOOKUP(Tableau13[[#This Row],[Code machine]],'CODE mchn'!$A$4:$C$170,3,0))</f>
        <v>EVG GE12</v>
      </c>
      <c r="E1057" s="105"/>
      <c r="F1057" s="39"/>
      <c r="G1057" s="39" t="s">
        <v>55</v>
      </c>
      <c r="H1057" s="39" t="s">
        <v>1699</v>
      </c>
      <c r="I1057" s="39" t="s">
        <v>13</v>
      </c>
      <c r="J1057" s="177" t="s">
        <v>725</v>
      </c>
      <c r="K1057" s="187">
        <v>44142</v>
      </c>
      <c r="L1057" s="36" t="s">
        <v>1995</v>
      </c>
      <c r="M1057" s="141">
        <v>45</v>
      </c>
      <c r="N1057" s="192">
        <f>MONTH(Tableau13[[#This Row],[Date fin intervention]])</f>
        <v>11</v>
      </c>
      <c r="O1057" s="192">
        <f>YEAR(Tableau13[[#This Row],[Date fin intervention]])</f>
        <v>2020</v>
      </c>
      <c r="P1057" s="40"/>
    </row>
    <row r="1058" spans="1:16">
      <c r="A1058" s="187">
        <v>44142</v>
      </c>
      <c r="B1058" s="176">
        <v>700</v>
      </c>
      <c r="C1058" s="177" t="str">
        <f>IF(ISNA(VLOOKUP(Tableau13[[#This Row],[Code machine]],'CODE mchn'!$A$4:$C$170,2,0)),"",VLOOKUP(Tableau13[[#This Row],[Code machine]],'CODE mchn'!$A$4:$C$170,2,0))</f>
        <v>Béton</v>
      </c>
      <c r="D1058" s="36" t="str">
        <f>IF(ISNA(VLOOKUP(Tableau13[[#This Row],[Code machine]],'CODE mchn'!$A$4:$C$170,3,0)),"",VLOOKUP(Tableau13[[#This Row],[Code machine]],'CODE mchn'!$A$4:$C$170,3,0))</f>
        <v>Poyatos 1</v>
      </c>
      <c r="E1058" s="105"/>
      <c r="F1058" s="39"/>
      <c r="G1058" s="39" t="s">
        <v>1700</v>
      </c>
      <c r="H1058" s="39" t="s">
        <v>1701</v>
      </c>
      <c r="I1058" s="39" t="s">
        <v>13</v>
      </c>
      <c r="J1058" s="177" t="s">
        <v>1702</v>
      </c>
      <c r="K1058" s="187">
        <v>44142</v>
      </c>
      <c r="L1058" s="39"/>
      <c r="M1058" s="141">
        <v>30</v>
      </c>
      <c r="N1058" s="192">
        <f>MONTH(Tableau13[[#This Row],[Date fin intervention]])</f>
        <v>11</v>
      </c>
      <c r="O1058" s="192">
        <f>YEAR(Tableau13[[#This Row],[Date fin intervention]])</f>
        <v>2020</v>
      </c>
      <c r="P1058" s="40"/>
    </row>
    <row r="1059" spans="1:16">
      <c r="A1059" s="187">
        <v>44142</v>
      </c>
      <c r="B1059" s="176">
        <v>800</v>
      </c>
      <c r="C1059" s="177" t="str">
        <f>IF(ISNA(VLOOKUP(Tableau13[[#This Row],[Code machine]],'CODE mchn'!$A$4:$C$170,2,0)),"",VLOOKUP(Tableau13[[#This Row],[Code machine]],'CODE mchn'!$A$4:$C$170,2,0))</f>
        <v>Béton</v>
      </c>
      <c r="D1059" s="36" t="str">
        <f>IF(ISNA(VLOOKUP(Tableau13[[#This Row],[Code machine]],'CODE mchn'!$A$4:$C$170,3,0)),"",VLOOKUP(Tableau13[[#This Row],[Code machine]],'CODE mchn'!$A$4:$C$170,3,0))</f>
        <v>Poyatos 2</v>
      </c>
      <c r="E1059" s="105"/>
      <c r="F1059" s="39"/>
      <c r="G1059" s="39" t="s">
        <v>291</v>
      </c>
      <c r="H1059" s="39" t="s">
        <v>1703</v>
      </c>
      <c r="I1059" s="39" t="s">
        <v>13</v>
      </c>
      <c r="J1059" s="177" t="s">
        <v>725</v>
      </c>
      <c r="K1059" s="187">
        <v>44142</v>
      </c>
      <c r="L1059" s="39"/>
      <c r="M1059" s="141">
        <v>20</v>
      </c>
      <c r="N1059" s="192">
        <f>MONTH(Tableau13[[#This Row],[Date fin intervention]])</f>
        <v>11</v>
      </c>
      <c r="O1059" s="192">
        <f>YEAR(Tableau13[[#This Row],[Date fin intervention]])</f>
        <v>2020</v>
      </c>
      <c r="P1059" s="40"/>
    </row>
    <row r="1060" spans="1:16">
      <c r="A1060" s="187">
        <v>44142</v>
      </c>
      <c r="B1060" s="176">
        <v>800</v>
      </c>
      <c r="C1060" s="177" t="str">
        <f>IF(ISNA(VLOOKUP(Tableau13[[#This Row],[Code machine]],'CODE mchn'!$A$4:$C$170,2,0)),"",VLOOKUP(Tableau13[[#This Row],[Code machine]],'CODE mchn'!$A$4:$C$170,2,0))</f>
        <v>Béton</v>
      </c>
      <c r="D1060" s="36" t="str">
        <f>IF(ISNA(VLOOKUP(Tableau13[[#This Row],[Code machine]],'CODE mchn'!$A$4:$C$170,3,0)),"",VLOOKUP(Tableau13[[#This Row],[Code machine]],'CODE mchn'!$A$4:$C$170,3,0))</f>
        <v>Poyatos 2</v>
      </c>
      <c r="E1060" s="105"/>
      <c r="F1060" s="39"/>
      <c r="G1060" s="39" t="s">
        <v>675</v>
      </c>
      <c r="H1060" s="39" t="s">
        <v>1704</v>
      </c>
      <c r="I1060" s="39" t="s">
        <v>13</v>
      </c>
      <c r="J1060" s="177" t="s">
        <v>333</v>
      </c>
      <c r="K1060" s="187">
        <v>44142</v>
      </c>
      <c r="L1060" s="39"/>
      <c r="M1060" s="179">
        <v>1</v>
      </c>
      <c r="N1060" s="192">
        <f>MONTH(Tableau13[[#This Row],[Date fin intervention]])</f>
        <v>11</v>
      </c>
      <c r="O1060" s="192">
        <f>YEAR(Tableau13[[#This Row],[Date fin intervention]])</f>
        <v>2020</v>
      </c>
      <c r="P1060" s="40"/>
    </row>
    <row r="1061" spans="1:16">
      <c r="A1061" s="187">
        <v>44143</v>
      </c>
      <c r="B1061" s="176">
        <v>590</v>
      </c>
      <c r="C1061" s="177" t="str">
        <f>IF(ISNA(VLOOKUP(Tableau13[[#This Row],[Code machine]],'CODE mchn'!$A$4:$C$170,2,0)),"",VLOOKUP(Tableau13[[#This Row],[Code machine]],'CODE mchn'!$A$4:$C$170,2,0))</f>
        <v>Acier</v>
      </c>
      <c r="D1061" s="36" t="str">
        <f>IF(ISNA(VLOOKUP(Tableau13[[#This Row],[Code machine]],'CODE mchn'!$A$4:$C$170,3,0)),"",VLOOKUP(Tableau13[[#This Row],[Code machine]],'CODE mchn'!$A$4:$C$170,3,0))</f>
        <v>Teurema 3</v>
      </c>
      <c r="E1061" s="105"/>
      <c r="F1061" s="39"/>
      <c r="G1061" s="39" t="s">
        <v>612</v>
      </c>
      <c r="H1061" s="39" t="s">
        <v>686</v>
      </c>
      <c r="I1061" s="39" t="s">
        <v>13</v>
      </c>
      <c r="J1061" s="177" t="s">
        <v>1705</v>
      </c>
      <c r="K1061" s="187">
        <v>44143</v>
      </c>
      <c r="L1061" s="39"/>
      <c r="M1061" s="179">
        <v>5</v>
      </c>
      <c r="N1061" s="192">
        <f>MONTH(Tableau13[[#This Row],[Date fin intervention]])</f>
        <v>11</v>
      </c>
      <c r="O1061" s="192">
        <f>YEAR(Tableau13[[#This Row],[Date fin intervention]])</f>
        <v>2020</v>
      </c>
      <c r="P1061" s="40"/>
    </row>
    <row r="1062" spans="1:16">
      <c r="A1062" s="187">
        <v>44143</v>
      </c>
      <c r="B1062" s="176">
        <v>700</v>
      </c>
      <c r="C1062" s="177" t="str">
        <f>IF(ISNA(VLOOKUP(Tableau13[[#This Row],[Code machine]],'CODE mchn'!$A$4:$C$170,2,0)),"",VLOOKUP(Tableau13[[#This Row],[Code machine]],'CODE mchn'!$A$4:$C$170,2,0))</f>
        <v>Béton</v>
      </c>
      <c r="D1062" s="36" t="str">
        <f>IF(ISNA(VLOOKUP(Tableau13[[#This Row],[Code machine]],'CODE mchn'!$A$4:$C$170,3,0)),"",VLOOKUP(Tableau13[[#This Row],[Code machine]],'CODE mchn'!$A$4:$C$170,3,0))</f>
        <v>Poyatos 1</v>
      </c>
      <c r="E1062" s="105"/>
      <c r="F1062" s="39"/>
      <c r="G1062" s="39" t="s">
        <v>1706</v>
      </c>
      <c r="H1062" s="39" t="s">
        <v>1405</v>
      </c>
      <c r="I1062" s="39" t="s">
        <v>13</v>
      </c>
      <c r="J1062" s="177" t="s">
        <v>725</v>
      </c>
      <c r="K1062" s="187">
        <v>44143</v>
      </c>
      <c r="L1062" s="39"/>
      <c r="M1062" s="141">
        <v>15</v>
      </c>
      <c r="N1062" s="192">
        <f>MONTH(Tableau13[[#This Row],[Date fin intervention]])</f>
        <v>11</v>
      </c>
      <c r="O1062" s="192">
        <f>YEAR(Tableau13[[#This Row],[Date fin intervention]])</f>
        <v>2020</v>
      </c>
      <c r="P1062" s="40"/>
    </row>
    <row r="1063" spans="1:16">
      <c r="A1063" s="187">
        <v>44144</v>
      </c>
      <c r="B1063" s="176">
        <v>800</v>
      </c>
      <c r="C1063" s="177" t="str">
        <f>IF(ISNA(VLOOKUP(Tableau13[[#This Row],[Code machine]],'CODE mchn'!$A$4:$C$170,2,0)),"",VLOOKUP(Tableau13[[#This Row],[Code machine]],'CODE mchn'!$A$4:$C$170,2,0))</f>
        <v>Béton</v>
      </c>
      <c r="D1063" s="36" t="str">
        <f>IF(ISNA(VLOOKUP(Tableau13[[#This Row],[Code machine]],'CODE mchn'!$A$4:$C$170,3,0)),"",VLOOKUP(Tableau13[[#This Row],[Code machine]],'CODE mchn'!$A$4:$C$170,3,0))</f>
        <v>Poyatos 2</v>
      </c>
      <c r="E1063" s="105"/>
      <c r="F1063" s="39"/>
      <c r="G1063" s="39" t="s">
        <v>1707</v>
      </c>
      <c r="H1063" s="39" t="s">
        <v>1708</v>
      </c>
      <c r="I1063" s="39" t="s">
        <v>13</v>
      </c>
      <c r="J1063" s="177" t="s">
        <v>1709</v>
      </c>
      <c r="K1063" s="187">
        <v>44144</v>
      </c>
      <c r="L1063" s="39"/>
      <c r="M1063" s="179">
        <v>4</v>
      </c>
      <c r="N1063" s="192">
        <f>MONTH(Tableau13[[#This Row],[Date fin intervention]])</f>
        <v>11</v>
      </c>
      <c r="O1063" s="192">
        <f>YEAR(Tableau13[[#This Row],[Date fin intervention]])</f>
        <v>2020</v>
      </c>
      <c r="P1063" s="40"/>
    </row>
    <row r="1064" spans="1:16">
      <c r="A1064" s="187">
        <v>44145</v>
      </c>
      <c r="B1064" s="176">
        <v>800</v>
      </c>
      <c r="C1064" s="177" t="str">
        <f>IF(ISNA(VLOOKUP(Tableau13[[#This Row],[Code machine]],'CODE mchn'!$A$4:$C$170,2,0)),"",VLOOKUP(Tableau13[[#This Row],[Code machine]],'CODE mchn'!$A$4:$C$170,2,0))</f>
        <v>Béton</v>
      </c>
      <c r="D1064" s="36" t="str">
        <f>IF(ISNA(VLOOKUP(Tableau13[[#This Row],[Code machine]],'CODE mchn'!$A$4:$C$170,3,0)),"",VLOOKUP(Tableau13[[#This Row],[Code machine]],'CODE mchn'!$A$4:$C$170,3,0))</f>
        <v>Poyatos 2</v>
      </c>
      <c r="E1064" s="105"/>
      <c r="F1064" s="39"/>
      <c r="G1064" s="39" t="s">
        <v>213</v>
      </c>
      <c r="H1064" s="39" t="s">
        <v>968</v>
      </c>
      <c r="I1064" s="39" t="s">
        <v>13</v>
      </c>
      <c r="J1064" s="177" t="s">
        <v>1712</v>
      </c>
      <c r="K1064" s="187">
        <v>44145</v>
      </c>
      <c r="L1064" s="39"/>
      <c r="M1064" s="179">
        <v>1</v>
      </c>
      <c r="N1064" s="192">
        <f>MONTH(Tableau13[[#This Row],[Date fin intervention]])</f>
        <v>11</v>
      </c>
      <c r="O1064" s="192">
        <f>YEAR(Tableau13[[#This Row],[Date fin intervention]])</f>
        <v>2020</v>
      </c>
      <c r="P1064" s="40"/>
    </row>
    <row r="1065" spans="1:16">
      <c r="A1065" s="187">
        <v>44145</v>
      </c>
      <c r="B1065" s="176">
        <v>800</v>
      </c>
      <c r="C1065" s="177" t="str">
        <f>IF(ISNA(VLOOKUP(Tableau13[[#This Row],[Code machine]],'CODE mchn'!$A$4:$C$170,2,0)),"",VLOOKUP(Tableau13[[#This Row],[Code machine]],'CODE mchn'!$A$4:$C$170,2,0))</f>
        <v>Béton</v>
      </c>
      <c r="D1065" s="36" t="str">
        <f>IF(ISNA(VLOOKUP(Tableau13[[#This Row],[Code machine]],'CODE mchn'!$A$4:$C$170,3,0)),"",VLOOKUP(Tableau13[[#This Row],[Code machine]],'CODE mchn'!$A$4:$C$170,3,0))</f>
        <v>Poyatos 2</v>
      </c>
      <c r="E1065" s="105"/>
      <c r="F1065" s="39"/>
      <c r="G1065" s="39" t="s">
        <v>291</v>
      </c>
      <c r="H1065" s="39" t="s">
        <v>1713</v>
      </c>
      <c r="I1065" s="39" t="s">
        <v>13</v>
      </c>
      <c r="J1065" s="177" t="s">
        <v>1714</v>
      </c>
      <c r="K1065" s="187">
        <v>44145</v>
      </c>
      <c r="L1065" s="39"/>
      <c r="M1065" s="179">
        <v>1</v>
      </c>
      <c r="N1065" s="192">
        <f>MONTH(Tableau13[[#This Row],[Date fin intervention]])</f>
        <v>11</v>
      </c>
      <c r="O1065" s="192">
        <f>YEAR(Tableau13[[#This Row],[Date fin intervention]])</f>
        <v>2020</v>
      </c>
      <c r="P1065" s="40"/>
    </row>
    <row r="1066" spans="1:16">
      <c r="A1066" s="187">
        <v>44145</v>
      </c>
      <c r="B1066" s="176">
        <v>590</v>
      </c>
      <c r="C1066" s="177" t="str">
        <f>IF(ISNA(VLOOKUP(Tableau13[[#This Row],[Code machine]],'CODE mchn'!$A$4:$C$170,2,0)),"",VLOOKUP(Tableau13[[#This Row],[Code machine]],'CODE mchn'!$A$4:$C$170,2,0))</f>
        <v>Acier</v>
      </c>
      <c r="D1066" s="36" t="str">
        <f>IF(ISNA(VLOOKUP(Tableau13[[#This Row],[Code machine]],'CODE mchn'!$A$4:$C$170,3,0)),"",VLOOKUP(Tableau13[[#This Row],[Code machine]],'CODE mchn'!$A$4:$C$170,3,0))</f>
        <v>Teurema 3</v>
      </c>
      <c r="E1066" s="105"/>
      <c r="F1066" s="39"/>
      <c r="G1066" s="39" t="s">
        <v>1660</v>
      </c>
      <c r="H1066" s="39" t="s">
        <v>352</v>
      </c>
      <c r="I1066" s="39" t="s">
        <v>13</v>
      </c>
      <c r="J1066" s="177" t="s">
        <v>1736</v>
      </c>
      <c r="K1066" s="187">
        <v>44145</v>
      </c>
      <c r="L1066" s="39"/>
      <c r="M1066" s="179">
        <v>4</v>
      </c>
      <c r="N1066" s="192">
        <f>MONTH(Tableau13[[#This Row],[Date fin intervention]])</f>
        <v>11</v>
      </c>
      <c r="O1066" s="192">
        <f>YEAR(Tableau13[[#This Row],[Date fin intervention]])</f>
        <v>2020</v>
      </c>
      <c r="P1066" s="40"/>
    </row>
    <row r="1067" spans="1:16">
      <c r="A1067" s="187">
        <v>44146</v>
      </c>
      <c r="B1067" s="176">
        <v>700</v>
      </c>
      <c r="C1067" s="177" t="str">
        <f>IF(ISNA(VLOOKUP(Tableau13[[#This Row],[Code machine]],'CODE mchn'!$A$4:$C$170,2,0)),"",VLOOKUP(Tableau13[[#This Row],[Code machine]],'CODE mchn'!$A$4:$C$170,2,0))</f>
        <v>Béton</v>
      </c>
      <c r="D1067" s="36" t="str">
        <f>IF(ISNA(VLOOKUP(Tableau13[[#This Row],[Code machine]],'CODE mchn'!$A$4:$C$170,3,0)),"",VLOOKUP(Tableau13[[#This Row],[Code machine]],'CODE mchn'!$A$4:$C$170,3,0))</f>
        <v>Poyatos 1</v>
      </c>
      <c r="E1067" s="105"/>
      <c r="F1067" s="39"/>
      <c r="G1067" s="39" t="s">
        <v>291</v>
      </c>
      <c r="H1067" s="39" t="s">
        <v>1715</v>
      </c>
      <c r="I1067" s="39" t="s">
        <v>125</v>
      </c>
      <c r="J1067" s="177" t="s">
        <v>1716</v>
      </c>
      <c r="K1067" s="187">
        <v>44146</v>
      </c>
      <c r="L1067" s="39"/>
      <c r="M1067" s="179">
        <v>1</v>
      </c>
      <c r="N1067" s="192">
        <f>MONTH(Tableau13[[#This Row],[Date fin intervention]])</f>
        <v>11</v>
      </c>
      <c r="O1067" s="192">
        <f>YEAR(Tableau13[[#This Row],[Date fin intervention]])</f>
        <v>2020</v>
      </c>
      <c r="P1067" s="40"/>
    </row>
    <row r="1068" spans="1:16">
      <c r="A1068" s="187">
        <v>44146</v>
      </c>
      <c r="B1068" s="176">
        <v>581</v>
      </c>
      <c r="C1068" s="177" t="str">
        <f>IF(ISNA(VLOOKUP(Tableau13[[#This Row],[Code machine]],'CODE mchn'!$A$4:$C$170,2,0)),"",VLOOKUP(Tableau13[[#This Row],[Code machine]],'CODE mchn'!$A$4:$C$170,2,0))</f>
        <v>Acier</v>
      </c>
      <c r="D1068" s="36" t="str">
        <f>IF(ISNA(VLOOKUP(Tableau13[[#This Row],[Code machine]],'CODE mchn'!$A$4:$C$170,3,0)),"",VLOOKUP(Tableau13[[#This Row],[Code machine]],'CODE mchn'!$A$4:$C$170,3,0))</f>
        <v>Teurema 1</v>
      </c>
      <c r="E1068" s="105"/>
      <c r="F1068" s="39"/>
      <c r="G1068" s="39" t="s">
        <v>78</v>
      </c>
      <c r="H1068" s="39" t="s">
        <v>1734</v>
      </c>
      <c r="I1068" s="39" t="s">
        <v>13</v>
      </c>
      <c r="J1068" s="177" t="s">
        <v>1735</v>
      </c>
      <c r="K1068" s="187">
        <v>44146</v>
      </c>
      <c r="L1068" s="39"/>
      <c r="M1068" s="179">
        <v>1</v>
      </c>
      <c r="N1068" s="192">
        <f>MONTH(Tableau13[[#This Row],[Date fin intervention]])</f>
        <v>11</v>
      </c>
      <c r="O1068" s="192">
        <f>YEAR(Tableau13[[#This Row],[Date fin intervention]])</f>
        <v>2020</v>
      </c>
      <c r="P1068" s="40"/>
    </row>
    <row r="1069" spans="1:16">
      <c r="A1069" s="187">
        <v>44148</v>
      </c>
      <c r="B1069" s="176">
        <v>582</v>
      </c>
      <c r="C1069" s="177" t="str">
        <f>IF(ISNA(VLOOKUP(Tableau13[[#This Row],[Code machine]],'CODE mchn'!$A$4:$C$170,2,0)),"",VLOOKUP(Tableau13[[#This Row],[Code machine]],'CODE mchn'!$A$4:$C$170,2,0))</f>
        <v>Acier</v>
      </c>
      <c r="D1069" s="36" t="str">
        <f>IF(ISNA(VLOOKUP(Tableau13[[#This Row],[Code machine]],'CODE mchn'!$A$4:$C$170,3,0)),"",VLOOKUP(Tableau13[[#This Row],[Code machine]],'CODE mchn'!$A$4:$C$170,3,0))</f>
        <v>Teurema 2</v>
      </c>
      <c r="E1069" s="105"/>
      <c r="F1069" s="39"/>
      <c r="G1069" s="39" t="s">
        <v>1737</v>
      </c>
      <c r="H1069" s="39" t="s">
        <v>1650</v>
      </c>
      <c r="I1069" s="39" t="s">
        <v>13</v>
      </c>
      <c r="J1069" s="177" t="s">
        <v>1738</v>
      </c>
      <c r="K1069" s="187">
        <v>44148</v>
      </c>
      <c r="L1069" s="39"/>
      <c r="M1069" s="179">
        <v>15</v>
      </c>
      <c r="N1069" s="192">
        <f>MONTH(Tableau13[[#This Row],[Date fin intervention]])</f>
        <v>11</v>
      </c>
      <c r="O1069" s="192">
        <f>YEAR(Tableau13[[#This Row],[Date fin intervention]])</f>
        <v>2020</v>
      </c>
      <c r="P1069" s="40"/>
    </row>
    <row r="1070" spans="1:16">
      <c r="A1070" s="187">
        <v>44149</v>
      </c>
      <c r="B1070" s="176">
        <v>800</v>
      </c>
      <c r="C1070" s="177" t="str">
        <f>IF(ISNA(VLOOKUP(Tableau13[[#This Row],[Code machine]],'CODE mchn'!$A$4:$C$170,2,0)),"",VLOOKUP(Tableau13[[#This Row],[Code machine]],'CODE mchn'!$A$4:$C$170,2,0))</f>
        <v>Béton</v>
      </c>
      <c r="D1070" s="36" t="str">
        <f>IF(ISNA(VLOOKUP(Tableau13[[#This Row],[Code machine]],'CODE mchn'!$A$4:$C$170,3,0)),"",VLOOKUP(Tableau13[[#This Row],[Code machine]],'CODE mchn'!$A$4:$C$170,3,0))</f>
        <v>Poyatos 2</v>
      </c>
      <c r="E1070" s="105"/>
      <c r="F1070" s="39"/>
      <c r="G1070" s="39" t="s">
        <v>1105</v>
      </c>
      <c r="H1070" s="39" t="s">
        <v>1136</v>
      </c>
      <c r="I1070" s="39" t="s">
        <v>13</v>
      </c>
      <c r="J1070" s="177" t="s">
        <v>1726</v>
      </c>
      <c r="K1070" s="187">
        <v>44149</v>
      </c>
      <c r="L1070" s="39"/>
      <c r="M1070" s="179">
        <v>1</v>
      </c>
      <c r="N1070" s="192">
        <f>MONTH(Tableau13[[#This Row],[Date fin intervention]])</f>
        <v>11</v>
      </c>
      <c r="O1070" s="192">
        <f>YEAR(Tableau13[[#This Row],[Date fin intervention]])</f>
        <v>2020</v>
      </c>
      <c r="P1070" s="40"/>
    </row>
    <row r="1071" spans="1:16" ht="28.5">
      <c r="A1071" s="187">
        <v>44150</v>
      </c>
      <c r="B1071" s="176">
        <v>800</v>
      </c>
      <c r="C1071" s="177" t="str">
        <f>IF(ISNA(VLOOKUP(Tableau13[[#This Row],[Code machine]],'CODE mchn'!$A$4:$C$170,2,0)),"",VLOOKUP(Tableau13[[#This Row],[Code machine]],'CODE mchn'!$A$4:$C$170,2,0))</f>
        <v>Béton</v>
      </c>
      <c r="D1071" s="36" t="str">
        <f>IF(ISNA(VLOOKUP(Tableau13[[#This Row],[Code machine]],'CODE mchn'!$A$4:$C$170,3,0)),"",VLOOKUP(Tableau13[[#This Row],[Code machine]],'CODE mchn'!$A$4:$C$170,3,0))</f>
        <v>Poyatos 2</v>
      </c>
      <c r="E1071" s="105"/>
      <c r="F1071" s="39"/>
      <c r="G1071" s="39" t="s">
        <v>185</v>
      </c>
      <c r="H1071" s="39" t="s">
        <v>875</v>
      </c>
      <c r="I1071" s="39" t="s">
        <v>13</v>
      </c>
      <c r="J1071" s="177" t="s">
        <v>1740</v>
      </c>
      <c r="K1071" s="187">
        <v>44150</v>
      </c>
      <c r="L1071" s="39" t="s">
        <v>1741</v>
      </c>
      <c r="M1071" s="179">
        <v>2</v>
      </c>
      <c r="N1071" s="192">
        <f>MONTH(Tableau13[[#This Row],[Date fin intervention]])</f>
        <v>11</v>
      </c>
      <c r="O1071" s="192">
        <f>YEAR(Tableau13[[#This Row],[Date fin intervention]])</f>
        <v>2020</v>
      </c>
      <c r="P1071" s="40"/>
    </row>
    <row r="1072" spans="1:16">
      <c r="A1072" s="187">
        <v>44151</v>
      </c>
      <c r="B1072" s="176">
        <v>565</v>
      </c>
      <c r="C1072" s="177" t="str">
        <f>IF(ISNA(VLOOKUP(Tableau13[[#This Row],[Code machine]],'CODE mchn'!$A$4:$C$170,2,0)),"",VLOOKUP(Tableau13[[#This Row],[Code machine]],'CODE mchn'!$A$4:$C$170,2,0))</f>
        <v>Acier</v>
      </c>
      <c r="D1072" s="36" t="str">
        <f>IF(ISNA(VLOOKUP(Tableau13[[#This Row],[Code machine]],'CODE mchn'!$A$4:$C$170,3,0)),"",VLOOKUP(Tableau13[[#This Row],[Code machine]],'CODE mchn'!$A$4:$C$170,3,0))</f>
        <v>EVG GE12</v>
      </c>
      <c r="E1072" s="105"/>
      <c r="F1072" s="39"/>
      <c r="G1072" s="39" t="s">
        <v>1720</v>
      </c>
      <c r="H1072" s="39" t="s">
        <v>1721</v>
      </c>
      <c r="I1072" s="39" t="s">
        <v>13</v>
      </c>
      <c r="J1072" s="177" t="s">
        <v>585</v>
      </c>
      <c r="K1072" s="187">
        <v>44151</v>
      </c>
      <c r="L1072" s="39"/>
      <c r="M1072" s="179">
        <v>1</v>
      </c>
      <c r="N1072" s="192">
        <f>MONTH(Tableau13[[#This Row],[Date fin intervention]])</f>
        <v>11</v>
      </c>
      <c r="O1072" s="192">
        <f>YEAR(Tableau13[[#This Row],[Date fin intervention]])</f>
        <v>2020</v>
      </c>
      <c r="P1072" s="40"/>
    </row>
    <row r="1073" spans="1:16">
      <c r="A1073" s="187">
        <v>44151</v>
      </c>
      <c r="B1073" s="176">
        <v>565</v>
      </c>
      <c r="C1073" s="177" t="str">
        <f>IF(ISNA(VLOOKUP(Tableau13[[#This Row],[Code machine]],'CODE mchn'!$A$4:$C$170,2,0)),"",VLOOKUP(Tableau13[[#This Row],[Code machine]],'CODE mchn'!$A$4:$C$170,2,0))</f>
        <v>Acier</v>
      </c>
      <c r="D1073" s="36" t="str">
        <f>IF(ISNA(VLOOKUP(Tableau13[[#This Row],[Code machine]],'CODE mchn'!$A$4:$C$170,3,0)),"",VLOOKUP(Tableau13[[#This Row],[Code machine]],'CODE mchn'!$A$4:$C$170,3,0))</f>
        <v>EVG GE12</v>
      </c>
      <c r="E1073" s="105"/>
      <c r="F1073" s="39"/>
      <c r="G1073" s="39" t="s">
        <v>1722</v>
      </c>
      <c r="H1073" s="39" t="s">
        <v>1723</v>
      </c>
      <c r="I1073" s="39" t="s">
        <v>13</v>
      </c>
      <c r="J1073" s="177" t="s">
        <v>1724</v>
      </c>
      <c r="K1073" s="187">
        <v>44151</v>
      </c>
      <c r="L1073" s="39"/>
      <c r="M1073" s="179">
        <v>1</v>
      </c>
      <c r="N1073" s="192">
        <f>MONTH(Tableau13[[#This Row],[Date fin intervention]])</f>
        <v>11</v>
      </c>
      <c r="O1073" s="192">
        <f>YEAR(Tableau13[[#This Row],[Date fin intervention]])</f>
        <v>2020</v>
      </c>
      <c r="P1073" s="40"/>
    </row>
    <row r="1074" spans="1:16">
      <c r="A1074" s="187">
        <v>44152</v>
      </c>
      <c r="B1074" s="176">
        <v>800</v>
      </c>
      <c r="C1074" s="177" t="str">
        <f>IF(ISNA(VLOOKUP(Tableau13[[#This Row],[Code machine]],'CODE mchn'!$A$4:$C$170,2,0)),"",VLOOKUP(Tableau13[[#This Row],[Code machine]],'CODE mchn'!$A$4:$C$170,2,0))</f>
        <v>Béton</v>
      </c>
      <c r="D1074" s="36" t="str">
        <f>IF(ISNA(VLOOKUP(Tableau13[[#This Row],[Code machine]],'CODE mchn'!$A$4:$C$170,3,0)),"",VLOOKUP(Tableau13[[#This Row],[Code machine]],'CODE mchn'!$A$4:$C$170,3,0))</f>
        <v>Poyatos 2</v>
      </c>
      <c r="E1074" s="105"/>
      <c r="F1074" s="39"/>
      <c r="G1074" s="39" t="s">
        <v>185</v>
      </c>
      <c r="H1074" s="39" t="s">
        <v>875</v>
      </c>
      <c r="I1074" s="39" t="s">
        <v>13</v>
      </c>
      <c r="J1074" s="177" t="s">
        <v>1739</v>
      </c>
      <c r="K1074" s="187">
        <v>44152</v>
      </c>
      <c r="L1074" s="39"/>
      <c r="M1074" s="141">
        <v>1</v>
      </c>
      <c r="N1074" s="192">
        <f>MONTH(Tableau13[[#This Row],[Date fin intervention]])</f>
        <v>11</v>
      </c>
      <c r="O1074" s="192">
        <f>YEAR(Tableau13[[#This Row],[Date fin intervention]])</f>
        <v>2020</v>
      </c>
      <c r="P1074" s="40"/>
    </row>
    <row r="1075" spans="1:16">
      <c r="A1075" s="187">
        <v>44155</v>
      </c>
      <c r="B1075" s="176">
        <v>700</v>
      </c>
      <c r="C1075" s="177" t="str">
        <f>IF(ISNA(VLOOKUP(Tableau13[[#This Row],[Code machine]],'CODE mchn'!$A$4:$C$170,2,0)),"",VLOOKUP(Tableau13[[#This Row],[Code machine]],'CODE mchn'!$A$4:$C$170,2,0))</f>
        <v>Béton</v>
      </c>
      <c r="D1075" s="36" t="str">
        <f>IF(ISNA(VLOOKUP(Tableau13[[#This Row],[Code machine]],'CODE mchn'!$A$4:$C$170,3,0)),"",VLOOKUP(Tableau13[[#This Row],[Code machine]],'CODE mchn'!$A$4:$C$170,3,0))</f>
        <v>Poyatos 1</v>
      </c>
      <c r="E1075" s="105"/>
      <c r="F1075" s="39"/>
      <c r="G1075" s="39" t="s">
        <v>394</v>
      </c>
      <c r="H1075" s="39" t="s">
        <v>1725</v>
      </c>
      <c r="I1075" s="39" t="s">
        <v>13</v>
      </c>
      <c r="J1075" s="177" t="s">
        <v>571</v>
      </c>
      <c r="K1075" s="187">
        <v>44155</v>
      </c>
      <c r="L1075" s="39"/>
      <c r="M1075" s="179">
        <v>1</v>
      </c>
      <c r="N1075" s="192">
        <f>MONTH(Tableau13[[#This Row],[Date fin intervention]])</f>
        <v>11</v>
      </c>
      <c r="O1075" s="192">
        <f>YEAR(Tableau13[[#This Row],[Date fin intervention]])</f>
        <v>2020</v>
      </c>
      <c r="P1075" s="40"/>
    </row>
    <row r="1076" spans="1:16">
      <c r="A1076" s="187">
        <v>44155</v>
      </c>
      <c r="B1076" s="176">
        <v>565</v>
      </c>
      <c r="C1076" s="177" t="str">
        <f>IF(ISNA(VLOOKUP(Tableau13[[#This Row],[Code machine]],'CODE mchn'!$A$4:$C$170,2,0)),"",VLOOKUP(Tableau13[[#This Row],[Code machine]],'CODE mchn'!$A$4:$C$170,2,0))</f>
        <v>Acier</v>
      </c>
      <c r="D1076" s="36" t="str">
        <f>IF(ISNA(VLOOKUP(Tableau13[[#This Row],[Code machine]],'CODE mchn'!$A$4:$C$170,3,0)),"",VLOOKUP(Tableau13[[#This Row],[Code machine]],'CODE mchn'!$A$4:$C$170,3,0))</f>
        <v>EVG GE12</v>
      </c>
      <c r="E1076" s="105"/>
      <c r="F1076" s="39"/>
      <c r="G1076" s="39" t="s">
        <v>75</v>
      </c>
      <c r="H1076" s="39" t="s">
        <v>1727</v>
      </c>
      <c r="I1076" s="39" t="s">
        <v>13</v>
      </c>
      <c r="J1076" s="177" t="s">
        <v>1728</v>
      </c>
      <c r="K1076" s="187">
        <v>44155</v>
      </c>
      <c r="L1076" s="39"/>
      <c r="M1076" s="179">
        <v>2</v>
      </c>
      <c r="N1076" s="192">
        <f>MONTH(Tableau13[[#This Row],[Date fin intervention]])</f>
        <v>11</v>
      </c>
      <c r="O1076" s="192">
        <f>YEAR(Tableau13[[#This Row],[Date fin intervention]])</f>
        <v>2020</v>
      </c>
      <c r="P1076" s="40"/>
    </row>
    <row r="1077" spans="1:16">
      <c r="A1077" s="187">
        <v>44156</v>
      </c>
      <c r="B1077" s="176">
        <v>610</v>
      </c>
      <c r="C1077" s="177" t="str">
        <f>IF(ISNA(VLOOKUP(Tableau13[[#This Row],[Code machine]],'CODE mchn'!$A$4:$C$170,2,0)),"",VLOOKUP(Tableau13[[#This Row],[Code machine]],'CODE mchn'!$A$4:$C$170,2,0))</f>
        <v>Acier</v>
      </c>
      <c r="D1077" s="36" t="str">
        <f>IF(ISNA(VLOOKUP(Tableau13[[#This Row],[Code machine]],'CODE mchn'!$A$4:$C$170,3,0)),"",VLOOKUP(Tableau13[[#This Row],[Code machine]],'CODE mchn'!$A$4:$C$170,3,0))</f>
        <v>MEP91</v>
      </c>
      <c r="E1077" s="105"/>
      <c r="F1077" s="39"/>
      <c r="G1077" s="39" t="s">
        <v>1450</v>
      </c>
      <c r="H1077" s="39" t="s">
        <v>520</v>
      </c>
      <c r="I1077" s="39" t="s">
        <v>13</v>
      </c>
      <c r="J1077" s="177" t="s">
        <v>1732</v>
      </c>
      <c r="K1077" s="187">
        <v>44156</v>
      </c>
      <c r="L1077" s="39"/>
      <c r="M1077" s="179">
        <v>2</v>
      </c>
      <c r="N1077" s="192">
        <f>MONTH(Tableau13[[#This Row],[Date fin intervention]])</f>
        <v>11</v>
      </c>
      <c r="O1077" s="192">
        <f>YEAR(Tableau13[[#This Row],[Date fin intervention]])</f>
        <v>2020</v>
      </c>
      <c r="P1077" s="40"/>
    </row>
    <row r="1078" spans="1:16">
      <c r="A1078" s="187">
        <v>44156</v>
      </c>
      <c r="B1078" s="176">
        <v>580</v>
      </c>
      <c r="C1078" s="177" t="str">
        <f>IF(ISNA(VLOOKUP(Tableau13[[#This Row],[Code machine]],'CODE mchn'!$A$4:$C$170,2,0)),"",VLOOKUP(Tableau13[[#This Row],[Code machine]],'CODE mchn'!$A$4:$C$170,2,0))</f>
        <v>Acier</v>
      </c>
      <c r="D1078" s="36" t="str">
        <f>IF(ISNA(VLOOKUP(Tableau13[[#This Row],[Code machine]],'CODE mchn'!$A$4:$C$170,3,0)),"",VLOOKUP(Tableau13[[#This Row],[Code machine]],'CODE mchn'!$A$4:$C$170,3,0))</f>
        <v>Techno Impiante</v>
      </c>
      <c r="E1078" s="105"/>
      <c r="F1078" s="39"/>
      <c r="G1078" s="39" t="s">
        <v>52</v>
      </c>
      <c r="H1078" s="39" t="s">
        <v>1310</v>
      </c>
      <c r="I1078" s="39" t="s">
        <v>13</v>
      </c>
      <c r="J1078" s="177" t="s">
        <v>1404</v>
      </c>
      <c r="K1078" s="187">
        <v>44156</v>
      </c>
      <c r="L1078" s="39"/>
      <c r="M1078" s="179">
        <v>1</v>
      </c>
      <c r="N1078" s="192">
        <f>MONTH(Tableau13[[#This Row],[Date fin intervention]])</f>
        <v>11</v>
      </c>
      <c r="O1078" s="192">
        <f>YEAR(Tableau13[[#This Row],[Date fin intervention]])</f>
        <v>2020</v>
      </c>
      <c r="P1078" s="40"/>
    </row>
    <row r="1079" spans="1:16">
      <c r="A1079" s="187">
        <v>44157</v>
      </c>
      <c r="B1079" s="176">
        <v>581</v>
      </c>
      <c r="C1079" s="177" t="str">
        <f>IF(ISNA(VLOOKUP(Tableau13[[#This Row],[Code machine]],'CODE mchn'!$A$4:$C$170,2,0)),"",VLOOKUP(Tableau13[[#This Row],[Code machine]],'CODE mchn'!$A$4:$C$170,2,0))</f>
        <v>Acier</v>
      </c>
      <c r="D1079" s="36" t="str">
        <f>IF(ISNA(VLOOKUP(Tableau13[[#This Row],[Code machine]],'CODE mchn'!$A$4:$C$170,3,0)),"",VLOOKUP(Tableau13[[#This Row],[Code machine]],'CODE mchn'!$A$4:$C$170,3,0))</f>
        <v>Teurema 1</v>
      </c>
      <c r="E1079" s="105"/>
      <c r="F1079" s="39"/>
      <c r="G1079" s="39" t="s">
        <v>274</v>
      </c>
      <c r="H1079" s="39" t="s">
        <v>1578</v>
      </c>
      <c r="I1079" s="39" t="s">
        <v>13</v>
      </c>
      <c r="J1079" s="177" t="s">
        <v>1729</v>
      </c>
      <c r="K1079" s="187">
        <v>44157</v>
      </c>
      <c r="L1079" s="39"/>
      <c r="M1079" s="179">
        <v>3</v>
      </c>
      <c r="N1079" s="192">
        <f>MONTH(Tableau13[[#This Row],[Date fin intervention]])</f>
        <v>11</v>
      </c>
      <c r="O1079" s="192">
        <f>YEAR(Tableau13[[#This Row],[Date fin intervention]])</f>
        <v>2020</v>
      </c>
      <c r="P1079" s="40"/>
    </row>
    <row r="1080" spans="1:16">
      <c r="A1080" s="187">
        <v>44157</v>
      </c>
      <c r="B1080" s="176">
        <v>581</v>
      </c>
      <c r="C1080" s="177" t="str">
        <f>IF(ISNA(VLOOKUP(Tableau13[[#This Row],[Code machine]],'CODE mchn'!$A$4:$C$170,2,0)),"",VLOOKUP(Tableau13[[#This Row],[Code machine]],'CODE mchn'!$A$4:$C$170,2,0))</f>
        <v>Acier</v>
      </c>
      <c r="D1080" s="36" t="str">
        <f>IF(ISNA(VLOOKUP(Tableau13[[#This Row],[Code machine]],'CODE mchn'!$A$4:$C$170,3,0)),"",VLOOKUP(Tableau13[[#This Row],[Code machine]],'CODE mchn'!$A$4:$C$170,3,0))</f>
        <v>Teurema 1</v>
      </c>
      <c r="E1080" s="105"/>
      <c r="F1080" s="39"/>
      <c r="G1080" s="39" t="s">
        <v>161</v>
      </c>
      <c r="H1080" s="39" t="s">
        <v>1730</v>
      </c>
      <c r="I1080" s="39" t="s">
        <v>13</v>
      </c>
      <c r="J1080" s="177" t="s">
        <v>1731</v>
      </c>
      <c r="K1080" s="187">
        <v>44157</v>
      </c>
      <c r="L1080" s="39"/>
      <c r="M1080" s="179">
        <v>15</v>
      </c>
      <c r="N1080" s="192">
        <f>MONTH(Tableau13[[#This Row],[Date fin intervention]])</f>
        <v>11</v>
      </c>
      <c r="O1080" s="192">
        <f>YEAR(Tableau13[[#This Row],[Date fin intervention]])</f>
        <v>2020</v>
      </c>
      <c r="P1080" s="40"/>
    </row>
    <row r="1081" spans="1:16">
      <c r="A1081" s="187">
        <v>44157</v>
      </c>
      <c r="B1081" s="176">
        <v>582</v>
      </c>
      <c r="C1081" s="177" t="str">
        <f>IF(ISNA(VLOOKUP(Tableau13[[#This Row],[Code machine]],'CODE mchn'!$A$4:$C$170,2,0)),"",VLOOKUP(Tableau13[[#This Row],[Code machine]],'CODE mchn'!$A$4:$C$170,2,0))</f>
        <v>Acier</v>
      </c>
      <c r="D1081" s="36" t="str">
        <f>IF(ISNA(VLOOKUP(Tableau13[[#This Row],[Code machine]],'CODE mchn'!$A$4:$C$170,3,0)),"",VLOOKUP(Tableau13[[#This Row],[Code machine]],'CODE mchn'!$A$4:$C$170,3,0))</f>
        <v>Teurema 2</v>
      </c>
      <c r="E1081" s="105"/>
      <c r="F1081" s="39"/>
      <c r="G1081" s="39" t="s">
        <v>1733</v>
      </c>
      <c r="H1081" s="39" t="s">
        <v>1650</v>
      </c>
      <c r="I1081" s="39" t="s">
        <v>13</v>
      </c>
      <c r="J1081" s="177" t="s">
        <v>473</v>
      </c>
      <c r="K1081" s="187">
        <v>44157</v>
      </c>
      <c r="L1081" s="39"/>
      <c r="M1081" s="179">
        <v>30</v>
      </c>
      <c r="N1081" s="192">
        <f>MONTH(Tableau13[[#This Row],[Date fin intervention]])</f>
        <v>11</v>
      </c>
      <c r="O1081" s="192">
        <f>YEAR(Tableau13[[#This Row],[Date fin intervention]])</f>
        <v>2020</v>
      </c>
      <c r="P1081" s="40"/>
    </row>
    <row r="1082" spans="1:16">
      <c r="A1082" s="187">
        <v>44157</v>
      </c>
      <c r="B1082" s="176">
        <v>580</v>
      </c>
      <c r="C1082" s="177" t="str">
        <f>IF(ISNA(VLOOKUP(Tableau13[[#This Row],[Code machine]],'CODE mchn'!$A$4:$C$170,2,0)),"",VLOOKUP(Tableau13[[#This Row],[Code machine]],'CODE mchn'!$A$4:$C$170,2,0))</f>
        <v>Acier</v>
      </c>
      <c r="D1082" s="36" t="str">
        <f>IF(ISNA(VLOOKUP(Tableau13[[#This Row],[Code machine]],'CODE mchn'!$A$4:$C$170,3,0)),"",VLOOKUP(Tableau13[[#This Row],[Code machine]],'CODE mchn'!$A$4:$C$170,3,0))</f>
        <v>Techno Impiante</v>
      </c>
      <c r="E1082" s="105"/>
      <c r="F1082" s="39"/>
      <c r="G1082" s="39" t="s">
        <v>49</v>
      </c>
      <c r="H1082" s="39" t="s">
        <v>1052</v>
      </c>
      <c r="I1082" s="39" t="s">
        <v>13</v>
      </c>
      <c r="J1082" s="177" t="s">
        <v>1076</v>
      </c>
      <c r="K1082" s="187">
        <v>44157</v>
      </c>
      <c r="L1082" s="39"/>
      <c r="M1082" s="179">
        <v>30</v>
      </c>
      <c r="N1082" s="192">
        <f>MONTH(Tableau13[[#This Row],[Date fin intervention]])</f>
        <v>11</v>
      </c>
      <c r="O1082" s="192">
        <f>YEAR(Tableau13[[#This Row],[Date fin intervention]])</f>
        <v>2020</v>
      </c>
      <c r="P1082" s="40"/>
    </row>
    <row r="1083" spans="1:16">
      <c r="A1083" s="187">
        <v>44160</v>
      </c>
      <c r="B1083" s="188">
        <v>800</v>
      </c>
      <c r="C1083" s="189" t="str">
        <f>IF(ISNA(VLOOKUP(Tableau13[[#This Row],[Code machine]],'CODE mchn'!$A$4:$C$170,2,0)),"",VLOOKUP(Tableau13[[#This Row],[Code machine]],'CODE mchn'!$A$4:$C$170,2,0))</f>
        <v>Béton</v>
      </c>
      <c r="D1083" s="36" t="str">
        <f>IF(ISNA(VLOOKUP(Tableau13[[#This Row],[Code machine]],'CODE mchn'!$A$4:$C$170,3,0)),"",VLOOKUP(Tableau13[[#This Row],[Code machine]],'CODE mchn'!$A$4:$C$170,3,0))</f>
        <v>Poyatos 2</v>
      </c>
      <c r="E1083" s="105"/>
      <c r="F1083" s="40"/>
      <c r="G1083" s="40" t="s">
        <v>213</v>
      </c>
      <c r="H1083" s="40" t="s">
        <v>1962</v>
      </c>
      <c r="I1083" s="40" t="s">
        <v>13</v>
      </c>
      <c r="J1083" s="189" t="s">
        <v>896</v>
      </c>
      <c r="K1083" s="190">
        <v>44160</v>
      </c>
      <c r="L1083" s="40"/>
      <c r="M1083" s="191">
        <v>30</v>
      </c>
      <c r="N1083" s="192">
        <f>MONTH(Tableau13[[#This Row],[Date fin intervention]])</f>
        <v>11</v>
      </c>
      <c r="O1083" s="192">
        <f>YEAR(Tableau13[[#This Row],[Date fin intervention]])</f>
        <v>2020</v>
      </c>
      <c r="P1083" s="40"/>
    </row>
    <row r="1084" spans="1:16" ht="42.75">
      <c r="A1084" s="187">
        <v>44161</v>
      </c>
      <c r="B1084" s="188">
        <v>800</v>
      </c>
      <c r="C1084" s="189" t="str">
        <f>IF(ISNA(VLOOKUP(Tableau13[[#This Row],[Code machine]],'CODE mchn'!$A$4:$C$170,2,0)),"",VLOOKUP(Tableau13[[#This Row],[Code machine]],'CODE mchn'!$A$4:$C$170,2,0))</f>
        <v>Béton</v>
      </c>
      <c r="D1084" s="36" t="str">
        <f>IF(ISNA(VLOOKUP(Tableau13[[#This Row],[Code machine]],'CODE mchn'!$A$4:$C$170,3,0)),"",VLOOKUP(Tableau13[[#This Row],[Code machine]],'CODE mchn'!$A$4:$C$170,3,0))</f>
        <v>Poyatos 2</v>
      </c>
      <c r="E1084" s="105"/>
      <c r="F1084" s="40"/>
      <c r="G1084" s="40" t="s">
        <v>291</v>
      </c>
      <c r="H1084" s="40" t="s">
        <v>1963</v>
      </c>
      <c r="I1084" s="40" t="s">
        <v>13</v>
      </c>
      <c r="J1084" s="189" t="s">
        <v>1964</v>
      </c>
      <c r="K1084" s="190">
        <v>44162</v>
      </c>
      <c r="L1084" s="40"/>
      <c r="M1084" s="191" t="s">
        <v>2259</v>
      </c>
      <c r="N1084" s="192">
        <f>MONTH(Tableau13[[#This Row],[Date fin intervention]])</f>
        <v>11</v>
      </c>
      <c r="O1084" s="192">
        <f>YEAR(Tableau13[[#This Row],[Date fin intervention]])</f>
        <v>2020</v>
      </c>
      <c r="P1084" s="40"/>
    </row>
    <row r="1085" spans="1:16">
      <c r="A1085" s="187">
        <v>44162</v>
      </c>
      <c r="B1085" s="176">
        <v>582</v>
      </c>
      <c r="C1085" s="177" t="str">
        <f>IF(ISNA(VLOOKUP(Tableau13[[#This Row],[Code machine]],'CODE mchn'!$A$4:$C$170,2,0)),"",VLOOKUP(Tableau13[[#This Row],[Code machine]],'CODE mchn'!$A$4:$C$170,2,0))</f>
        <v>Acier</v>
      </c>
      <c r="D1085" s="36" t="str">
        <f>IF(ISNA(VLOOKUP(Tableau13[[#This Row],[Code machine]],'CODE mchn'!$A$4:$C$170,3,0)),"",VLOOKUP(Tableau13[[#This Row],[Code machine]],'CODE mchn'!$A$4:$C$170,3,0))</f>
        <v>Teurema 2</v>
      </c>
      <c r="E1085" s="105"/>
      <c r="F1085" s="39"/>
      <c r="G1085" s="39" t="s">
        <v>1347</v>
      </c>
      <c r="H1085" s="39" t="s">
        <v>1750</v>
      </c>
      <c r="I1085" s="39" t="s">
        <v>13</v>
      </c>
      <c r="J1085" s="177" t="s">
        <v>1751</v>
      </c>
      <c r="K1085" s="187">
        <v>44162</v>
      </c>
      <c r="L1085" s="39"/>
      <c r="M1085" s="179">
        <v>1</v>
      </c>
      <c r="N1085" s="192">
        <f>MONTH(Tableau13[[#This Row],[Date fin intervention]])</f>
        <v>11</v>
      </c>
      <c r="O1085" s="192">
        <f>YEAR(Tableau13[[#This Row],[Date fin intervention]])</f>
        <v>2020</v>
      </c>
      <c r="P1085" s="40"/>
    </row>
    <row r="1086" spans="1:16">
      <c r="A1086" s="187">
        <v>44162</v>
      </c>
      <c r="B1086" s="176">
        <v>605</v>
      </c>
      <c r="C1086" s="177" t="str">
        <f>IF(ISNA(VLOOKUP(Tableau13[[#This Row],[Code machine]],'CODE mchn'!$A$4:$C$170,2,0)),"",VLOOKUP(Tableau13[[#This Row],[Code machine]],'CODE mchn'!$A$4:$C$170,2,0))</f>
        <v>Acier</v>
      </c>
      <c r="D1086" s="36" t="str">
        <f>IF(ISNA(VLOOKUP(Tableau13[[#This Row],[Code machine]],'CODE mchn'!$A$4:$C$170,3,0)),"",VLOOKUP(Tableau13[[#This Row],[Code machine]],'CODE mchn'!$A$4:$C$170,3,0))</f>
        <v>Vitari 1</v>
      </c>
      <c r="E1086" s="105"/>
      <c r="F1086" s="39"/>
      <c r="G1086" s="39" t="s">
        <v>78</v>
      </c>
      <c r="H1086" s="39" t="s">
        <v>1757</v>
      </c>
      <c r="I1086" s="39" t="s">
        <v>13</v>
      </c>
      <c r="J1086" s="177" t="s">
        <v>1759</v>
      </c>
      <c r="K1086" s="187">
        <v>44162</v>
      </c>
      <c r="L1086" s="39"/>
      <c r="M1086" s="141">
        <v>1</v>
      </c>
      <c r="N1086" s="192">
        <f>MONTH(Tableau13[[#This Row],[Date fin intervention]])</f>
        <v>11</v>
      </c>
      <c r="O1086" s="192">
        <f>YEAR(Tableau13[[#This Row],[Date fin intervention]])</f>
        <v>2020</v>
      </c>
      <c r="P1086" s="40"/>
    </row>
    <row r="1087" spans="1:16">
      <c r="A1087" s="187">
        <v>44163</v>
      </c>
      <c r="B1087" s="176">
        <v>582</v>
      </c>
      <c r="C1087" s="177" t="str">
        <f>IF(ISNA(VLOOKUP(Tableau13[[#This Row],[Code machine]],'CODE mchn'!$A$4:$C$170,2,0)),"",VLOOKUP(Tableau13[[#This Row],[Code machine]],'CODE mchn'!$A$4:$C$170,2,0))</f>
        <v>Acier</v>
      </c>
      <c r="D1087" s="36" t="str">
        <f>IF(ISNA(VLOOKUP(Tableau13[[#This Row],[Code machine]],'CODE mchn'!$A$4:$C$170,3,0)),"",VLOOKUP(Tableau13[[#This Row],[Code machine]],'CODE mchn'!$A$4:$C$170,3,0))</f>
        <v>Teurema 2</v>
      </c>
      <c r="E1087" s="105"/>
      <c r="F1087" s="39"/>
      <c r="G1087" s="39" t="s">
        <v>1653</v>
      </c>
      <c r="H1087" s="39" t="s">
        <v>764</v>
      </c>
      <c r="I1087" s="39" t="s">
        <v>13</v>
      </c>
      <c r="J1087" s="177" t="s">
        <v>1752</v>
      </c>
      <c r="K1087" s="187">
        <v>44163</v>
      </c>
      <c r="L1087" s="39"/>
      <c r="M1087" s="179">
        <v>3</v>
      </c>
      <c r="N1087" s="192">
        <f>MONTH(Tableau13[[#This Row],[Date fin intervention]])</f>
        <v>11</v>
      </c>
      <c r="O1087" s="192">
        <f>YEAR(Tableau13[[#This Row],[Date fin intervention]])</f>
        <v>2020</v>
      </c>
      <c r="P1087" s="40"/>
    </row>
    <row r="1088" spans="1:16" ht="57">
      <c r="A1088" s="187">
        <v>44164</v>
      </c>
      <c r="B1088" s="176">
        <v>800</v>
      </c>
      <c r="C1088" s="177" t="str">
        <f>IF(ISNA(VLOOKUP(Tableau13[[#This Row],[Code machine]],'CODE mchn'!$A$4:$C$170,2,0)),"",VLOOKUP(Tableau13[[#This Row],[Code machine]],'CODE mchn'!$A$4:$C$170,2,0))</f>
        <v>Béton</v>
      </c>
      <c r="D1088" s="36" t="str">
        <f>IF(ISNA(VLOOKUP(Tableau13[[#This Row],[Code machine]],'CODE mchn'!$A$4:$C$170,3,0)),"",VLOOKUP(Tableau13[[#This Row],[Code machine]],'CODE mchn'!$A$4:$C$170,3,0))</f>
        <v>Poyatos 2</v>
      </c>
      <c r="E1088" s="105"/>
      <c r="F1088" s="39"/>
      <c r="G1088" s="39" t="s">
        <v>185</v>
      </c>
      <c r="H1088" s="39" t="s">
        <v>1612</v>
      </c>
      <c r="I1088" s="39" t="s">
        <v>13</v>
      </c>
      <c r="J1088" s="177" t="s">
        <v>1760</v>
      </c>
      <c r="K1088" s="187">
        <v>44164</v>
      </c>
      <c r="L1088" s="39"/>
      <c r="M1088" s="141">
        <v>2</v>
      </c>
      <c r="N1088" s="192">
        <f>MONTH(Tableau13[[#This Row],[Date fin intervention]])</f>
        <v>11</v>
      </c>
      <c r="O1088" s="192">
        <f>YEAR(Tableau13[[#This Row],[Date fin intervention]])</f>
        <v>2020</v>
      </c>
      <c r="P1088" s="40"/>
    </row>
    <row r="1089" spans="1:16">
      <c r="A1089" s="187">
        <v>44165</v>
      </c>
      <c r="B1089" s="188">
        <v>700</v>
      </c>
      <c r="C1089" s="189" t="str">
        <f>IF(ISNA(VLOOKUP(Tableau13[[#This Row],[Code machine]],'CODE mchn'!$A$4:$C$170,2,0)),"",VLOOKUP(Tableau13[[#This Row],[Code machine]],'CODE mchn'!$A$4:$C$170,2,0))</f>
        <v>Béton</v>
      </c>
      <c r="D1089" s="36" t="str">
        <f>IF(ISNA(VLOOKUP(Tableau13[[#This Row],[Code machine]],'CODE mchn'!$A$4:$C$170,3,0)),"",VLOOKUP(Tableau13[[#This Row],[Code machine]],'CODE mchn'!$A$4:$C$170,3,0))</f>
        <v>Poyatos 1</v>
      </c>
      <c r="E1089" s="105"/>
      <c r="F1089" s="40"/>
      <c r="G1089" s="40" t="s">
        <v>291</v>
      </c>
      <c r="H1089" s="40" t="s">
        <v>1965</v>
      </c>
      <c r="I1089" s="40" t="s">
        <v>13</v>
      </c>
      <c r="J1089" s="189" t="s">
        <v>1966</v>
      </c>
      <c r="K1089" s="190">
        <v>44165</v>
      </c>
      <c r="L1089" s="40"/>
      <c r="M1089" s="191">
        <v>2</v>
      </c>
      <c r="N1089" s="192">
        <f>MONTH(Tableau13[[#This Row],[Date fin intervention]])</f>
        <v>11</v>
      </c>
      <c r="O1089" s="192">
        <f>YEAR(Tableau13[[#This Row],[Date fin intervention]])</f>
        <v>2020</v>
      </c>
      <c r="P1089" s="40"/>
    </row>
    <row r="1090" spans="1:16">
      <c r="A1090" s="187">
        <v>44166</v>
      </c>
      <c r="B1090" s="188">
        <v>581</v>
      </c>
      <c r="C1090" s="189" t="str">
        <f>IF(ISNA(VLOOKUP(Tableau13[[#This Row],[Code machine]],'CODE mchn'!$A$4:$C$170,2,0)),"",VLOOKUP(Tableau13[[#This Row],[Code machine]],'CODE mchn'!$A$4:$C$170,2,0))</f>
        <v>Acier</v>
      </c>
      <c r="D1090" s="36" t="str">
        <f>IF(ISNA(VLOOKUP(Tableau13[[#This Row],[Code machine]],'CODE mchn'!$A$4:$C$170,3,0)),"",VLOOKUP(Tableau13[[#This Row],[Code machine]],'CODE mchn'!$A$4:$C$170,3,0))</f>
        <v>Teurema 1</v>
      </c>
      <c r="E1090" s="105"/>
      <c r="F1090" s="40"/>
      <c r="G1090" s="40" t="s">
        <v>20</v>
      </c>
      <c r="H1090" s="40" t="s">
        <v>1944</v>
      </c>
      <c r="I1090" s="40" t="s">
        <v>8</v>
      </c>
      <c r="J1090" s="189" t="s">
        <v>21</v>
      </c>
      <c r="K1090" s="190">
        <v>44166</v>
      </c>
      <c r="L1090" s="40"/>
      <c r="M1090" s="191">
        <v>20</v>
      </c>
      <c r="N1090" s="192">
        <f>MONTH(Tableau13[[#This Row],[Date fin intervention]])</f>
        <v>12</v>
      </c>
      <c r="O1090" s="192">
        <f>YEAR(Tableau13[[#This Row],[Date fin intervention]])</f>
        <v>2020</v>
      </c>
      <c r="P1090" s="40"/>
    </row>
    <row r="1091" spans="1:16">
      <c r="A1091" s="187">
        <v>44166</v>
      </c>
      <c r="B1091" s="188">
        <v>582</v>
      </c>
      <c r="C1091" s="189" t="str">
        <f>IF(ISNA(VLOOKUP(Tableau13[[#This Row],[Code machine]],'CODE mchn'!$A$4:$C$170,2,0)),"",VLOOKUP(Tableau13[[#This Row],[Code machine]],'CODE mchn'!$A$4:$C$170,2,0))</f>
        <v>Acier</v>
      </c>
      <c r="D1091" s="36" t="str">
        <f>IF(ISNA(VLOOKUP(Tableau13[[#This Row],[Code machine]],'CODE mchn'!$A$4:$C$170,3,0)),"",VLOOKUP(Tableau13[[#This Row],[Code machine]],'CODE mchn'!$A$4:$C$170,3,0))</f>
        <v>Teurema 2</v>
      </c>
      <c r="E1091" s="105"/>
      <c r="F1091" s="40"/>
      <c r="G1091" s="40" t="s">
        <v>664</v>
      </c>
      <c r="H1091" s="40" t="s">
        <v>1945</v>
      </c>
      <c r="I1091" s="40" t="s">
        <v>13</v>
      </c>
      <c r="J1091" s="189" t="s">
        <v>1946</v>
      </c>
      <c r="K1091" s="190">
        <v>44166</v>
      </c>
      <c r="L1091" s="40"/>
      <c r="M1091" s="191">
        <v>30</v>
      </c>
      <c r="N1091" s="192">
        <f>MONTH(Tableau13[[#This Row],[Date fin intervention]])</f>
        <v>12</v>
      </c>
      <c r="O1091" s="192">
        <f>YEAR(Tableau13[[#This Row],[Date fin intervention]])</f>
        <v>2020</v>
      </c>
      <c r="P1091" s="40"/>
    </row>
    <row r="1092" spans="1:16">
      <c r="A1092" s="187">
        <v>44166</v>
      </c>
      <c r="B1092" s="188">
        <v>800</v>
      </c>
      <c r="C1092" s="189" t="str">
        <f>IF(ISNA(VLOOKUP(Tableau13[[#This Row],[Code machine]],'CODE mchn'!$A$4:$C$170,2,0)),"",VLOOKUP(Tableau13[[#This Row],[Code machine]],'CODE mchn'!$A$4:$C$170,2,0))</f>
        <v>Béton</v>
      </c>
      <c r="D1092" s="36" t="str">
        <f>IF(ISNA(VLOOKUP(Tableau13[[#This Row],[Code machine]],'CODE mchn'!$A$4:$C$170,3,0)),"",VLOOKUP(Tableau13[[#This Row],[Code machine]],'CODE mchn'!$A$4:$C$170,3,0))</f>
        <v>Poyatos 2</v>
      </c>
      <c r="E1092" s="105"/>
      <c r="F1092" s="40"/>
      <c r="G1092" s="40" t="s">
        <v>1967</v>
      </c>
      <c r="H1092" s="40" t="s">
        <v>1968</v>
      </c>
      <c r="I1092" s="40" t="s">
        <v>13</v>
      </c>
      <c r="J1092" s="189" t="s">
        <v>1969</v>
      </c>
      <c r="K1092" s="190">
        <v>44166</v>
      </c>
      <c r="L1092" s="40"/>
      <c r="M1092" s="191">
        <v>2</v>
      </c>
      <c r="N1092" s="192">
        <f>MONTH(Tableau13[[#This Row],[Date fin intervention]])</f>
        <v>12</v>
      </c>
      <c r="O1092" s="192">
        <f>YEAR(Tableau13[[#This Row],[Date fin intervention]])</f>
        <v>2020</v>
      </c>
      <c r="P1092" s="40"/>
    </row>
    <row r="1093" spans="1:16">
      <c r="A1093" s="187">
        <v>44167</v>
      </c>
      <c r="B1093" s="188">
        <v>620</v>
      </c>
      <c r="C1093" s="189" t="str">
        <f>IF(ISNA(VLOOKUP(Tableau13[[#This Row],[Code machine]],'CODE mchn'!$A$4:$C$170,2,0)),"",VLOOKUP(Tableau13[[#This Row],[Code machine]],'CODE mchn'!$A$4:$C$170,2,0))</f>
        <v>Acier</v>
      </c>
      <c r="D1093" s="36" t="str">
        <f>IF(ISNA(VLOOKUP(Tableau13[[#This Row],[Code machine]],'CODE mchn'!$A$4:$C$170,3,0)),"",VLOOKUP(Tableau13[[#This Row],[Code machine]],'CODE mchn'!$A$4:$C$170,3,0))</f>
        <v>EVG PN 2</v>
      </c>
      <c r="E1093" s="105"/>
      <c r="F1093" s="40"/>
      <c r="G1093" s="40" t="s">
        <v>726</v>
      </c>
      <c r="H1093" s="40" t="s">
        <v>1874</v>
      </c>
      <c r="I1093" s="40" t="s">
        <v>13</v>
      </c>
      <c r="J1093" s="189" t="s">
        <v>1947</v>
      </c>
      <c r="K1093" s="190">
        <v>44167</v>
      </c>
      <c r="L1093" s="40"/>
      <c r="M1093" s="191">
        <v>30</v>
      </c>
      <c r="N1093" s="192">
        <f>MONTH(Tableau13[[#This Row],[Date fin intervention]])</f>
        <v>12</v>
      </c>
      <c r="O1093" s="192">
        <f>YEAR(Tableau13[[#This Row],[Date fin intervention]])</f>
        <v>2020</v>
      </c>
      <c r="P1093" s="40"/>
    </row>
    <row r="1094" spans="1:16">
      <c r="A1094" s="187">
        <v>44167</v>
      </c>
      <c r="B1094" s="188">
        <v>800</v>
      </c>
      <c r="C1094" s="189" t="str">
        <f>IF(ISNA(VLOOKUP(Tableau13[[#This Row],[Code machine]],'CODE mchn'!$A$4:$C$170,2,0)),"",VLOOKUP(Tableau13[[#This Row],[Code machine]],'CODE mchn'!$A$4:$C$170,2,0))</f>
        <v>Béton</v>
      </c>
      <c r="D1094" s="36" t="str">
        <f>IF(ISNA(VLOOKUP(Tableau13[[#This Row],[Code machine]],'CODE mchn'!$A$4:$C$170,3,0)),"",VLOOKUP(Tableau13[[#This Row],[Code machine]],'CODE mchn'!$A$4:$C$170,3,0))</f>
        <v>Poyatos 2</v>
      </c>
      <c r="E1094" s="105"/>
      <c r="F1094" s="40"/>
      <c r="G1094" s="40" t="s">
        <v>375</v>
      </c>
      <c r="H1094" s="40" t="s">
        <v>1330</v>
      </c>
      <c r="I1094" s="40" t="s">
        <v>13</v>
      </c>
      <c r="J1094" s="189" t="s">
        <v>1970</v>
      </c>
      <c r="K1094" s="190">
        <v>44167</v>
      </c>
      <c r="L1094" s="40"/>
      <c r="M1094" s="191">
        <v>30</v>
      </c>
      <c r="N1094" s="192">
        <f>MONTH(Tableau13[[#This Row],[Date fin intervention]])</f>
        <v>12</v>
      </c>
      <c r="O1094" s="192">
        <f>YEAR(Tableau13[[#This Row],[Date fin intervention]])</f>
        <v>2020</v>
      </c>
      <c r="P1094" s="40"/>
    </row>
    <row r="1095" spans="1:16" ht="28.5">
      <c r="A1095" s="187">
        <v>44167</v>
      </c>
      <c r="B1095" s="188">
        <v>584</v>
      </c>
      <c r="C1095" s="189" t="str">
        <f>IF(ISNA(VLOOKUP(Tableau13[[#This Row],[Code machine]],'CODE mchn'!$A$4:$C$170,2,0)),"",VLOOKUP(Tableau13[[#This Row],[Code machine]],'CODE mchn'!$A$4:$C$170,2,0))</f>
        <v>Ponts roulants</v>
      </c>
      <c r="D1095" s="36" t="str">
        <f>IF(ISNA(VLOOKUP(Tableau13[[#This Row],[Code machine]],'CODE mchn'!$A$4:$C$170,3,0)),"",VLOOKUP(Tableau13[[#This Row],[Code machine]],'CODE mchn'!$A$4:$C$170,3,0))</f>
        <v>Pont roulant Demag 3,2T (teurema2)</v>
      </c>
      <c r="E1095" s="105"/>
      <c r="F1095" s="40"/>
      <c r="G1095" s="40" t="s">
        <v>1450</v>
      </c>
      <c r="H1095" s="40" t="s">
        <v>1994</v>
      </c>
      <c r="I1095" s="40" t="s">
        <v>13</v>
      </c>
      <c r="J1095" s="189"/>
      <c r="K1095" s="190">
        <v>44195</v>
      </c>
      <c r="L1095" s="36" t="s">
        <v>2060</v>
      </c>
      <c r="M1095" s="191"/>
      <c r="N1095" s="192">
        <f>MONTH(Tableau13[[#This Row],[Date fin intervention]])</f>
        <v>12</v>
      </c>
      <c r="O1095" s="192">
        <f>YEAR(Tableau13[[#This Row],[Date fin intervention]])</f>
        <v>2020</v>
      </c>
      <c r="P1095" s="40"/>
    </row>
    <row r="1096" spans="1:16">
      <c r="A1096" s="187">
        <v>44170</v>
      </c>
      <c r="B1096" s="188">
        <v>581</v>
      </c>
      <c r="C1096" s="189" t="str">
        <f>IF(ISNA(VLOOKUP(Tableau13[[#This Row],[Code machine]],'CODE mchn'!$A$4:$C$170,2,0)),"",VLOOKUP(Tableau13[[#This Row],[Code machine]],'CODE mchn'!$A$4:$C$170,2,0))</f>
        <v>Acier</v>
      </c>
      <c r="D1096" s="36" t="str">
        <f>IF(ISNA(VLOOKUP(Tableau13[[#This Row],[Code machine]],'CODE mchn'!$A$4:$C$170,3,0)),"",VLOOKUP(Tableau13[[#This Row],[Code machine]],'CODE mchn'!$A$4:$C$170,3,0))</f>
        <v>Teurema 1</v>
      </c>
      <c r="E1096" s="105"/>
      <c r="F1096" s="40"/>
      <c r="G1096" s="40" t="s">
        <v>1948</v>
      </c>
      <c r="H1096" s="40" t="s">
        <v>1070</v>
      </c>
      <c r="I1096" s="40" t="s">
        <v>13</v>
      </c>
      <c r="J1096" s="189" t="s">
        <v>1263</v>
      </c>
      <c r="K1096" s="190">
        <v>44170</v>
      </c>
      <c r="L1096" s="40"/>
      <c r="M1096" s="191">
        <v>1</v>
      </c>
      <c r="N1096" s="192">
        <f>MONTH(Tableau13[[#This Row],[Date fin intervention]])</f>
        <v>12</v>
      </c>
      <c r="O1096" s="192">
        <f>YEAR(Tableau13[[#This Row],[Date fin intervention]])</f>
        <v>2020</v>
      </c>
      <c r="P1096" s="40"/>
    </row>
    <row r="1097" spans="1:16">
      <c r="A1097" s="187">
        <v>44170</v>
      </c>
      <c r="B1097" s="188">
        <v>800</v>
      </c>
      <c r="C1097" s="189" t="str">
        <f>IF(ISNA(VLOOKUP(Tableau13[[#This Row],[Code machine]],'CODE mchn'!$A$4:$C$170,2,0)),"",VLOOKUP(Tableau13[[#This Row],[Code machine]],'CODE mchn'!$A$4:$C$170,2,0))</f>
        <v>Béton</v>
      </c>
      <c r="D1097" s="36" t="str">
        <f>IF(ISNA(VLOOKUP(Tableau13[[#This Row],[Code machine]],'CODE mchn'!$A$4:$C$170,3,0)),"",VLOOKUP(Tableau13[[#This Row],[Code machine]],'CODE mchn'!$A$4:$C$170,3,0))</f>
        <v>Poyatos 2</v>
      </c>
      <c r="E1097" s="105"/>
      <c r="F1097" s="40"/>
      <c r="G1097" s="40" t="s">
        <v>20</v>
      </c>
      <c r="H1097" s="40" t="s">
        <v>1971</v>
      </c>
      <c r="I1097" s="40" t="s">
        <v>13</v>
      </c>
      <c r="J1097" s="189" t="s">
        <v>21</v>
      </c>
      <c r="K1097" s="190">
        <v>44170</v>
      </c>
      <c r="L1097" s="40"/>
      <c r="M1097" s="191">
        <v>10</v>
      </c>
      <c r="N1097" s="192">
        <f>MONTH(Tableau13[[#This Row],[Date fin intervention]])</f>
        <v>12</v>
      </c>
      <c r="O1097" s="192">
        <f>YEAR(Tableau13[[#This Row],[Date fin intervention]])</f>
        <v>2020</v>
      </c>
      <c r="P1097" s="40"/>
    </row>
    <row r="1098" spans="1:16">
      <c r="A1098" s="187">
        <v>44170</v>
      </c>
      <c r="B1098" s="188">
        <v>700</v>
      </c>
      <c r="C1098" s="189" t="str">
        <f>IF(ISNA(VLOOKUP(Tableau13[[#This Row],[Code machine]],'CODE mchn'!$A$4:$C$170,2,0)),"",VLOOKUP(Tableau13[[#This Row],[Code machine]],'CODE mchn'!$A$4:$C$170,2,0))</f>
        <v>Béton</v>
      </c>
      <c r="D1098" s="36" t="str">
        <f>IF(ISNA(VLOOKUP(Tableau13[[#This Row],[Code machine]],'CODE mchn'!$A$4:$C$170,3,0)),"",VLOOKUP(Tableau13[[#This Row],[Code machine]],'CODE mchn'!$A$4:$C$170,3,0))</f>
        <v>Poyatos 1</v>
      </c>
      <c r="E1098" s="105"/>
      <c r="F1098" s="40"/>
      <c r="G1098" s="40" t="s">
        <v>1972</v>
      </c>
      <c r="H1098" s="40" t="s">
        <v>1973</v>
      </c>
      <c r="I1098" s="40" t="s">
        <v>13</v>
      </c>
      <c r="J1098" s="189" t="s">
        <v>1974</v>
      </c>
      <c r="K1098" s="190">
        <v>44170</v>
      </c>
      <c r="L1098" s="40"/>
      <c r="M1098" s="191">
        <v>30</v>
      </c>
      <c r="N1098" s="192">
        <f>MONTH(Tableau13[[#This Row],[Date fin intervention]])</f>
        <v>12</v>
      </c>
      <c r="O1098" s="192">
        <f>YEAR(Tableau13[[#This Row],[Date fin intervention]])</f>
        <v>2020</v>
      </c>
      <c r="P1098" s="40"/>
    </row>
    <row r="1099" spans="1:16">
      <c r="A1099" s="187">
        <v>44170</v>
      </c>
      <c r="B1099" s="188">
        <v>700</v>
      </c>
      <c r="C1099" s="189" t="str">
        <f>IF(ISNA(VLOOKUP(Tableau13[[#This Row],[Code machine]],'CODE mchn'!$A$4:$C$170,2,0)),"",VLOOKUP(Tableau13[[#This Row],[Code machine]],'CODE mchn'!$A$4:$C$170,2,0))</f>
        <v>Béton</v>
      </c>
      <c r="D1099" s="36" t="str">
        <f>IF(ISNA(VLOOKUP(Tableau13[[#This Row],[Code machine]],'CODE mchn'!$A$4:$C$170,3,0)),"",VLOOKUP(Tableau13[[#This Row],[Code machine]],'CODE mchn'!$A$4:$C$170,3,0))</f>
        <v>Poyatos 1</v>
      </c>
      <c r="E1099" s="105"/>
      <c r="F1099" s="40"/>
      <c r="G1099" s="40" t="s">
        <v>43</v>
      </c>
      <c r="H1099" s="40" t="s">
        <v>1975</v>
      </c>
      <c r="I1099" s="40" t="s">
        <v>13</v>
      </c>
      <c r="J1099" s="189" t="s">
        <v>1488</v>
      </c>
      <c r="K1099" s="190">
        <v>44170</v>
      </c>
      <c r="L1099" s="40"/>
      <c r="M1099" s="191">
        <v>30</v>
      </c>
      <c r="N1099" s="192">
        <f>MONTH(Tableau13[[#This Row],[Date fin intervention]])</f>
        <v>12</v>
      </c>
      <c r="O1099" s="192">
        <f>YEAR(Tableau13[[#This Row],[Date fin intervention]])</f>
        <v>2020</v>
      </c>
      <c r="P1099" s="40"/>
    </row>
    <row r="1100" spans="1:16">
      <c r="A1100" s="187">
        <v>44173</v>
      </c>
      <c r="B1100" s="188">
        <v>560</v>
      </c>
      <c r="C1100" s="189" t="str">
        <f>IF(ISNA(VLOOKUP(Tableau13[[#This Row],[Code machine]],'CODE mchn'!$A$4:$C$170,2,0)),"",VLOOKUP(Tableau13[[#This Row],[Code machine]],'CODE mchn'!$A$4:$C$170,2,0))</f>
        <v>Acier</v>
      </c>
      <c r="D1100" s="36" t="str">
        <f>IF(ISNA(VLOOKUP(Tableau13[[#This Row],[Code machine]],'CODE mchn'!$A$4:$C$170,3,0)),"",VLOOKUP(Tableau13[[#This Row],[Code machine]],'CODE mchn'!$A$4:$C$170,3,0))</f>
        <v>Schlatter</v>
      </c>
      <c r="E1100" s="105"/>
      <c r="F1100" s="40"/>
      <c r="G1100" s="40" t="s">
        <v>145</v>
      </c>
      <c r="H1100" s="40" t="s">
        <v>1949</v>
      </c>
      <c r="I1100" s="40" t="s">
        <v>13</v>
      </c>
      <c r="J1100" s="189" t="s">
        <v>1950</v>
      </c>
      <c r="K1100" s="190">
        <v>44173</v>
      </c>
      <c r="L1100" s="40"/>
      <c r="M1100" s="191">
        <v>30</v>
      </c>
      <c r="N1100" s="192">
        <f>MONTH(Tableau13[[#This Row],[Date fin intervention]])</f>
        <v>12</v>
      </c>
      <c r="O1100" s="192">
        <f>YEAR(Tableau13[[#This Row],[Date fin intervention]])</f>
        <v>2020</v>
      </c>
      <c r="P1100" s="40"/>
    </row>
    <row r="1101" spans="1:16">
      <c r="A1101" s="187">
        <v>44173</v>
      </c>
      <c r="B1101" s="188">
        <v>570</v>
      </c>
      <c r="C1101" s="189" t="str">
        <f>IF(ISNA(VLOOKUP(Tableau13[[#This Row],[Code machine]],'CODE mchn'!$A$4:$C$170,2,0)),"",VLOOKUP(Tableau13[[#This Row],[Code machine]],'CODE mchn'!$A$4:$C$170,2,0))</f>
        <v>Acier</v>
      </c>
      <c r="D1101" s="36" t="str">
        <f>IF(ISNA(VLOOKUP(Tableau13[[#This Row],[Code machine]],'CODE mchn'!$A$4:$C$170,3,0)),"",VLOOKUP(Tableau13[[#This Row],[Code machine]],'CODE mchn'!$A$4:$C$170,3,0))</f>
        <v>Sigmatic</v>
      </c>
      <c r="E1101" s="105"/>
      <c r="F1101" s="40"/>
      <c r="G1101" s="40" t="s">
        <v>136</v>
      </c>
      <c r="H1101" s="40" t="s">
        <v>776</v>
      </c>
      <c r="I1101" s="40" t="s">
        <v>13</v>
      </c>
      <c r="J1101" s="189" t="s">
        <v>1951</v>
      </c>
      <c r="K1101" s="190">
        <v>44173</v>
      </c>
      <c r="L1101" s="40"/>
      <c r="M1101" s="191">
        <v>20</v>
      </c>
      <c r="N1101" s="192">
        <f>MONTH(Tableau13[[#This Row],[Date fin intervention]])</f>
        <v>12</v>
      </c>
      <c r="O1101" s="192">
        <f>YEAR(Tableau13[[#This Row],[Date fin intervention]])</f>
        <v>2020</v>
      </c>
      <c r="P1101" s="40"/>
    </row>
    <row r="1102" spans="1:16" ht="42.75">
      <c r="A1102" s="187">
        <v>44173</v>
      </c>
      <c r="B1102" s="188">
        <v>582</v>
      </c>
      <c r="C1102" s="189" t="str">
        <f>IF(ISNA(VLOOKUP(Tableau13[[#This Row],[Code machine]],'CODE mchn'!$A$4:$C$170,2,0)),"",VLOOKUP(Tableau13[[#This Row],[Code machine]],'CODE mchn'!$A$4:$C$170,2,0))</f>
        <v>Acier</v>
      </c>
      <c r="D1102" s="36" t="str">
        <f>IF(ISNA(VLOOKUP(Tableau13[[#This Row],[Code machine]],'CODE mchn'!$A$4:$C$170,3,0)),"",VLOOKUP(Tableau13[[#This Row],[Code machine]],'CODE mchn'!$A$4:$C$170,3,0))</f>
        <v>Teurema 2</v>
      </c>
      <c r="E1102" s="105"/>
      <c r="F1102" s="40"/>
      <c r="G1102" s="40" t="s">
        <v>70</v>
      </c>
      <c r="H1102" s="40" t="s">
        <v>1952</v>
      </c>
      <c r="I1102" s="40" t="s">
        <v>13</v>
      </c>
      <c r="J1102" s="189" t="s">
        <v>1953</v>
      </c>
      <c r="K1102" s="190">
        <v>44176</v>
      </c>
      <c r="L1102" s="40"/>
      <c r="M1102" s="191" t="s">
        <v>2259</v>
      </c>
      <c r="N1102" s="192">
        <f>MONTH(Tableau13[[#This Row],[Date fin intervention]])</f>
        <v>12</v>
      </c>
      <c r="O1102" s="192">
        <f>YEAR(Tableau13[[#This Row],[Date fin intervention]])</f>
        <v>2020</v>
      </c>
      <c r="P1102" s="40"/>
    </row>
    <row r="1103" spans="1:16">
      <c r="A1103" s="187">
        <v>44174</v>
      </c>
      <c r="B1103" s="188">
        <v>571</v>
      </c>
      <c r="C1103" s="189" t="str">
        <f>IF(ISNA(VLOOKUP(Tableau13[[#This Row],[Code machine]],'CODE mchn'!$A$4:$C$170,2,0)),"",VLOOKUP(Tableau13[[#This Row],[Code machine]],'CODE mchn'!$A$4:$C$170,2,0))</f>
        <v>Acier</v>
      </c>
      <c r="D1103" s="36" t="str">
        <f>IF(ISNA(VLOOKUP(Tableau13[[#This Row],[Code machine]],'CODE mchn'!$A$4:$C$170,3,0)),"",VLOOKUP(Tableau13[[#This Row],[Code machine]],'CODE mchn'!$A$4:$C$170,3,0))</f>
        <v>EVG PN 1</v>
      </c>
      <c r="E1103" s="105"/>
      <c r="F1103" s="40"/>
      <c r="G1103" s="40" t="s">
        <v>726</v>
      </c>
      <c r="H1103" s="40" t="s">
        <v>1954</v>
      </c>
      <c r="I1103" s="40" t="s">
        <v>13</v>
      </c>
      <c r="J1103" s="189" t="s">
        <v>1266</v>
      </c>
      <c r="K1103" s="190">
        <v>44174</v>
      </c>
      <c r="L1103" s="40"/>
      <c r="M1103" s="191">
        <v>45</v>
      </c>
      <c r="N1103" s="192">
        <f>MONTH(Tableau13[[#This Row],[Date fin intervention]])</f>
        <v>12</v>
      </c>
      <c r="O1103" s="192">
        <f>YEAR(Tableau13[[#This Row],[Date fin intervention]])</f>
        <v>2020</v>
      </c>
      <c r="P1103" s="40"/>
    </row>
    <row r="1104" spans="1:16">
      <c r="A1104" s="187">
        <v>44174</v>
      </c>
      <c r="B1104" s="188">
        <v>581</v>
      </c>
      <c r="C1104" s="189" t="str">
        <f>IF(ISNA(VLOOKUP(Tableau13[[#This Row],[Code machine]],'CODE mchn'!$A$4:$C$170,2,0)),"",VLOOKUP(Tableau13[[#This Row],[Code machine]],'CODE mchn'!$A$4:$C$170,2,0))</f>
        <v>Acier</v>
      </c>
      <c r="D1104" s="36" t="str">
        <f>IF(ISNA(VLOOKUP(Tableau13[[#This Row],[Code machine]],'CODE mchn'!$A$4:$C$170,3,0)),"",VLOOKUP(Tableau13[[#This Row],[Code machine]],'CODE mchn'!$A$4:$C$170,3,0))</f>
        <v>Teurema 1</v>
      </c>
      <c r="E1104" s="105"/>
      <c r="F1104" s="40"/>
      <c r="G1104" s="40" t="s">
        <v>49</v>
      </c>
      <c r="H1104" s="40" t="s">
        <v>1119</v>
      </c>
      <c r="I1104" s="40" t="s">
        <v>13</v>
      </c>
      <c r="J1104" s="189" t="s">
        <v>549</v>
      </c>
      <c r="K1104" s="190">
        <v>44174</v>
      </c>
      <c r="L1104" s="40"/>
      <c r="M1104" s="191">
        <v>30</v>
      </c>
      <c r="N1104" s="192">
        <f>MONTH(Tableau13[[#This Row],[Date fin intervention]])</f>
        <v>12</v>
      </c>
      <c r="O1104" s="192">
        <f>YEAR(Tableau13[[#This Row],[Date fin intervention]])</f>
        <v>2020</v>
      </c>
      <c r="P1104" s="40"/>
    </row>
    <row r="1105" spans="1:16">
      <c r="A1105" s="187">
        <v>44174</v>
      </c>
      <c r="B1105" s="188">
        <v>620</v>
      </c>
      <c r="C1105" s="189" t="str">
        <f>IF(ISNA(VLOOKUP(Tableau13[[#This Row],[Code machine]],'CODE mchn'!$A$4:$C$170,2,0)),"",VLOOKUP(Tableau13[[#This Row],[Code machine]],'CODE mchn'!$A$4:$C$170,2,0))</f>
        <v>Acier</v>
      </c>
      <c r="D1105" s="36" t="str">
        <f>IF(ISNA(VLOOKUP(Tableau13[[#This Row],[Code machine]],'CODE mchn'!$A$4:$C$170,3,0)),"",VLOOKUP(Tableau13[[#This Row],[Code machine]],'CODE mchn'!$A$4:$C$170,3,0))</f>
        <v>EVG PN 2</v>
      </c>
      <c r="E1105" s="105"/>
      <c r="F1105" s="40"/>
      <c r="G1105" s="40" t="s">
        <v>20</v>
      </c>
      <c r="H1105" s="40" t="s">
        <v>1944</v>
      </c>
      <c r="I1105" s="40" t="s">
        <v>13</v>
      </c>
      <c r="J1105" s="189" t="s">
        <v>21</v>
      </c>
      <c r="K1105" s="190">
        <v>44174</v>
      </c>
      <c r="L1105" s="40"/>
      <c r="M1105" s="191">
        <v>15</v>
      </c>
      <c r="N1105" s="192">
        <f>MONTH(Tableau13[[#This Row],[Date fin intervention]])</f>
        <v>12</v>
      </c>
      <c r="O1105" s="192">
        <f>YEAR(Tableau13[[#This Row],[Date fin intervention]])</f>
        <v>2020</v>
      </c>
      <c r="P1105" s="40"/>
    </row>
    <row r="1106" spans="1:16">
      <c r="A1106" s="187">
        <v>44174</v>
      </c>
      <c r="B1106" s="188">
        <v>700</v>
      </c>
      <c r="C1106" s="189" t="str">
        <f>IF(ISNA(VLOOKUP(Tableau13[[#This Row],[Code machine]],'CODE mchn'!$A$4:$C$170,2,0)),"",VLOOKUP(Tableau13[[#This Row],[Code machine]],'CODE mchn'!$A$4:$C$170,2,0))</f>
        <v>Béton</v>
      </c>
      <c r="D1106" s="36" t="str">
        <f>IF(ISNA(VLOOKUP(Tableau13[[#This Row],[Code machine]],'CODE mchn'!$A$4:$C$170,3,0)),"",VLOOKUP(Tableau13[[#This Row],[Code machine]],'CODE mchn'!$A$4:$C$170,3,0))</f>
        <v>Poyatos 1</v>
      </c>
      <c r="E1106" s="105"/>
      <c r="F1106" s="40"/>
      <c r="G1106" s="40" t="s">
        <v>1976</v>
      </c>
      <c r="H1106" s="40" t="s">
        <v>1710</v>
      </c>
      <c r="I1106" s="40" t="s">
        <v>13</v>
      </c>
      <c r="J1106" s="189" t="s">
        <v>1977</v>
      </c>
      <c r="K1106" s="190">
        <v>44174</v>
      </c>
      <c r="L1106" s="40"/>
      <c r="M1106" s="191">
        <v>30</v>
      </c>
      <c r="N1106" s="192">
        <f>MONTH(Tableau13[[#This Row],[Date fin intervention]])</f>
        <v>12</v>
      </c>
      <c r="O1106" s="192">
        <f>YEAR(Tableau13[[#This Row],[Date fin intervention]])</f>
        <v>2020</v>
      </c>
      <c r="P1106" s="40"/>
    </row>
    <row r="1107" spans="1:16">
      <c r="A1107" s="187">
        <v>44174</v>
      </c>
      <c r="B1107" s="188">
        <v>700</v>
      </c>
      <c r="C1107" s="189" t="str">
        <f>IF(ISNA(VLOOKUP(Tableau13[[#This Row],[Code machine]],'CODE mchn'!$A$4:$C$170,2,0)),"",VLOOKUP(Tableau13[[#This Row],[Code machine]],'CODE mchn'!$A$4:$C$170,2,0))</f>
        <v>Béton</v>
      </c>
      <c r="D1107" s="36" t="str">
        <f>IF(ISNA(VLOOKUP(Tableau13[[#This Row],[Code machine]],'CODE mchn'!$A$4:$C$170,3,0)),"",VLOOKUP(Tableau13[[#This Row],[Code machine]],'CODE mchn'!$A$4:$C$170,3,0))</f>
        <v>Poyatos 1</v>
      </c>
      <c r="E1107" s="105"/>
      <c r="F1107" s="40"/>
      <c r="G1107" s="40" t="s">
        <v>1132</v>
      </c>
      <c r="H1107" s="40" t="s">
        <v>1117</v>
      </c>
      <c r="I1107" s="40" t="s">
        <v>13</v>
      </c>
      <c r="J1107" s="189" t="s">
        <v>1978</v>
      </c>
      <c r="K1107" s="190">
        <v>44174</v>
      </c>
      <c r="L1107" s="40"/>
      <c r="M1107" s="191">
        <v>30</v>
      </c>
      <c r="N1107" s="192">
        <f>MONTH(Tableau13[[#This Row],[Date fin intervention]])</f>
        <v>12</v>
      </c>
      <c r="O1107" s="192">
        <f>YEAR(Tableau13[[#This Row],[Date fin intervention]])</f>
        <v>2020</v>
      </c>
      <c r="P1107" s="40"/>
    </row>
    <row r="1108" spans="1:16">
      <c r="A1108" s="187">
        <v>44175</v>
      </c>
      <c r="B1108" s="188">
        <v>700</v>
      </c>
      <c r="C1108" s="189" t="str">
        <f>IF(ISNA(VLOOKUP(Tableau13[[#This Row],[Code machine]],'CODE mchn'!$A$4:$C$170,2,0)),"",VLOOKUP(Tableau13[[#This Row],[Code machine]],'CODE mchn'!$A$4:$C$170,2,0))</f>
        <v>Béton</v>
      </c>
      <c r="D1108" s="36" t="str">
        <f>IF(ISNA(VLOOKUP(Tableau13[[#This Row],[Code machine]],'CODE mchn'!$A$4:$C$170,3,0)),"",VLOOKUP(Tableau13[[#This Row],[Code machine]],'CODE mchn'!$A$4:$C$170,3,0))</f>
        <v>Poyatos 1</v>
      </c>
      <c r="E1108" s="105"/>
      <c r="F1108" s="40"/>
      <c r="G1108" s="40" t="s">
        <v>289</v>
      </c>
      <c r="H1108" s="40" t="s">
        <v>1037</v>
      </c>
      <c r="I1108" s="40" t="s">
        <v>13</v>
      </c>
      <c r="J1108" s="189" t="s">
        <v>1979</v>
      </c>
      <c r="K1108" s="190">
        <v>44175</v>
      </c>
      <c r="L1108" s="40"/>
      <c r="M1108" s="191">
        <v>30</v>
      </c>
      <c r="N1108" s="192">
        <f>MONTH(Tableau13[[#This Row],[Date fin intervention]])</f>
        <v>12</v>
      </c>
      <c r="O1108" s="192">
        <f>YEAR(Tableau13[[#This Row],[Date fin intervention]])</f>
        <v>2020</v>
      </c>
      <c r="P1108" s="40"/>
    </row>
    <row r="1109" spans="1:16">
      <c r="A1109" s="187">
        <v>44176</v>
      </c>
      <c r="B1109" s="188">
        <v>800</v>
      </c>
      <c r="C1109" s="189" t="str">
        <f>IF(ISNA(VLOOKUP(Tableau13[[#This Row],[Code machine]],'CODE mchn'!$A$4:$C$170,2,0)),"",VLOOKUP(Tableau13[[#This Row],[Code machine]],'CODE mchn'!$A$4:$C$170,2,0))</f>
        <v>Béton</v>
      </c>
      <c r="D1109" s="36" t="str">
        <f>IF(ISNA(VLOOKUP(Tableau13[[#This Row],[Code machine]],'CODE mchn'!$A$4:$C$170,3,0)),"",VLOOKUP(Tableau13[[#This Row],[Code machine]],'CODE mchn'!$A$4:$C$170,3,0))</f>
        <v>Poyatos 2</v>
      </c>
      <c r="E1109" s="105"/>
      <c r="F1109" s="40"/>
      <c r="G1109" s="40" t="s">
        <v>289</v>
      </c>
      <c r="H1109" s="40" t="s">
        <v>1725</v>
      </c>
      <c r="I1109" s="40" t="s">
        <v>13</v>
      </c>
      <c r="J1109" s="189" t="s">
        <v>1980</v>
      </c>
      <c r="K1109" s="190">
        <v>44176</v>
      </c>
      <c r="L1109" s="40"/>
      <c r="M1109" s="191">
        <v>1</v>
      </c>
      <c r="N1109" s="192">
        <f>MONTH(Tableau13[[#This Row],[Date fin intervention]])</f>
        <v>12</v>
      </c>
      <c r="O1109" s="192">
        <f>YEAR(Tableau13[[#This Row],[Date fin intervention]])</f>
        <v>2020</v>
      </c>
      <c r="P1109" s="40"/>
    </row>
    <row r="1110" spans="1:16">
      <c r="A1110" s="187">
        <v>44177</v>
      </c>
      <c r="B1110" s="188">
        <v>560</v>
      </c>
      <c r="C1110" s="189" t="str">
        <f>IF(ISNA(VLOOKUP(Tableau13[[#This Row],[Code machine]],'CODE mchn'!$A$4:$C$170,2,0)),"",VLOOKUP(Tableau13[[#This Row],[Code machine]],'CODE mchn'!$A$4:$C$170,2,0))</f>
        <v>Acier</v>
      </c>
      <c r="D1110" s="36" t="str">
        <f>IF(ISNA(VLOOKUP(Tableau13[[#This Row],[Code machine]],'CODE mchn'!$A$4:$C$170,3,0)),"",VLOOKUP(Tableau13[[#This Row],[Code machine]],'CODE mchn'!$A$4:$C$170,3,0))</f>
        <v>Schlatter</v>
      </c>
      <c r="E1110" s="105"/>
      <c r="F1110" s="40"/>
      <c r="G1110" s="40" t="s">
        <v>726</v>
      </c>
      <c r="H1110" s="40" t="s">
        <v>1955</v>
      </c>
      <c r="I1110" s="40" t="s">
        <v>13</v>
      </c>
      <c r="J1110" s="189" t="s">
        <v>1956</v>
      </c>
      <c r="K1110" s="190">
        <v>44177</v>
      </c>
      <c r="L1110" s="40"/>
      <c r="M1110" s="191">
        <v>15</v>
      </c>
      <c r="N1110" s="192">
        <f>MONTH(Tableau13[[#This Row],[Date fin intervention]])</f>
        <v>12</v>
      </c>
      <c r="O1110" s="192">
        <f>YEAR(Tableau13[[#This Row],[Date fin intervention]])</f>
        <v>2020</v>
      </c>
      <c r="P1110" s="40"/>
    </row>
    <row r="1111" spans="1:16">
      <c r="A1111" s="187">
        <v>44177</v>
      </c>
      <c r="B1111" s="188">
        <v>580</v>
      </c>
      <c r="C1111" s="189" t="str">
        <f>IF(ISNA(VLOOKUP(Tableau13[[#This Row],[Code machine]],'CODE mchn'!$A$4:$C$170,2,0)),"",VLOOKUP(Tableau13[[#This Row],[Code machine]],'CODE mchn'!$A$4:$C$170,2,0))</f>
        <v>Acier</v>
      </c>
      <c r="D1111" s="36" t="str">
        <f>IF(ISNA(VLOOKUP(Tableau13[[#This Row],[Code machine]],'CODE mchn'!$A$4:$C$170,3,0)),"",VLOOKUP(Tableau13[[#This Row],[Code machine]],'CODE mchn'!$A$4:$C$170,3,0))</f>
        <v>Techno Impiante</v>
      </c>
      <c r="E1111" s="105"/>
      <c r="F1111" s="40"/>
      <c r="G1111" s="40" t="s">
        <v>612</v>
      </c>
      <c r="H1111" s="40" t="s">
        <v>686</v>
      </c>
      <c r="I1111" s="40" t="s">
        <v>13</v>
      </c>
      <c r="J1111" s="189" t="s">
        <v>1957</v>
      </c>
      <c r="K1111" s="190">
        <v>44177</v>
      </c>
      <c r="L1111" s="40"/>
      <c r="M1111" s="191">
        <v>3</v>
      </c>
      <c r="N1111" s="192">
        <f>MONTH(Tableau13[[#This Row],[Date fin intervention]])</f>
        <v>12</v>
      </c>
      <c r="O1111" s="192">
        <f>YEAR(Tableau13[[#This Row],[Date fin intervention]])</f>
        <v>2020</v>
      </c>
      <c r="P1111" s="40"/>
    </row>
    <row r="1112" spans="1:16">
      <c r="A1112" s="187">
        <v>44177</v>
      </c>
      <c r="B1112" s="188">
        <v>800</v>
      </c>
      <c r="C1112" s="189" t="str">
        <f>IF(ISNA(VLOOKUP(Tableau13[[#This Row],[Code machine]],'CODE mchn'!$A$4:$C$170,2,0)),"",VLOOKUP(Tableau13[[#This Row],[Code machine]],'CODE mchn'!$A$4:$C$170,2,0))</f>
        <v>Béton</v>
      </c>
      <c r="D1112" s="36" t="str">
        <f>IF(ISNA(VLOOKUP(Tableau13[[#This Row],[Code machine]],'CODE mchn'!$A$4:$C$170,3,0)),"",VLOOKUP(Tableau13[[#This Row],[Code machine]],'CODE mchn'!$A$4:$C$170,3,0))</f>
        <v>Poyatos 2</v>
      </c>
      <c r="E1112" s="105"/>
      <c r="F1112" s="40"/>
      <c r="G1112" s="40" t="s">
        <v>128</v>
      </c>
      <c r="H1112" s="40" t="s">
        <v>1981</v>
      </c>
      <c r="I1112" s="40" t="s">
        <v>13</v>
      </c>
      <c r="J1112" s="189" t="s">
        <v>1982</v>
      </c>
      <c r="K1112" s="190">
        <v>44177</v>
      </c>
      <c r="L1112" s="40"/>
      <c r="M1112" s="191">
        <v>30</v>
      </c>
      <c r="N1112" s="192">
        <f>MONTH(Tableau13[[#This Row],[Date fin intervention]])</f>
        <v>12</v>
      </c>
      <c r="O1112" s="192">
        <f>YEAR(Tableau13[[#This Row],[Date fin intervention]])</f>
        <v>2020</v>
      </c>
      <c r="P1112" s="40"/>
    </row>
    <row r="1113" spans="1:16">
      <c r="A1113" s="187">
        <v>44177</v>
      </c>
      <c r="B1113" s="188">
        <v>533</v>
      </c>
      <c r="C1113" s="189" t="str">
        <f>IF(ISNA(VLOOKUP(Tableau13[[#This Row],[Code machine]],'CODE mchn'!$A$4:$C$170,2,0)),"",VLOOKUP(Tableau13[[#This Row],[Code machine]],'CODE mchn'!$A$4:$C$170,2,0))</f>
        <v>Enrobage</v>
      </c>
      <c r="D1113" s="36" t="str">
        <f>IF(ISNA(VLOOKUP(Tableau13[[#This Row],[Code machine]],'CODE mchn'!$A$4:$C$170,3,0)),"",VLOOKUP(Tableau13[[#This Row],[Code machine]],'CODE mchn'!$A$4:$C$170,3,0))</f>
        <v>CAROSSEL</v>
      </c>
      <c r="E1113" s="105"/>
      <c r="F1113" s="40"/>
      <c r="G1113" s="40" t="s">
        <v>23</v>
      </c>
      <c r="H1113" s="40" t="s">
        <v>773</v>
      </c>
      <c r="I1113" s="40" t="s">
        <v>13</v>
      </c>
      <c r="J1113" s="189" t="s">
        <v>1983</v>
      </c>
      <c r="K1113" s="190">
        <v>44177</v>
      </c>
      <c r="L1113" s="40"/>
      <c r="M1113" s="191">
        <v>15</v>
      </c>
      <c r="N1113" s="192">
        <f>MONTH(Tableau13[[#This Row],[Date fin intervention]])</f>
        <v>12</v>
      </c>
      <c r="O1113" s="192">
        <f>YEAR(Tableau13[[#This Row],[Date fin intervention]])</f>
        <v>2020</v>
      </c>
      <c r="P1113" s="40"/>
    </row>
    <row r="1114" spans="1:16">
      <c r="A1114" s="187">
        <v>44179</v>
      </c>
      <c r="B1114" s="188">
        <v>606</v>
      </c>
      <c r="C1114" s="189" t="str">
        <f>IF(ISNA(VLOOKUP(Tableau13[[#This Row],[Code machine]],'CODE mchn'!$A$4:$C$170,2,0)),"",VLOOKUP(Tableau13[[#This Row],[Code machine]],'CODE mchn'!$A$4:$C$170,2,0))</f>
        <v>Acier</v>
      </c>
      <c r="D1114" s="36" t="str">
        <f>IF(ISNA(VLOOKUP(Tableau13[[#This Row],[Code machine]],'CODE mchn'!$A$4:$C$170,3,0)),"",VLOOKUP(Tableau13[[#This Row],[Code machine]],'CODE mchn'!$A$4:$C$170,3,0))</f>
        <v>Vitari 2</v>
      </c>
      <c r="E1114" s="105"/>
      <c r="F1114" s="40"/>
      <c r="G1114" s="40" t="s">
        <v>664</v>
      </c>
      <c r="H1114" s="40" t="s">
        <v>1330</v>
      </c>
      <c r="I1114" s="40" t="s">
        <v>13</v>
      </c>
      <c r="J1114" s="189" t="s">
        <v>1958</v>
      </c>
      <c r="K1114" s="190">
        <v>44179</v>
      </c>
      <c r="L1114" s="40"/>
      <c r="M1114" s="191">
        <v>1</v>
      </c>
      <c r="N1114" s="192">
        <f>MONTH(Tableau13[[#This Row],[Date fin intervention]])</f>
        <v>12</v>
      </c>
      <c r="O1114" s="192">
        <f>YEAR(Tableau13[[#This Row],[Date fin intervention]])</f>
        <v>2020</v>
      </c>
      <c r="P1114" s="40"/>
    </row>
    <row r="1115" spans="1:16">
      <c r="A1115" s="187">
        <v>44179</v>
      </c>
      <c r="B1115" s="188">
        <v>452</v>
      </c>
      <c r="C1115" s="189" t="str">
        <f>IF(ISNA(VLOOKUP(Tableau13[[#This Row],[Code machine]],'CODE mchn'!$A$4:$C$170,2,0)),"",VLOOKUP(Tableau13[[#This Row],[Code machine]],'CODE mchn'!$A$4:$C$170,2,0))</f>
        <v>Compresseurs</v>
      </c>
      <c r="D1115" s="36" t="str">
        <f>IF(ISNA(VLOOKUP(Tableau13[[#This Row],[Code machine]],'CODE mchn'!$A$4:$C$170,3,0)),"",VLOOKUP(Tableau13[[#This Row],[Code machine]],'CODE mchn'!$A$4:$C$170,3,0))</f>
        <v>GA 55 (evg)</v>
      </c>
      <c r="E1115" s="105"/>
      <c r="F1115" s="40"/>
      <c r="G1115" s="40" t="s">
        <v>1959</v>
      </c>
      <c r="H1115" s="40" t="s">
        <v>1521</v>
      </c>
      <c r="I1115" s="40" t="s">
        <v>13</v>
      </c>
      <c r="J1115" s="189" t="s">
        <v>1960</v>
      </c>
      <c r="K1115" s="190">
        <v>44179</v>
      </c>
      <c r="L1115" s="40"/>
      <c r="M1115" s="191">
        <v>45</v>
      </c>
      <c r="N1115" s="192">
        <f>MONTH(Tableau13[[#This Row],[Date fin intervention]])</f>
        <v>12</v>
      </c>
      <c r="O1115" s="192">
        <f>YEAR(Tableau13[[#This Row],[Date fin intervention]])</f>
        <v>2020</v>
      </c>
      <c r="P1115" s="40"/>
    </row>
    <row r="1116" spans="1:16">
      <c r="A1116" s="187">
        <v>44179</v>
      </c>
      <c r="B1116" s="188">
        <v>800</v>
      </c>
      <c r="C1116" s="189" t="str">
        <f>IF(ISNA(VLOOKUP(Tableau13[[#This Row],[Code machine]],'CODE mchn'!$A$4:$C$170,2,0)),"",VLOOKUP(Tableau13[[#This Row],[Code machine]],'CODE mchn'!$A$4:$C$170,2,0))</f>
        <v>Béton</v>
      </c>
      <c r="D1116" s="36" t="str">
        <f>IF(ISNA(VLOOKUP(Tableau13[[#This Row],[Code machine]],'CODE mchn'!$A$4:$C$170,3,0)),"",VLOOKUP(Tableau13[[#This Row],[Code machine]],'CODE mchn'!$A$4:$C$170,3,0))</f>
        <v>Poyatos 2</v>
      </c>
      <c r="E1116" s="105"/>
      <c r="F1116" s="40"/>
      <c r="G1116" s="40" t="s">
        <v>128</v>
      </c>
      <c r="H1116" s="40" t="s">
        <v>931</v>
      </c>
      <c r="I1116" s="40" t="s">
        <v>13</v>
      </c>
      <c r="J1116" s="189" t="s">
        <v>1984</v>
      </c>
      <c r="K1116" s="190">
        <v>44179</v>
      </c>
      <c r="L1116" s="40"/>
      <c r="M1116" s="191">
        <v>30</v>
      </c>
      <c r="N1116" s="192">
        <f>MONTH(Tableau13[[#This Row],[Date fin intervention]])</f>
        <v>12</v>
      </c>
      <c r="O1116" s="192">
        <f>YEAR(Tableau13[[#This Row],[Date fin intervention]])</f>
        <v>2020</v>
      </c>
      <c r="P1116" s="40"/>
    </row>
    <row r="1117" spans="1:16" ht="28.5">
      <c r="A1117" s="187">
        <v>44180</v>
      </c>
      <c r="B1117" s="188">
        <v>583</v>
      </c>
      <c r="C1117" s="189" t="str">
        <f>IF(ISNA(VLOOKUP(Tableau13[[#This Row],[Code machine]],'CODE mchn'!$A$4:$C$170,2,0)),"",VLOOKUP(Tableau13[[#This Row],[Code machine]],'CODE mchn'!$A$4:$C$170,2,0))</f>
        <v>Ponts roulants</v>
      </c>
      <c r="D1117" s="36" t="str">
        <f>IF(ISNA(VLOOKUP(Tableau13[[#This Row],[Code machine]],'CODE mchn'!$A$4:$C$170,3,0)),"",VLOOKUP(Tableau13[[#This Row],[Code machine]],'CODE mchn'!$A$4:$C$170,3,0))</f>
        <v>Pont roulant Abus 5T (teurema1)</v>
      </c>
      <c r="E1117" s="105"/>
      <c r="F1117" s="40"/>
      <c r="G1117" s="40" t="s">
        <v>35</v>
      </c>
      <c r="H1117" s="40" t="s">
        <v>1891</v>
      </c>
      <c r="I1117" s="40" t="s">
        <v>13</v>
      </c>
      <c r="J1117" s="189" t="s">
        <v>1177</v>
      </c>
      <c r="K1117" s="190">
        <v>44180</v>
      </c>
      <c r="L1117" s="40"/>
      <c r="M1117" s="191">
        <v>1</v>
      </c>
      <c r="N1117" s="192">
        <f>MONTH(Tableau13[[#This Row],[Date fin intervention]])</f>
        <v>12</v>
      </c>
      <c r="O1117" s="192">
        <f>YEAR(Tableau13[[#This Row],[Date fin intervention]])</f>
        <v>2020</v>
      </c>
      <c r="P1117" s="40"/>
    </row>
    <row r="1118" spans="1:16">
      <c r="A1118" s="187">
        <v>44180</v>
      </c>
      <c r="B1118" s="188">
        <v>565</v>
      </c>
      <c r="C1118" s="189" t="str">
        <f>IF(ISNA(VLOOKUP(Tableau13[[#This Row],[Code machine]],'CODE mchn'!$A$4:$C$170,2,0)),"",VLOOKUP(Tableau13[[#This Row],[Code machine]],'CODE mchn'!$A$4:$C$170,2,0))</f>
        <v>Acier</v>
      </c>
      <c r="D1118" s="36" t="str">
        <f>IF(ISNA(VLOOKUP(Tableau13[[#This Row],[Code machine]],'CODE mchn'!$A$4:$C$170,3,0)),"",VLOOKUP(Tableau13[[#This Row],[Code machine]],'CODE mchn'!$A$4:$C$170,3,0))</f>
        <v>EVG GE12</v>
      </c>
      <c r="E1118" s="105"/>
      <c r="F1118" s="40"/>
      <c r="G1118" s="40" t="s">
        <v>1961</v>
      </c>
      <c r="H1118" s="40" t="s">
        <v>1944</v>
      </c>
      <c r="I1118" s="40" t="s">
        <v>13</v>
      </c>
      <c r="J1118" s="189" t="s">
        <v>1177</v>
      </c>
      <c r="K1118" s="190">
        <v>44180</v>
      </c>
      <c r="L1118" s="40"/>
      <c r="M1118" s="191">
        <v>3</v>
      </c>
      <c r="N1118" s="192">
        <f>MONTH(Tableau13[[#This Row],[Date fin intervention]])</f>
        <v>12</v>
      </c>
      <c r="O1118" s="192">
        <f>YEAR(Tableau13[[#This Row],[Date fin intervention]])</f>
        <v>2020</v>
      </c>
      <c r="P1118" s="40"/>
    </row>
    <row r="1119" spans="1:16">
      <c r="A1119" s="187">
        <v>44180</v>
      </c>
      <c r="B1119" s="188">
        <v>800</v>
      </c>
      <c r="C1119" s="189" t="str">
        <f>IF(ISNA(VLOOKUP(Tableau13[[#This Row],[Code machine]],'CODE mchn'!$A$4:$C$170,2,0)),"",VLOOKUP(Tableau13[[#This Row],[Code machine]],'CODE mchn'!$A$4:$C$170,2,0))</f>
        <v>Béton</v>
      </c>
      <c r="D1119" s="36" t="str">
        <f>IF(ISNA(VLOOKUP(Tableau13[[#This Row],[Code machine]],'CODE mchn'!$A$4:$C$170,3,0)),"",VLOOKUP(Tableau13[[#This Row],[Code machine]],'CODE mchn'!$A$4:$C$170,3,0))</f>
        <v>Poyatos 2</v>
      </c>
      <c r="E1119" s="105"/>
      <c r="F1119" s="40"/>
      <c r="G1119" s="40" t="s">
        <v>110</v>
      </c>
      <c r="H1119" s="40" t="s">
        <v>1011</v>
      </c>
      <c r="I1119" s="40" t="s">
        <v>13</v>
      </c>
      <c r="J1119" s="189" t="s">
        <v>743</v>
      </c>
      <c r="K1119" s="190">
        <v>44180</v>
      </c>
      <c r="L1119" s="40"/>
      <c r="M1119" s="191">
        <v>45</v>
      </c>
      <c r="N1119" s="192">
        <f>MONTH(Tableau13[[#This Row],[Date fin intervention]])</f>
        <v>12</v>
      </c>
      <c r="O1119" s="192">
        <f>YEAR(Tableau13[[#This Row],[Date fin intervention]])</f>
        <v>2020</v>
      </c>
      <c r="P1119" s="40"/>
    </row>
    <row r="1120" spans="1:16">
      <c r="A1120" s="187">
        <v>44181</v>
      </c>
      <c r="B1120" s="188">
        <v>581</v>
      </c>
      <c r="C1120" s="189" t="str">
        <f>IF(ISNA(VLOOKUP(Tableau13[[#This Row],[Code machine]],'CODE mchn'!$A$4:$C$170,2,0)),"",VLOOKUP(Tableau13[[#This Row],[Code machine]],'CODE mchn'!$A$4:$C$170,2,0))</f>
        <v>Acier</v>
      </c>
      <c r="D1120" s="36" t="str">
        <f>IF(ISNA(VLOOKUP(Tableau13[[#This Row],[Code machine]],'CODE mchn'!$A$4:$C$170,3,0)),"",VLOOKUP(Tableau13[[#This Row],[Code machine]],'CODE mchn'!$A$4:$C$170,3,0))</f>
        <v>Teurema 1</v>
      </c>
      <c r="E1120" s="105"/>
      <c r="F1120" s="40"/>
      <c r="G1120" s="40" t="s">
        <v>20</v>
      </c>
      <c r="H1120" s="40" t="s">
        <v>1944</v>
      </c>
      <c r="I1120" s="40" t="s">
        <v>13</v>
      </c>
      <c r="J1120" s="189" t="s">
        <v>21</v>
      </c>
      <c r="K1120" s="190">
        <v>44181</v>
      </c>
      <c r="L1120" s="40"/>
      <c r="M1120" s="191">
        <v>20</v>
      </c>
      <c r="N1120" s="192">
        <f>MONTH(Tableau13[[#This Row],[Date fin intervention]])</f>
        <v>12</v>
      </c>
      <c r="O1120" s="192">
        <f>YEAR(Tableau13[[#This Row],[Date fin intervention]])</f>
        <v>2020</v>
      </c>
      <c r="P1120" s="40"/>
    </row>
    <row r="1121" spans="1:16">
      <c r="A1121" s="187">
        <v>44181</v>
      </c>
      <c r="B1121" s="188">
        <v>800</v>
      </c>
      <c r="C1121" s="189" t="str">
        <f>IF(ISNA(VLOOKUP(Tableau13[[#This Row],[Code machine]],'CODE mchn'!$A$4:$C$170,2,0)),"",VLOOKUP(Tableau13[[#This Row],[Code machine]],'CODE mchn'!$A$4:$C$170,2,0))</f>
        <v>Béton</v>
      </c>
      <c r="D1121" s="36" t="str">
        <f>IF(ISNA(VLOOKUP(Tableau13[[#This Row],[Code machine]],'CODE mchn'!$A$4:$C$170,3,0)),"",VLOOKUP(Tableau13[[#This Row],[Code machine]],'CODE mchn'!$A$4:$C$170,3,0))</f>
        <v>Poyatos 2</v>
      </c>
      <c r="E1121" s="105"/>
      <c r="F1121" s="40"/>
      <c r="G1121" s="40" t="s">
        <v>20</v>
      </c>
      <c r="H1121" s="40" t="s">
        <v>1944</v>
      </c>
      <c r="I1121" s="40" t="s">
        <v>8</v>
      </c>
      <c r="J1121" s="189" t="s">
        <v>21</v>
      </c>
      <c r="K1121" s="190">
        <v>44181</v>
      </c>
      <c r="L1121" s="40"/>
      <c r="M1121" s="191">
        <v>15</v>
      </c>
      <c r="N1121" s="192">
        <f>MONTH(Tableau13[[#This Row],[Date fin intervention]])</f>
        <v>12</v>
      </c>
      <c r="O1121" s="192">
        <f>YEAR(Tableau13[[#This Row],[Date fin intervention]])</f>
        <v>2020</v>
      </c>
      <c r="P1121" s="40"/>
    </row>
    <row r="1122" spans="1:16">
      <c r="A1122" s="187">
        <v>44181</v>
      </c>
      <c r="B1122" s="188">
        <v>800</v>
      </c>
      <c r="C1122" s="189" t="str">
        <f>IF(ISNA(VLOOKUP(Tableau13[[#This Row],[Code machine]],'CODE mchn'!$A$4:$C$170,2,0)),"",VLOOKUP(Tableau13[[#This Row],[Code machine]],'CODE mchn'!$A$4:$C$170,2,0))</f>
        <v>Béton</v>
      </c>
      <c r="D1122" s="36" t="str">
        <f>IF(ISNA(VLOOKUP(Tableau13[[#This Row],[Code machine]],'CODE mchn'!$A$4:$C$170,3,0)),"",VLOOKUP(Tableau13[[#This Row],[Code machine]],'CODE mchn'!$A$4:$C$170,3,0))</f>
        <v>Poyatos 2</v>
      </c>
      <c r="E1122" s="105"/>
      <c r="F1122" s="40"/>
      <c r="G1122" s="40" t="s">
        <v>1479</v>
      </c>
      <c r="H1122" s="40" t="s">
        <v>1985</v>
      </c>
      <c r="I1122" s="40" t="s">
        <v>13</v>
      </c>
      <c r="J1122" s="189" t="s">
        <v>1986</v>
      </c>
      <c r="K1122" s="190">
        <v>44181</v>
      </c>
      <c r="L1122" s="40"/>
      <c r="M1122" s="191">
        <v>2</v>
      </c>
      <c r="N1122" s="192">
        <f>MONTH(Tableau13[[#This Row],[Date fin intervention]])</f>
        <v>12</v>
      </c>
      <c r="O1122" s="192">
        <f>YEAR(Tableau13[[#This Row],[Date fin intervention]])</f>
        <v>2020</v>
      </c>
      <c r="P1122" s="40"/>
    </row>
    <row r="1123" spans="1:16" ht="28.5">
      <c r="A1123" s="187">
        <v>44182</v>
      </c>
      <c r="B1123" s="188">
        <v>700</v>
      </c>
      <c r="C1123" s="189" t="str">
        <f>IF(ISNA(VLOOKUP(Tableau13[[#This Row],[Code machine]],'CODE mchn'!$A$4:$C$170,2,0)),"",VLOOKUP(Tableau13[[#This Row],[Code machine]],'CODE mchn'!$A$4:$C$170,2,0))</f>
        <v>Béton</v>
      </c>
      <c r="D1123" s="36" t="str">
        <f>IF(ISNA(VLOOKUP(Tableau13[[#This Row],[Code machine]],'CODE mchn'!$A$4:$C$170,3,0)),"",VLOOKUP(Tableau13[[#This Row],[Code machine]],'CODE mchn'!$A$4:$C$170,3,0))</f>
        <v>Poyatos 1</v>
      </c>
      <c r="E1123" s="105"/>
      <c r="F1123" s="40"/>
      <c r="G1123" s="40" t="s">
        <v>20</v>
      </c>
      <c r="H1123" s="40" t="s">
        <v>1987</v>
      </c>
      <c r="I1123" s="40" t="s">
        <v>13</v>
      </c>
      <c r="J1123" s="189" t="s">
        <v>1988</v>
      </c>
      <c r="K1123" s="190">
        <v>44182</v>
      </c>
      <c r="L1123" s="40"/>
      <c r="M1123" s="191">
        <v>1</v>
      </c>
      <c r="N1123" s="192">
        <f>MONTH(Tableau13[[#This Row],[Date fin intervention]])</f>
        <v>12</v>
      </c>
      <c r="O1123" s="192">
        <f>YEAR(Tableau13[[#This Row],[Date fin intervention]])</f>
        <v>2020</v>
      </c>
      <c r="P1123" s="40"/>
    </row>
    <row r="1124" spans="1:16" ht="57">
      <c r="A1124" s="187">
        <v>44184</v>
      </c>
      <c r="B1124" s="188">
        <v>800</v>
      </c>
      <c r="C1124" s="189" t="str">
        <f>IF(ISNA(VLOOKUP(Tableau13[[#This Row],[Code machine]],'CODE mchn'!$A$4:$C$170,2,0)),"",VLOOKUP(Tableau13[[#This Row],[Code machine]],'CODE mchn'!$A$4:$C$170,2,0))</f>
        <v>Béton</v>
      </c>
      <c r="D1124" s="36" t="str">
        <f>IF(ISNA(VLOOKUP(Tableau13[[#This Row],[Code machine]],'CODE mchn'!$A$4:$C$170,3,0)),"",VLOOKUP(Tableau13[[#This Row],[Code machine]],'CODE mchn'!$A$4:$C$170,3,0))</f>
        <v>Poyatos 2</v>
      </c>
      <c r="E1124" s="105"/>
      <c r="F1124" s="40"/>
      <c r="G1124" s="40" t="s">
        <v>1989</v>
      </c>
      <c r="H1124" s="40" t="s">
        <v>1991</v>
      </c>
      <c r="I1124" s="40" t="s">
        <v>13</v>
      </c>
      <c r="J1124" s="189" t="s">
        <v>1990</v>
      </c>
      <c r="K1124" s="190">
        <v>44185</v>
      </c>
      <c r="L1124" s="40"/>
      <c r="M1124" s="191">
        <f>8*60</f>
        <v>480</v>
      </c>
      <c r="N1124" s="192">
        <f>MONTH(Tableau13[[#This Row],[Date fin intervention]])</f>
        <v>12</v>
      </c>
      <c r="O1124" s="192">
        <f>YEAR(Tableau13[[#This Row],[Date fin intervention]])</f>
        <v>2020</v>
      </c>
      <c r="P1124" s="40"/>
    </row>
    <row r="1125" spans="1:16">
      <c r="A1125" s="193">
        <v>44184</v>
      </c>
      <c r="B1125" s="194">
        <v>620</v>
      </c>
      <c r="C1125" s="195" t="str">
        <f>IF(ISNA(VLOOKUP(Tableau13[[#This Row],[Code machine]],'CODE mchn'!$A$4:$C$170,2,0)),"",VLOOKUP(Tableau13[[#This Row],[Code machine]],'CODE mchn'!$A$4:$C$170,2,0))</f>
        <v>Acier</v>
      </c>
      <c r="D1125" s="36" t="str">
        <f>IF(ISNA(VLOOKUP(Tableau13[[#This Row],[Code machine]],'CODE mchn'!$A$4:$C$170,3,0)),"",VLOOKUP(Tableau13[[#This Row],[Code machine]],'CODE mchn'!$A$4:$C$170,3,0))</f>
        <v>EVG PN 2</v>
      </c>
      <c r="E1125" s="105"/>
      <c r="F1125" s="58"/>
      <c r="G1125" s="58" t="s">
        <v>20</v>
      </c>
      <c r="H1125" s="58" t="s">
        <v>520</v>
      </c>
      <c r="I1125" s="58" t="s">
        <v>13</v>
      </c>
      <c r="J1125" s="195" t="s">
        <v>896</v>
      </c>
      <c r="K1125" s="196">
        <v>44184</v>
      </c>
      <c r="L1125" s="58"/>
      <c r="M1125" s="197">
        <v>30</v>
      </c>
      <c r="N1125" s="192">
        <f>MONTH(Tableau13[[#This Row],[Date fin intervention]])</f>
        <v>12</v>
      </c>
      <c r="O1125" s="192">
        <f>YEAR(Tableau13[[#This Row],[Date fin intervention]])</f>
        <v>2020</v>
      </c>
      <c r="P1125" s="40"/>
    </row>
    <row r="1126" spans="1:16">
      <c r="A1126" s="193">
        <v>44184</v>
      </c>
      <c r="B1126" s="194">
        <v>620</v>
      </c>
      <c r="C1126" s="195" t="str">
        <f>IF(ISNA(VLOOKUP(Tableau13[[#This Row],[Code machine]],'CODE mchn'!$A$4:$C$170,2,0)),"",VLOOKUP(Tableau13[[#This Row],[Code machine]],'CODE mchn'!$A$4:$C$170,2,0))</f>
        <v>Acier</v>
      </c>
      <c r="D1126" s="36" t="str">
        <f>IF(ISNA(VLOOKUP(Tableau13[[#This Row],[Code machine]],'CODE mchn'!$A$4:$C$170,3,0)),"",VLOOKUP(Tableau13[[#This Row],[Code machine]],'CODE mchn'!$A$4:$C$170,3,0))</f>
        <v>EVG PN 2</v>
      </c>
      <c r="E1126" s="105"/>
      <c r="F1126" s="58"/>
      <c r="G1126" s="58" t="s">
        <v>470</v>
      </c>
      <c r="H1126" s="58" t="s">
        <v>1992</v>
      </c>
      <c r="I1126" s="58" t="s">
        <v>13</v>
      </c>
      <c r="J1126" s="195" t="s">
        <v>1993</v>
      </c>
      <c r="K1126" s="196">
        <v>44184</v>
      </c>
      <c r="L1126" s="58"/>
      <c r="M1126" s="197">
        <v>30</v>
      </c>
      <c r="N1126" s="192">
        <f>MONTH(Tableau13[[#This Row],[Date fin intervention]])</f>
        <v>12</v>
      </c>
      <c r="O1126" s="192">
        <f>YEAR(Tableau13[[#This Row],[Date fin intervention]])</f>
        <v>2020</v>
      </c>
      <c r="P1126" s="40"/>
    </row>
    <row r="1127" spans="1:16">
      <c r="A1127" s="193">
        <v>44186</v>
      </c>
      <c r="B1127" s="194">
        <v>620</v>
      </c>
      <c r="C1127" s="195" t="str">
        <f>IF(ISNA(VLOOKUP(Tableau13[[#This Row],[Code machine]],'CODE mchn'!$A$4:$C$170,2,0)),"",VLOOKUP(Tableau13[[#This Row],[Code machine]],'CODE mchn'!$A$4:$C$170,2,0))</f>
        <v>Acier</v>
      </c>
      <c r="D1127" s="36" t="str">
        <f>IF(ISNA(VLOOKUP(Tableau13[[#This Row],[Code machine]],'CODE mchn'!$A$4:$C$170,3,0)),"",VLOOKUP(Tableau13[[#This Row],[Code machine]],'CODE mchn'!$A$4:$C$170,3,0))</f>
        <v>EVG PN 2</v>
      </c>
      <c r="E1127" s="105"/>
      <c r="F1127" s="58"/>
      <c r="G1127" s="58" t="s">
        <v>470</v>
      </c>
      <c r="H1127" s="58" t="s">
        <v>1997</v>
      </c>
      <c r="I1127" s="58" t="s">
        <v>13</v>
      </c>
      <c r="J1127" s="195" t="s">
        <v>1038</v>
      </c>
      <c r="K1127" s="196">
        <v>44186</v>
      </c>
      <c r="L1127" s="58"/>
      <c r="M1127" s="197">
        <v>20</v>
      </c>
      <c r="N1127" s="198">
        <f>MONTH(Tableau13[[#This Row],[Date fin intervention]])</f>
        <v>12</v>
      </c>
      <c r="O1127" s="198">
        <f>YEAR(Tableau13[[#This Row],[Date fin intervention]])</f>
        <v>2020</v>
      </c>
      <c r="P1127" s="58"/>
    </row>
    <row r="1128" spans="1:16">
      <c r="A1128" s="193">
        <v>44186</v>
      </c>
      <c r="B1128" s="194">
        <v>581</v>
      </c>
      <c r="C1128" s="195" t="str">
        <f>IF(ISNA(VLOOKUP(Tableau13[[#This Row],[Code machine]],'CODE mchn'!$A$4:$C$170,2,0)),"",VLOOKUP(Tableau13[[#This Row],[Code machine]],'CODE mchn'!$A$4:$C$170,2,0))</f>
        <v>Acier</v>
      </c>
      <c r="D1128" s="36" t="str">
        <f>IF(ISNA(VLOOKUP(Tableau13[[#This Row],[Code machine]],'CODE mchn'!$A$4:$C$170,3,0)),"",VLOOKUP(Tableau13[[#This Row],[Code machine]],'CODE mchn'!$A$4:$C$170,3,0))</f>
        <v>Teurema 1</v>
      </c>
      <c r="E1128" s="105"/>
      <c r="F1128" s="58"/>
      <c r="G1128" s="58" t="s">
        <v>1998</v>
      </c>
      <c r="H1128" s="58" t="s">
        <v>1999</v>
      </c>
      <c r="I1128" s="58" t="s">
        <v>13</v>
      </c>
      <c r="J1128" s="195" t="s">
        <v>2000</v>
      </c>
      <c r="K1128" s="196">
        <v>44186</v>
      </c>
      <c r="L1128" s="58"/>
      <c r="M1128" s="197">
        <v>1</v>
      </c>
      <c r="N1128" s="198">
        <f>MONTH(Tableau13[[#This Row],[Date fin intervention]])</f>
        <v>12</v>
      </c>
      <c r="O1128" s="198">
        <f>YEAR(Tableau13[[#This Row],[Date fin intervention]])</f>
        <v>2020</v>
      </c>
      <c r="P1128" s="58"/>
    </row>
    <row r="1129" spans="1:16">
      <c r="A1129" s="193">
        <v>44186</v>
      </c>
      <c r="B1129" s="194">
        <v>602</v>
      </c>
      <c r="C1129" s="195" t="str">
        <f>IF(ISNA(VLOOKUP(Tableau13[[#This Row],[Code machine]],'CODE mchn'!$A$4:$C$170,2,0)),"",VLOOKUP(Tableau13[[#This Row],[Code machine]],'CODE mchn'!$A$4:$C$170,2,0))</f>
        <v>Acier</v>
      </c>
      <c r="D1129" s="36" t="str">
        <f>IF(ISNA(VLOOKUP(Tableau13[[#This Row],[Code machine]],'CODE mchn'!$A$4:$C$170,3,0)),"",VLOOKUP(Tableau13[[#This Row],[Code machine]],'CODE mchn'!$A$4:$C$170,3,0))</f>
        <v>Wafios Ritecno</v>
      </c>
      <c r="E1129" s="105"/>
      <c r="F1129" s="58"/>
      <c r="G1129" s="58" t="s">
        <v>664</v>
      </c>
      <c r="H1129" s="58" t="s">
        <v>2001</v>
      </c>
      <c r="I1129" s="58" t="s">
        <v>13</v>
      </c>
      <c r="J1129" s="195" t="s">
        <v>2002</v>
      </c>
      <c r="K1129" s="196">
        <v>44186</v>
      </c>
      <c r="L1129" s="58"/>
      <c r="M1129" s="197">
        <v>2</v>
      </c>
      <c r="N1129" s="198">
        <f>MONTH(Tableau13[[#This Row],[Date fin intervention]])</f>
        <v>12</v>
      </c>
      <c r="O1129" s="198">
        <f>YEAR(Tableau13[[#This Row],[Date fin intervention]])</f>
        <v>2020</v>
      </c>
      <c r="P1129" s="58"/>
    </row>
    <row r="1130" spans="1:16">
      <c r="A1130" s="193">
        <v>44187</v>
      </c>
      <c r="B1130" s="194">
        <v>561</v>
      </c>
      <c r="C1130" s="195" t="str">
        <f>IF(ISNA(VLOOKUP(Tableau13[[#This Row],[Code machine]],'CODE mchn'!$A$4:$C$170,2,0)),"",VLOOKUP(Tableau13[[#This Row],[Code machine]],'CODE mchn'!$A$4:$C$170,2,0))</f>
        <v>Ponts roulants</v>
      </c>
      <c r="D1130" s="36" t="str">
        <f>IF(ISNA(VLOOKUP(Tableau13[[#This Row],[Code machine]],'CODE mchn'!$A$4:$C$170,3,0)),"",VLOOKUP(Tableau13[[#This Row],[Code machine]],'CODE mchn'!$A$4:$C$170,3,0))</f>
        <v>Pont roulant Demag 5T TS</v>
      </c>
      <c r="E1130" s="105"/>
      <c r="F1130" s="58"/>
      <c r="G1130" s="58" t="s">
        <v>35</v>
      </c>
      <c r="H1130" s="58" t="s">
        <v>2003</v>
      </c>
      <c r="I1130" s="58" t="s">
        <v>13</v>
      </c>
      <c r="J1130" s="195" t="s">
        <v>2004</v>
      </c>
      <c r="K1130" s="196">
        <v>44187</v>
      </c>
      <c r="L1130" s="58"/>
      <c r="M1130" s="197">
        <v>30</v>
      </c>
      <c r="N1130" s="198">
        <f>MONTH(Tableau13[[#This Row],[Date fin intervention]])</f>
        <v>12</v>
      </c>
      <c r="O1130" s="198">
        <f>YEAR(Tableau13[[#This Row],[Date fin intervention]])</f>
        <v>2020</v>
      </c>
      <c r="P1130" s="58"/>
    </row>
    <row r="1131" spans="1:16">
      <c r="A1131" s="193">
        <v>44187</v>
      </c>
      <c r="B1131" s="194">
        <v>582</v>
      </c>
      <c r="C1131" s="195" t="str">
        <f>IF(ISNA(VLOOKUP(Tableau13[[#This Row],[Code machine]],'CODE mchn'!$A$4:$C$170,2,0)),"",VLOOKUP(Tableau13[[#This Row],[Code machine]],'CODE mchn'!$A$4:$C$170,2,0))</f>
        <v>Acier</v>
      </c>
      <c r="D1131" s="36" t="str">
        <f>IF(ISNA(VLOOKUP(Tableau13[[#This Row],[Code machine]],'CODE mchn'!$A$4:$C$170,3,0)),"",VLOOKUP(Tableau13[[#This Row],[Code machine]],'CODE mchn'!$A$4:$C$170,3,0))</f>
        <v>Teurema 2</v>
      </c>
      <c r="E1131" s="105"/>
      <c r="F1131" s="58"/>
      <c r="G1131" s="58" t="s">
        <v>1737</v>
      </c>
      <c r="H1131" s="58" t="s">
        <v>1070</v>
      </c>
      <c r="I1131" s="58" t="s">
        <v>13</v>
      </c>
      <c r="J1131" s="195" t="s">
        <v>2005</v>
      </c>
      <c r="K1131" s="196">
        <v>44187</v>
      </c>
      <c r="L1131" s="58"/>
      <c r="M1131" s="197">
        <v>2</v>
      </c>
      <c r="N1131" s="198">
        <f>MONTH(Tableau13[[#This Row],[Date fin intervention]])</f>
        <v>12</v>
      </c>
      <c r="O1131" s="198">
        <f>YEAR(Tableau13[[#This Row],[Date fin intervention]])</f>
        <v>2020</v>
      </c>
      <c r="P1131" s="58"/>
    </row>
    <row r="1132" spans="1:16">
      <c r="A1132" s="193">
        <v>44188</v>
      </c>
      <c r="B1132" s="194">
        <v>700</v>
      </c>
      <c r="C1132" s="195" t="str">
        <f>IF(ISNA(VLOOKUP(Tableau13[[#This Row],[Code machine]],'CODE mchn'!$A$4:$C$170,2,0)),"",VLOOKUP(Tableau13[[#This Row],[Code machine]],'CODE mchn'!$A$4:$C$170,2,0))</f>
        <v>Béton</v>
      </c>
      <c r="D1132" s="36" t="str">
        <f>IF(ISNA(VLOOKUP(Tableau13[[#This Row],[Code machine]],'CODE mchn'!$A$4:$C$170,3,0)),"",VLOOKUP(Tableau13[[#This Row],[Code machine]],'CODE mchn'!$A$4:$C$170,3,0))</f>
        <v>Poyatos 1</v>
      </c>
      <c r="E1132" s="105"/>
      <c r="F1132" s="58"/>
      <c r="G1132" s="58" t="s">
        <v>213</v>
      </c>
      <c r="H1132" s="58" t="s">
        <v>2006</v>
      </c>
      <c r="I1132" s="58" t="s">
        <v>13</v>
      </c>
      <c r="J1132" s="195" t="s">
        <v>2007</v>
      </c>
      <c r="K1132" s="196">
        <v>44188</v>
      </c>
      <c r="L1132" s="58"/>
      <c r="M1132" s="197">
        <v>30</v>
      </c>
      <c r="N1132" s="198">
        <f>MONTH(Tableau13[[#This Row],[Date fin intervention]])</f>
        <v>12</v>
      </c>
      <c r="O1132" s="198">
        <f>YEAR(Tableau13[[#This Row],[Date fin intervention]])</f>
        <v>2020</v>
      </c>
      <c r="P1132" s="58"/>
    </row>
    <row r="1133" spans="1:16">
      <c r="A1133" s="193">
        <v>44188</v>
      </c>
      <c r="B1133" s="194">
        <v>800</v>
      </c>
      <c r="C1133" s="195" t="str">
        <f>IF(ISNA(VLOOKUP(Tableau13[[#This Row],[Code machine]],'CODE mchn'!$A$4:$C$170,2,0)),"",VLOOKUP(Tableau13[[#This Row],[Code machine]],'CODE mchn'!$A$4:$C$170,2,0))</f>
        <v>Béton</v>
      </c>
      <c r="D1133" s="36" t="str">
        <f>IF(ISNA(VLOOKUP(Tableau13[[#This Row],[Code machine]],'CODE mchn'!$A$4:$C$170,3,0)),"",VLOOKUP(Tableau13[[#This Row],[Code machine]],'CODE mchn'!$A$4:$C$170,3,0))</f>
        <v>Poyatos 2</v>
      </c>
      <c r="E1133" s="105"/>
      <c r="F1133" s="58"/>
      <c r="G1133" s="58" t="s">
        <v>110</v>
      </c>
      <c r="H1133" s="58" t="s">
        <v>2009</v>
      </c>
      <c r="I1133" s="58" t="s">
        <v>13</v>
      </c>
      <c r="J1133" s="195" t="s">
        <v>2010</v>
      </c>
      <c r="K1133" s="196">
        <v>44188</v>
      </c>
      <c r="L1133" s="58"/>
      <c r="M1133" s="197">
        <v>30</v>
      </c>
      <c r="N1133" s="198">
        <f>MONTH(Tableau13[[#This Row],[Date fin intervention]])</f>
        <v>12</v>
      </c>
      <c r="O1133" s="198">
        <f>YEAR(Tableau13[[#This Row],[Date fin intervention]])</f>
        <v>2020</v>
      </c>
      <c r="P1133" s="58"/>
    </row>
    <row r="1134" spans="1:16">
      <c r="A1134" s="193">
        <v>44189</v>
      </c>
      <c r="B1134" s="194">
        <v>533</v>
      </c>
      <c r="C1134" s="195" t="str">
        <f>IF(ISNA(VLOOKUP(Tableau13[[#This Row],[Code machine]],'CODE mchn'!$A$4:$C$170,2,0)),"",VLOOKUP(Tableau13[[#This Row],[Code machine]],'CODE mchn'!$A$4:$C$170,2,0))</f>
        <v>Enrobage</v>
      </c>
      <c r="D1134" s="36" t="str">
        <f>IF(ISNA(VLOOKUP(Tableau13[[#This Row],[Code machine]],'CODE mchn'!$A$4:$C$170,3,0)),"",VLOOKUP(Tableau13[[#This Row],[Code machine]],'CODE mchn'!$A$4:$C$170,3,0))</f>
        <v>CAROSSEL</v>
      </c>
      <c r="E1134" s="105"/>
      <c r="F1134" s="58"/>
      <c r="G1134" s="58" t="s">
        <v>95</v>
      </c>
      <c r="H1134" s="58" t="s">
        <v>773</v>
      </c>
      <c r="I1134" s="58" t="s">
        <v>13</v>
      </c>
      <c r="J1134" s="195" t="s">
        <v>2008</v>
      </c>
      <c r="K1134" s="196">
        <v>44189</v>
      </c>
      <c r="L1134" s="58"/>
      <c r="M1134" s="197">
        <v>15</v>
      </c>
      <c r="N1134" s="198">
        <f>MONTH(Tableau13[[#This Row],[Date fin intervention]])</f>
        <v>12</v>
      </c>
      <c r="O1134" s="198">
        <f>YEAR(Tableau13[[#This Row],[Date fin intervention]])</f>
        <v>2020</v>
      </c>
      <c r="P1134" s="58"/>
    </row>
    <row r="1135" spans="1:16">
      <c r="A1135" s="193">
        <v>44189</v>
      </c>
      <c r="B1135" s="194">
        <v>700</v>
      </c>
      <c r="C1135" s="195" t="str">
        <f>IF(ISNA(VLOOKUP(Tableau13[[#This Row],[Code machine]],'CODE mchn'!$A$4:$C$170,2,0)),"",VLOOKUP(Tableau13[[#This Row],[Code machine]],'CODE mchn'!$A$4:$C$170,2,0))</f>
        <v>Béton</v>
      </c>
      <c r="D1135" s="36" t="str">
        <f>IF(ISNA(VLOOKUP(Tableau13[[#This Row],[Code machine]],'CODE mchn'!$A$4:$C$170,3,0)),"",VLOOKUP(Tableau13[[#This Row],[Code machine]],'CODE mchn'!$A$4:$C$170,3,0))</f>
        <v>Poyatos 1</v>
      </c>
      <c r="E1135" s="105"/>
      <c r="F1135" s="58"/>
      <c r="G1135" s="58" t="s">
        <v>213</v>
      </c>
      <c r="H1135" s="58" t="s">
        <v>2011</v>
      </c>
      <c r="I1135" s="58" t="s">
        <v>13</v>
      </c>
      <c r="J1135" s="195" t="s">
        <v>2012</v>
      </c>
      <c r="K1135" s="196">
        <v>44189</v>
      </c>
      <c r="L1135" s="58"/>
      <c r="M1135" s="197">
        <v>30</v>
      </c>
      <c r="N1135" s="198">
        <f>MONTH(Tableau13[[#This Row],[Date fin intervention]])</f>
        <v>12</v>
      </c>
      <c r="O1135" s="198">
        <f>YEAR(Tableau13[[#This Row],[Date fin intervention]])</f>
        <v>2020</v>
      </c>
      <c r="P1135" s="58"/>
    </row>
    <row r="1136" spans="1:16">
      <c r="A1136" s="193">
        <v>44190</v>
      </c>
      <c r="B1136" s="194">
        <v>533</v>
      </c>
      <c r="C1136" s="195" t="str">
        <f>IF(ISNA(VLOOKUP(Tableau13[[#This Row],[Code machine]],'CODE mchn'!$A$4:$C$170,2,0)),"",VLOOKUP(Tableau13[[#This Row],[Code machine]],'CODE mchn'!$A$4:$C$170,2,0))</f>
        <v>Enrobage</v>
      </c>
      <c r="D1136" s="36" t="str">
        <f>IF(ISNA(VLOOKUP(Tableau13[[#This Row],[Code machine]],'CODE mchn'!$A$4:$C$170,3,0)),"",VLOOKUP(Tableau13[[#This Row],[Code machine]],'CODE mchn'!$A$4:$C$170,3,0))</f>
        <v>CAROSSEL</v>
      </c>
      <c r="E1136" s="105"/>
      <c r="F1136" s="58"/>
      <c r="G1136" s="58" t="s">
        <v>2013</v>
      </c>
      <c r="H1136" s="58" t="s">
        <v>2014</v>
      </c>
      <c r="I1136" s="58" t="s">
        <v>13</v>
      </c>
      <c r="J1136" s="195" t="s">
        <v>2015</v>
      </c>
      <c r="K1136" s="196">
        <v>44190</v>
      </c>
      <c r="L1136" s="58"/>
      <c r="M1136" s="197">
        <v>20</v>
      </c>
      <c r="N1136" s="198">
        <f>MONTH(Tableau13[[#This Row],[Date fin intervention]])</f>
        <v>12</v>
      </c>
      <c r="O1136" s="198">
        <f>YEAR(Tableau13[[#This Row],[Date fin intervention]])</f>
        <v>2020</v>
      </c>
      <c r="P1136" s="58"/>
    </row>
    <row r="1137" spans="1:16">
      <c r="A1137" s="193">
        <v>44190</v>
      </c>
      <c r="B1137" s="194">
        <v>533</v>
      </c>
      <c r="C1137" s="195" t="str">
        <f>IF(ISNA(VLOOKUP(Tableau13[[#This Row],[Code machine]],'CODE mchn'!$A$4:$C$170,2,0)),"",VLOOKUP(Tableau13[[#This Row],[Code machine]],'CODE mchn'!$A$4:$C$170,2,0))</f>
        <v>Enrobage</v>
      </c>
      <c r="D1137" s="36" t="str">
        <f>IF(ISNA(VLOOKUP(Tableau13[[#This Row],[Code machine]],'CODE mchn'!$A$4:$C$170,3,0)),"",VLOOKUP(Tableau13[[#This Row],[Code machine]],'CODE mchn'!$A$4:$C$170,3,0))</f>
        <v>CAROSSEL</v>
      </c>
      <c r="E1137" s="105"/>
      <c r="F1137" s="58"/>
      <c r="G1137" s="58" t="s">
        <v>128</v>
      </c>
      <c r="H1137" s="58" t="s">
        <v>520</v>
      </c>
      <c r="I1137" s="58" t="s">
        <v>13</v>
      </c>
      <c r="J1137" s="195" t="s">
        <v>896</v>
      </c>
      <c r="K1137" s="196">
        <v>44190</v>
      </c>
      <c r="L1137" s="58"/>
      <c r="M1137" s="197">
        <v>30</v>
      </c>
      <c r="N1137" s="198">
        <f>MONTH(Tableau13[[#This Row],[Date fin intervention]])</f>
        <v>12</v>
      </c>
      <c r="O1137" s="198">
        <f>YEAR(Tableau13[[#This Row],[Date fin intervention]])</f>
        <v>2020</v>
      </c>
      <c r="P1137" s="58"/>
    </row>
    <row r="1138" spans="1:16">
      <c r="A1138" s="193">
        <v>44190</v>
      </c>
      <c r="B1138" s="194">
        <v>800</v>
      </c>
      <c r="C1138" s="195" t="str">
        <f>IF(ISNA(VLOOKUP(Tableau13[[#This Row],[Code machine]],'CODE mchn'!$A$4:$C$170,2,0)),"",VLOOKUP(Tableau13[[#This Row],[Code machine]],'CODE mchn'!$A$4:$C$170,2,0))</f>
        <v>Béton</v>
      </c>
      <c r="D1138" s="36" t="str">
        <f>IF(ISNA(VLOOKUP(Tableau13[[#This Row],[Code machine]],'CODE mchn'!$A$4:$C$170,3,0)),"",VLOOKUP(Tableau13[[#This Row],[Code machine]],'CODE mchn'!$A$4:$C$170,3,0))</f>
        <v>Poyatos 2</v>
      </c>
      <c r="E1138" s="105"/>
      <c r="F1138" s="58"/>
      <c r="G1138" s="58" t="s">
        <v>2016</v>
      </c>
      <c r="H1138" s="58" t="s">
        <v>2017</v>
      </c>
      <c r="I1138" s="58" t="s">
        <v>13</v>
      </c>
      <c r="J1138" s="195" t="s">
        <v>2018</v>
      </c>
      <c r="K1138" s="196">
        <v>44190</v>
      </c>
      <c r="L1138" s="58"/>
      <c r="M1138" s="197">
        <v>15</v>
      </c>
      <c r="N1138" s="198">
        <f>MONTH(Tableau13[[#This Row],[Date fin intervention]])</f>
        <v>12</v>
      </c>
      <c r="O1138" s="198">
        <f>YEAR(Tableau13[[#This Row],[Date fin intervention]])</f>
        <v>2020</v>
      </c>
      <c r="P1138" s="58"/>
    </row>
    <row r="1139" spans="1:16">
      <c r="A1139" s="193">
        <v>44190</v>
      </c>
      <c r="B1139" s="194">
        <v>800</v>
      </c>
      <c r="C1139" s="195" t="str">
        <f>IF(ISNA(VLOOKUP(Tableau13[[#This Row],[Code machine]],'CODE mchn'!$A$4:$C$170,2,0)),"",VLOOKUP(Tableau13[[#This Row],[Code machine]],'CODE mchn'!$A$4:$C$170,2,0))</f>
        <v>Béton</v>
      </c>
      <c r="D1139" s="36" t="str">
        <f>IF(ISNA(VLOOKUP(Tableau13[[#This Row],[Code machine]],'CODE mchn'!$A$4:$C$170,3,0)),"",VLOOKUP(Tableau13[[#This Row],[Code machine]],'CODE mchn'!$A$4:$C$170,3,0))</f>
        <v>Poyatos 2</v>
      </c>
      <c r="E1139" s="105"/>
      <c r="F1139" s="58"/>
      <c r="G1139" s="58" t="s">
        <v>325</v>
      </c>
      <c r="H1139" s="58" t="s">
        <v>1973</v>
      </c>
      <c r="I1139" s="58" t="s">
        <v>13</v>
      </c>
      <c r="J1139" s="195" t="s">
        <v>2019</v>
      </c>
      <c r="K1139" s="196">
        <v>44190</v>
      </c>
      <c r="L1139" s="58"/>
      <c r="M1139" s="197">
        <v>35</v>
      </c>
      <c r="N1139" s="198">
        <f>MONTH(Tableau13[[#This Row],[Date fin intervention]])</f>
        <v>12</v>
      </c>
      <c r="O1139" s="198">
        <f>YEAR(Tableau13[[#This Row],[Date fin intervention]])</f>
        <v>2020</v>
      </c>
      <c r="P1139" s="58"/>
    </row>
    <row r="1140" spans="1:16">
      <c r="A1140" s="193">
        <v>44191</v>
      </c>
      <c r="B1140" s="194">
        <v>700</v>
      </c>
      <c r="C1140" s="195" t="str">
        <f>IF(ISNA(VLOOKUP(Tableau13[[#This Row],[Code machine]],'CODE mchn'!$A$4:$C$170,2,0)),"",VLOOKUP(Tableau13[[#This Row],[Code machine]],'CODE mchn'!$A$4:$C$170,2,0))</f>
        <v>Béton</v>
      </c>
      <c r="D1140" s="36" t="str">
        <f>IF(ISNA(VLOOKUP(Tableau13[[#This Row],[Code machine]],'CODE mchn'!$A$4:$C$170,3,0)),"",VLOOKUP(Tableau13[[#This Row],[Code machine]],'CODE mchn'!$A$4:$C$170,3,0))</f>
        <v>Poyatos 1</v>
      </c>
      <c r="E1140" s="105"/>
      <c r="F1140" s="58"/>
      <c r="G1140" s="58" t="s">
        <v>43</v>
      </c>
      <c r="H1140" s="58" t="s">
        <v>2020</v>
      </c>
      <c r="I1140" s="58" t="s">
        <v>13</v>
      </c>
      <c r="J1140" s="195" t="s">
        <v>2021</v>
      </c>
      <c r="K1140" s="196">
        <v>44191</v>
      </c>
      <c r="L1140" s="58"/>
      <c r="M1140" s="197">
        <v>20</v>
      </c>
      <c r="N1140" s="198">
        <f>MONTH(Tableau13[[#This Row],[Date fin intervention]])</f>
        <v>12</v>
      </c>
      <c r="O1140" s="198">
        <f>YEAR(Tableau13[[#This Row],[Date fin intervention]])</f>
        <v>2020</v>
      </c>
      <c r="P1140" s="58"/>
    </row>
    <row r="1141" spans="1:16">
      <c r="A1141" s="193">
        <v>44191</v>
      </c>
      <c r="B1141" s="194">
        <v>610</v>
      </c>
      <c r="C1141" s="195" t="str">
        <f>IF(ISNA(VLOOKUP(Tableau13[[#This Row],[Code machine]],'CODE mchn'!$A$4:$C$170,2,0)),"",VLOOKUP(Tableau13[[#This Row],[Code machine]],'CODE mchn'!$A$4:$C$170,2,0))</f>
        <v>Acier</v>
      </c>
      <c r="D1141" s="36" t="str">
        <f>IF(ISNA(VLOOKUP(Tableau13[[#This Row],[Code machine]],'CODE mchn'!$A$4:$C$170,3,0)),"",VLOOKUP(Tableau13[[#This Row],[Code machine]],'CODE mchn'!$A$4:$C$170,3,0))</f>
        <v>MEP91</v>
      </c>
      <c r="E1141" s="105"/>
      <c r="F1141" s="58"/>
      <c r="G1141" s="58" t="s">
        <v>20</v>
      </c>
      <c r="H1141" s="58" t="s">
        <v>2022</v>
      </c>
      <c r="I1141" s="58" t="s">
        <v>13</v>
      </c>
      <c r="J1141" s="195" t="s">
        <v>2023</v>
      </c>
      <c r="K1141" s="196">
        <v>44191</v>
      </c>
      <c r="L1141" s="58"/>
      <c r="M1141" s="197">
        <v>1</v>
      </c>
      <c r="N1141" s="198">
        <f>MONTH(Tableau13[[#This Row],[Date fin intervention]])</f>
        <v>12</v>
      </c>
      <c r="O1141" s="198">
        <f>YEAR(Tableau13[[#This Row],[Date fin intervention]])</f>
        <v>2020</v>
      </c>
      <c r="P1141" s="58"/>
    </row>
    <row r="1142" spans="1:16">
      <c r="A1142" s="193">
        <v>44191</v>
      </c>
      <c r="B1142" s="194">
        <v>560</v>
      </c>
      <c r="C1142" s="195" t="str">
        <f>IF(ISNA(VLOOKUP(Tableau13[[#This Row],[Code machine]],'CODE mchn'!$A$4:$C$170,2,0)),"",VLOOKUP(Tableau13[[#This Row],[Code machine]],'CODE mchn'!$A$4:$C$170,2,0))</f>
        <v>Acier</v>
      </c>
      <c r="D1142" s="36" t="str">
        <f>IF(ISNA(VLOOKUP(Tableau13[[#This Row],[Code machine]],'CODE mchn'!$A$4:$C$170,3,0)),"",VLOOKUP(Tableau13[[#This Row],[Code machine]],'CODE mchn'!$A$4:$C$170,3,0))</f>
        <v>Schlatter</v>
      </c>
      <c r="E1142" s="105"/>
      <c r="F1142" s="58"/>
      <c r="G1142" s="58" t="s">
        <v>463</v>
      </c>
      <c r="H1142" s="58" t="s">
        <v>2024</v>
      </c>
      <c r="I1142" s="58" t="s">
        <v>13</v>
      </c>
      <c r="J1142" s="195" t="s">
        <v>2025</v>
      </c>
      <c r="K1142" s="196">
        <v>44191</v>
      </c>
      <c r="L1142" s="58"/>
      <c r="M1142" s="197">
        <v>1</v>
      </c>
      <c r="N1142" s="198">
        <f>MONTH(Tableau13[[#This Row],[Date fin intervention]])</f>
        <v>12</v>
      </c>
      <c r="O1142" s="198">
        <f>YEAR(Tableau13[[#This Row],[Date fin intervention]])</f>
        <v>2020</v>
      </c>
      <c r="P1142" s="58"/>
    </row>
    <row r="1143" spans="1:16">
      <c r="A1143" s="193">
        <v>44191</v>
      </c>
      <c r="B1143" s="194">
        <v>800</v>
      </c>
      <c r="C1143" s="195" t="str">
        <f>IF(ISNA(VLOOKUP(Tableau13[[#This Row],[Code machine]],'CODE mchn'!$A$4:$C$170,2,0)),"",VLOOKUP(Tableau13[[#This Row],[Code machine]],'CODE mchn'!$A$4:$C$170,2,0))</f>
        <v>Béton</v>
      </c>
      <c r="D1143" s="36" t="str">
        <f>IF(ISNA(VLOOKUP(Tableau13[[#This Row],[Code machine]],'CODE mchn'!$A$4:$C$170,3,0)),"",VLOOKUP(Tableau13[[#This Row],[Code machine]],'CODE mchn'!$A$4:$C$170,3,0))</f>
        <v>Poyatos 2</v>
      </c>
      <c r="E1143" s="105"/>
      <c r="F1143" s="58"/>
      <c r="G1143" s="58" t="s">
        <v>110</v>
      </c>
      <c r="H1143" s="58" t="s">
        <v>520</v>
      </c>
      <c r="I1143" s="58" t="s">
        <v>13</v>
      </c>
      <c r="J1143" s="195" t="s">
        <v>896</v>
      </c>
      <c r="K1143" s="196">
        <v>44191</v>
      </c>
      <c r="L1143" s="58"/>
      <c r="M1143" s="197">
        <v>20</v>
      </c>
      <c r="N1143" s="198">
        <f>MONTH(Tableau13[[#This Row],[Date fin intervention]])</f>
        <v>12</v>
      </c>
      <c r="O1143" s="198">
        <f>YEAR(Tableau13[[#This Row],[Date fin intervention]])</f>
        <v>2020</v>
      </c>
      <c r="P1143" s="58"/>
    </row>
    <row r="1144" spans="1:16">
      <c r="A1144" s="193">
        <v>44193</v>
      </c>
      <c r="B1144" s="194">
        <v>590</v>
      </c>
      <c r="C1144" s="195" t="str">
        <f>IF(ISNA(VLOOKUP(Tableau13[[#This Row],[Code machine]],'CODE mchn'!$A$4:$C$170,2,0)),"",VLOOKUP(Tableau13[[#This Row],[Code machine]],'CODE mchn'!$A$4:$C$170,2,0))</f>
        <v>Acier</v>
      </c>
      <c r="D1144" s="36" t="str">
        <f>IF(ISNA(VLOOKUP(Tableau13[[#This Row],[Code machine]],'CODE mchn'!$A$4:$C$170,3,0)),"",VLOOKUP(Tableau13[[#This Row],[Code machine]],'CODE mchn'!$A$4:$C$170,3,0))</f>
        <v>Teurema 3</v>
      </c>
      <c r="E1144" s="105"/>
      <c r="F1144" s="58"/>
      <c r="G1144" s="58" t="s">
        <v>647</v>
      </c>
      <c r="H1144" s="58" t="s">
        <v>2027</v>
      </c>
      <c r="I1144" s="58" t="s">
        <v>13</v>
      </c>
      <c r="J1144" s="195" t="s">
        <v>585</v>
      </c>
      <c r="K1144" s="196">
        <v>44193</v>
      </c>
      <c r="L1144" s="58"/>
      <c r="M1144" s="197">
        <v>1</v>
      </c>
      <c r="N1144" s="198">
        <f>MONTH(Tableau13[[#This Row],[Date fin intervention]])</f>
        <v>12</v>
      </c>
      <c r="O1144" s="198">
        <f>YEAR(Tableau13[[#This Row],[Date fin intervention]])</f>
        <v>2020</v>
      </c>
      <c r="P1144" s="58"/>
    </row>
    <row r="1145" spans="1:16">
      <c r="A1145" s="193">
        <v>44193</v>
      </c>
      <c r="B1145" s="194">
        <v>700</v>
      </c>
      <c r="C1145" s="195" t="str">
        <f>IF(ISNA(VLOOKUP(Tableau13[[#This Row],[Code machine]],'CODE mchn'!$A$4:$C$170,2,0)),"",VLOOKUP(Tableau13[[#This Row],[Code machine]],'CODE mchn'!$A$4:$C$170,2,0))</f>
        <v>Béton</v>
      </c>
      <c r="D1145" s="36" t="str">
        <f>IF(ISNA(VLOOKUP(Tableau13[[#This Row],[Code machine]],'CODE mchn'!$A$4:$C$170,3,0)),"",VLOOKUP(Tableau13[[#This Row],[Code machine]],'CODE mchn'!$A$4:$C$170,3,0))</f>
        <v>Poyatos 1</v>
      </c>
      <c r="E1145" s="105"/>
      <c r="F1145" s="58"/>
      <c r="G1145" s="58" t="s">
        <v>43</v>
      </c>
      <c r="H1145" s="58" t="s">
        <v>776</v>
      </c>
      <c r="I1145" s="58" t="s">
        <v>13</v>
      </c>
      <c r="J1145" s="195" t="s">
        <v>2028</v>
      </c>
      <c r="K1145" s="196">
        <v>44193</v>
      </c>
      <c r="L1145" s="58"/>
      <c r="M1145" s="197">
        <v>20</v>
      </c>
      <c r="N1145" s="198">
        <f>MONTH(Tableau13[[#This Row],[Date fin intervention]])</f>
        <v>12</v>
      </c>
      <c r="O1145" s="198">
        <f>YEAR(Tableau13[[#This Row],[Date fin intervention]])</f>
        <v>2020</v>
      </c>
      <c r="P1145" s="58"/>
    </row>
    <row r="1146" spans="1:16">
      <c r="A1146" s="193">
        <v>44193</v>
      </c>
      <c r="B1146" s="194">
        <v>800</v>
      </c>
      <c r="C1146" s="195" t="str">
        <f>IF(ISNA(VLOOKUP(Tableau13[[#This Row],[Code machine]],'CODE mchn'!$A$4:$C$170,2,0)),"",VLOOKUP(Tableau13[[#This Row],[Code machine]],'CODE mchn'!$A$4:$C$170,2,0))</f>
        <v>Béton</v>
      </c>
      <c r="D1146" s="36" t="str">
        <f>IF(ISNA(VLOOKUP(Tableau13[[#This Row],[Code machine]],'CODE mchn'!$A$4:$C$170,3,0)),"",VLOOKUP(Tableau13[[#This Row],[Code machine]],'CODE mchn'!$A$4:$C$170,3,0))</f>
        <v>Poyatos 2</v>
      </c>
      <c r="E1146" s="105"/>
      <c r="F1146" s="58"/>
      <c r="G1146" s="58" t="s">
        <v>110</v>
      </c>
      <c r="H1146" s="58" t="s">
        <v>2029</v>
      </c>
      <c r="I1146" s="58" t="s">
        <v>13</v>
      </c>
      <c r="J1146" s="195" t="s">
        <v>2030</v>
      </c>
      <c r="K1146" s="196">
        <v>44193</v>
      </c>
      <c r="L1146" s="58"/>
      <c r="M1146" s="197">
        <v>15</v>
      </c>
      <c r="N1146" s="198">
        <f>MONTH(Tableau13[[#This Row],[Date fin intervention]])</f>
        <v>12</v>
      </c>
      <c r="O1146" s="198">
        <f>YEAR(Tableau13[[#This Row],[Date fin intervention]])</f>
        <v>2020</v>
      </c>
      <c r="P1146" s="58"/>
    </row>
    <row r="1147" spans="1:16">
      <c r="A1147" s="193">
        <v>44193</v>
      </c>
      <c r="B1147" s="194">
        <v>800</v>
      </c>
      <c r="C1147" s="195" t="str">
        <f>IF(ISNA(VLOOKUP(Tableau13[[#This Row],[Code machine]],'CODE mchn'!$A$4:$C$170,2,0)),"",VLOOKUP(Tableau13[[#This Row],[Code machine]],'CODE mchn'!$A$4:$C$170,2,0))</f>
        <v>Béton</v>
      </c>
      <c r="D1147" s="36" t="str">
        <f>IF(ISNA(VLOOKUP(Tableau13[[#This Row],[Code machine]],'CODE mchn'!$A$4:$C$170,3,0)),"",VLOOKUP(Tableau13[[#This Row],[Code machine]],'CODE mchn'!$A$4:$C$170,3,0))</f>
        <v>Poyatos 2</v>
      </c>
      <c r="E1147" s="105"/>
      <c r="F1147" s="58"/>
      <c r="G1147" s="58" t="s">
        <v>291</v>
      </c>
      <c r="H1147" s="58" t="s">
        <v>1891</v>
      </c>
      <c r="I1147" s="58" t="s">
        <v>13</v>
      </c>
      <c r="J1147" s="195" t="s">
        <v>2031</v>
      </c>
      <c r="K1147" s="196">
        <v>44193</v>
      </c>
      <c r="L1147" s="58"/>
      <c r="M1147" s="197">
        <v>1</v>
      </c>
      <c r="N1147" s="198">
        <f>MONTH(Tableau13[[#This Row],[Date fin intervention]])</f>
        <v>12</v>
      </c>
      <c r="O1147" s="198">
        <f>YEAR(Tableau13[[#This Row],[Date fin intervention]])</f>
        <v>2020</v>
      </c>
      <c r="P1147" s="58"/>
    </row>
    <row r="1148" spans="1:16">
      <c r="A1148" s="193">
        <v>44193</v>
      </c>
      <c r="B1148" s="194">
        <v>605</v>
      </c>
      <c r="C1148" s="195" t="str">
        <f>IF(ISNA(VLOOKUP(Tableau13[[#This Row],[Code machine]],'CODE mchn'!$A$4:$C$170,2,0)),"",VLOOKUP(Tableau13[[#This Row],[Code machine]],'CODE mchn'!$A$4:$C$170,2,0))</f>
        <v>Acier</v>
      </c>
      <c r="D1148" s="36" t="str">
        <f>IF(ISNA(VLOOKUP(Tableau13[[#This Row],[Code machine]],'CODE mchn'!$A$4:$C$170,3,0)),"",VLOOKUP(Tableau13[[#This Row],[Code machine]],'CODE mchn'!$A$4:$C$170,3,0))</f>
        <v>Vitari 1</v>
      </c>
      <c r="E1148" s="105"/>
      <c r="F1148" s="58"/>
      <c r="G1148" s="58" t="s">
        <v>770</v>
      </c>
      <c r="H1148" s="58" t="s">
        <v>608</v>
      </c>
      <c r="I1148" s="58" t="s">
        <v>13</v>
      </c>
      <c r="J1148" s="195" t="s">
        <v>2032</v>
      </c>
      <c r="K1148" s="196">
        <v>44193</v>
      </c>
      <c r="L1148" s="58"/>
      <c r="M1148" s="197">
        <v>1</v>
      </c>
      <c r="N1148" s="198">
        <f>MONTH(Tableau13[[#This Row],[Date fin intervention]])</f>
        <v>12</v>
      </c>
      <c r="O1148" s="198">
        <f>YEAR(Tableau13[[#This Row],[Date fin intervention]])</f>
        <v>2020</v>
      </c>
      <c r="P1148" s="58"/>
    </row>
    <row r="1149" spans="1:16">
      <c r="A1149" s="193">
        <v>44194</v>
      </c>
      <c r="B1149" s="194">
        <v>800</v>
      </c>
      <c r="C1149" s="195" t="str">
        <f>IF(ISNA(VLOOKUP(Tableau13[[#This Row],[Code machine]],'CODE mchn'!$A$4:$C$170,2,0)),"",VLOOKUP(Tableau13[[#This Row],[Code machine]],'CODE mchn'!$A$4:$C$170,2,0))</f>
        <v>Béton</v>
      </c>
      <c r="D1149" s="36" t="str">
        <f>IF(ISNA(VLOOKUP(Tableau13[[#This Row],[Code machine]],'CODE mchn'!$A$4:$C$170,3,0)),"",VLOOKUP(Tableau13[[#This Row],[Code machine]],'CODE mchn'!$A$4:$C$170,3,0))</f>
        <v>Poyatos 2</v>
      </c>
      <c r="E1149" s="105"/>
      <c r="F1149" s="58"/>
      <c r="G1149" s="58" t="s">
        <v>1132</v>
      </c>
      <c r="H1149" s="58" t="s">
        <v>2033</v>
      </c>
      <c r="I1149" s="58" t="s">
        <v>13</v>
      </c>
      <c r="J1149" s="195" t="s">
        <v>2034</v>
      </c>
      <c r="K1149" s="196">
        <v>44194</v>
      </c>
      <c r="L1149" s="58"/>
      <c r="M1149" s="197">
        <v>20</v>
      </c>
      <c r="N1149" s="198">
        <f>MONTH(Tableau13[[#This Row],[Date fin intervention]])</f>
        <v>12</v>
      </c>
      <c r="O1149" s="198">
        <f>YEAR(Tableau13[[#This Row],[Date fin intervention]])</f>
        <v>2020</v>
      </c>
      <c r="P1149" s="58"/>
    </row>
    <row r="1150" spans="1:16">
      <c r="A1150" s="193">
        <v>44194</v>
      </c>
      <c r="B1150" s="194">
        <v>582</v>
      </c>
      <c r="C1150" s="195" t="str">
        <f>IF(ISNA(VLOOKUP(Tableau13[[#This Row],[Code machine]],'CODE mchn'!$A$4:$C$170,2,0)),"",VLOOKUP(Tableau13[[#This Row],[Code machine]],'CODE mchn'!$A$4:$C$170,2,0))</f>
        <v>Acier</v>
      </c>
      <c r="D1150" s="36" t="str">
        <f>IF(ISNA(VLOOKUP(Tableau13[[#This Row],[Code machine]],'CODE mchn'!$A$4:$C$170,3,0)),"",VLOOKUP(Tableau13[[#This Row],[Code machine]],'CODE mchn'!$A$4:$C$170,3,0))</f>
        <v>Teurema 2</v>
      </c>
      <c r="E1150" s="105"/>
      <c r="F1150" s="58"/>
      <c r="G1150" s="58" t="s">
        <v>2035</v>
      </c>
      <c r="H1150" s="58" t="s">
        <v>520</v>
      </c>
      <c r="I1150" s="58" t="s">
        <v>13</v>
      </c>
      <c r="J1150" s="195" t="s">
        <v>2036</v>
      </c>
      <c r="K1150" s="196">
        <v>44194</v>
      </c>
      <c r="L1150" s="58"/>
      <c r="M1150" s="197">
        <v>20</v>
      </c>
      <c r="N1150" s="198">
        <f>MONTH(Tableau13[[#This Row],[Date fin intervention]])</f>
        <v>12</v>
      </c>
      <c r="O1150" s="198">
        <f>YEAR(Tableau13[[#This Row],[Date fin intervention]])</f>
        <v>2020</v>
      </c>
      <c r="P1150" s="58"/>
    </row>
    <row r="1151" spans="1:16">
      <c r="A1151" s="193">
        <v>44194</v>
      </c>
      <c r="B1151" s="194">
        <v>620</v>
      </c>
      <c r="C1151" s="195" t="str">
        <f>IF(ISNA(VLOOKUP(Tableau13[[#This Row],[Code machine]],'CODE mchn'!$A$4:$C$170,2,0)),"",VLOOKUP(Tableau13[[#This Row],[Code machine]],'CODE mchn'!$A$4:$C$170,2,0))</f>
        <v>Acier</v>
      </c>
      <c r="D1151" s="36" t="str">
        <f>IF(ISNA(VLOOKUP(Tableau13[[#This Row],[Code machine]],'CODE mchn'!$A$4:$C$170,3,0)),"",VLOOKUP(Tableau13[[#This Row],[Code machine]],'CODE mchn'!$A$4:$C$170,3,0))</f>
        <v>EVG PN 2</v>
      </c>
      <c r="E1151" s="105"/>
      <c r="F1151" s="58"/>
      <c r="G1151" s="58" t="s">
        <v>10</v>
      </c>
      <c r="H1151" s="58" t="s">
        <v>933</v>
      </c>
      <c r="I1151" s="58" t="s">
        <v>13</v>
      </c>
      <c r="J1151" s="195" t="s">
        <v>2037</v>
      </c>
      <c r="K1151" s="196">
        <v>44194</v>
      </c>
      <c r="L1151" s="58"/>
      <c r="M1151" s="197">
        <v>30</v>
      </c>
      <c r="N1151" s="198">
        <f>MONTH(Tableau13[[#This Row],[Date fin intervention]])</f>
        <v>12</v>
      </c>
      <c r="O1151" s="198">
        <f>YEAR(Tableau13[[#This Row],[Date fin intervention]])</f>
        <v>2020</v>
      </c>
      <c r="P1151" s="58"/>
    </row>
    <row r="1152" spans="1:16">
      <c r="A1152" s="193">
        <v>44194</v>
      </c>
      <c r="B1152" s="194">
        <v>700</v>
      </c>
      <c r="C1152" s="195" t="str">
        <f>IF(ISNA(VLOOKUP(Tableau13[[#This Row],[Code machine]],'CODE mchn'!$A$4:$C$170,2,0)),"",VLOOKUP(Tableau13[[#This Row],[Code machine]],'CODE mchn'!$A$4:$C$170,2,0))</f>
        <v>Béton</v>
      </c>
      <c r="D1152" s="36" t="str">
        <f>IF(ISNA(VLOOKUP(Tableau13[[#This Row],[Code machine]],'CODE mchn'!$A$4:$C$170,3,0)),"",VLOOKUP(Tableau13[[#This Row],[Code machine]],'CODE mchn'!$A$4:$C$170,3,0))</f>
        <v>Poyatos 1</v>
      </c>
      <c r="E1152" s="105"/>
      <c r="F1152" s="58"/>
      <c r="G1152" s="58" t="s">
        <v>213</v>
      </c>
      <c r="H1152" s="58" t="s">
        <v>2038</v>
      </c>
      <c r="I1152" s="58" t="s">
        <v>13</v>
      </c>
      <c r="J1152" s="195" t="s">
        <v>2039</v>
      </c>
      <c r="K1152" s="196">
        <v>44194</v>
      </c>
      <c r="L1152" s="58"/>
      <c r="M1152" s="197">
        <v>20</v>
      </c>
      <c r="N1152" s="198">
        <f>MONTH(Tableau13[[#This Row],[Date fin intervention]])</f>
        <v>12</v>
      </c>
      <c r="O1152" s="198">
        <f>YEAR(Tableau13[[#This Row],[Date fin intervention]])</f>
        <v>2020</v>
      </c>
      <c r="P1152" s="58"/>
    </row>
    <row r="1153" spans="1:16">
      <c r="A1153" s="193">
        <v>44194</v>
      </c>
      <c r="B1153" s="194">
        <v>901</v>
      </c>
      <c r="C1153" s="195" t="str">
        <f>IF(ISNA(VLOOKUP(Tableau13[[#This Row],[Code machine]],'CODE mchn'!$A$4:$C$170,2,0)),"",VLOOKUP(Tableau13[[#This Row],[Code machine]],'CODE mchn'!$A$4:$C$170,2,0))</f>
        <v>Gestion de stock</v>
      </c>
      <c r="D1153" s="36" t="str">
        <f>IF(ISNA(VLOOKUP(Tableau13[[#This Row],[Code machine]],'CODE mchn'!$A$4:$C$170,3,0)),"",VLOOKUP(Tableau13[[#This Row],[Code machine]],'CODE mchn'!$A$4:$C$170,3,0))</f>
        <v>Grue à tour 1</v>
      </c>
      <c r="E1153" s="105"/>
      <c r="F1153" s="58"/>
      <c r="G1153" s="58" t="s">
        <v>23</v>
      </c>
      <c r="H1153" s="58" t="s">
        <v>2040</v>
      </c>
      <c r="I1153" s="58" t="s">
        <v>13</v>
      </c>
      <c r="J1153" s="195" t="s">
        <v>2041</v>
      </c>
      <c r="K1153" s="196">
        <v>44194</v>
      </c>
      <c r="L1153" s="58"/>
      <c r="M1153" s="197"/>
      <c r="N1153" s="198">
        <f>MONTH(Tableau13[[#This Row],[Date fin intervention]])</f>
        <v>12</v>
      </c>
      <c r="O1153" s="198">
        <f>YEAR(Tableau13[[#This Row],[Date fin intervention]])</f>
        <v>2020</v>
      </c>
      <c r="P1153" s="58"/>
    </row>
    <row r="1154" spans="1:16">
      <c r="A1154" s="193">
        <v>44195</v>
      </c>
      <c r="B1154" s="194">
        <v>800</v>
      </c>
      <c r="C1154" s="195" t="str">
        <f>IF(ISNA(VLOOKUP(Tableau13[[#This Row],[Code machine]],'CODE mchn'!$A$4:$C$170,2,0)),"",VLOOKUP(Tableau13[[#This Row],[Code machine]],'CODE mchn'!$A$4:$C$170,2,0))</f>
        <v>Béton</v>
      </c>
      <c r="D1154" s="36" t="str">
        <f>IF(ISNA(VLOOKUP(Tableau13[[#This Row],[Code machine]],'CODE mchn'!$A$4:$C$170,3,0)),"",VLOOKUP(Tableau13[[#This Row],[Code machine]],'CODE mchn'!$A$4:$C$170,3,0))</f>
        <v>Poyatos 2</v>
      </c>
      <c r="E1154" s="105"/>
      <c r="F1154" s="58"/>
      <c r="G1154" s="58" t="s">
        <v>213</v>
      </c>
      <c r="H1154" s="58" t="s">
        <v>608</v>
      </c>
      <c r="I1154" s="58" t="s">
        <v>13</v>
      </c>
      <c r="J1154" s="195" t="s">
        <v>2042</v>
      </c>
      <c r="K1154" s="196">
        <v>44195</v>
      </c>
      <c r="L1154" s="58"/>
      <c r="M1154" s="197">
        <v>1</v>
      </c>
      <c r="N1154" s="198">
        <f>MONTH(Tableau13[[#This Row],[Date fin intervention]])</f>
        <v>12</v>
      </c>
      <c r="O1154" s="198">
        <f>YEAR(Tableau13[[#This Row],[Date fin intervention]])</f>
        <v>2020</v>
      </c>
      <c r="P1154" s="58"/>
    </row>
    <row r="1155" spans="1:16" ht="28.5">
      <c r="A1155" s="193">
        <v>44195</v>
      </c>
      <c r="B1155" s="194">
        <v>800</v>
      </c>
      <c r="C1155" s="195" t="str">
        <f>IF(ISNA(VLOOKUP(Tableau13[[#This Row],[Code machine]],'CODE mchn'!$A$4:$C$170,2,0)),"",VLOOKUP(Tableau13[[#This Row],[Code machine]],'CODE mchn'!$A$4:$C$170,2,0))</f>
        <v>Béton</v>
      </c>
      <c r="D1155" s="36" t="str">
        <f>IF(ISNA(VLOOKUP(Tableau13[[#This Row],[Code machine]],'CODE mchn'!$A$4:$C$170,3,0)),"",VLOOKUP(Tableau13[[#This Row],[Code machine]],'CODE mchn'!$A$4:$C$170,3,0))</f>
        <v>Poyatos 2</v>
      </c>
      <c r="E1155" s="105"/>
      <c r="F1155" s="58"/>
      <c r="G1155" s="58" t="s">
        <v>118</v>
      </c>
      <c r="H1155" s="58" t="s">
        <v>2043</v>
      </c>
      <c r="I1155" s="58" t="s">
        <v>13</v>
      </c>
      <c r="J1155" s="195" t="s">
        <v>2044</v>
      </c>
      <c r="K1155" s="196">
        <v>44195</v>
      </c>
      <c r="L1155" s="58"/>
      <c r="M1155" s="197">
        <v>6</v>
      </c>
      <c r="N1155" s="198">
        <f>MONTH(Tableau13[[#This Row],[Date fin intervention]])</f>
        <v>12</v>
      </c>
      <c r="O1155" s="198">
        <f>YEAR(Tableau13[[#This Row],[Date fin intervention]])</f>
        <v>2020</v>
      </c>
      <c r="P1155" s="58"/>
    </row>
    <row r="1156" spans="1:16">
      <c r="A1156" s="193">
        <v>44195</v>
      </c>
      <c r="B1156" s="194">
        <v>565</v>
      </c>
      <c r="C1156" s="195" t="str">
        <f>IF(ISNA(VLOOKUP(Tableau13[[#This Row],[Code machine]],'CODE mchn'!$A$4:$C$170,2,0)),"",VLOOKUP(Tableau13[[#This Row],[Code machine]],'CODE mchn'!$A$4:$C$170,2,0))</f>
        <v>Acier</v>
      </c>
      <c r="D1156" s="36" t="str">
        <f>IF(ISNA(VLOOKUP(Tableau13[[#This Row],[Code machine]],'CODE mchn'!$A$4:$C$170,3,0)),"",VLOOKUP(Tableau13[[#This Row],[Code machine]],'CODE mchn'!$A$4:$C$170,3,0))</f>
        <v>EVG GE12</v>
      </c>
      <c r="E1156" s="105"/>
      <c r="F1156" s="58"/>
      <c r="G1156" s="58" t="s">
        <v>726</v>
      </c>
      <c r="H1156" s="58" t="s">
        <v>2045</v>
      </c>
      <c r="I1156" s="58" t="s">
        <v>13</v>
      </c>
      <c r="J1156" s="195" t="s">
        <v>2046</v>
      </c>
      <c r="K1156" s="196">
        <v>44195</v>
      </c>
      <c r="L1156" s="58"/>
      <c r="M1156" s="197">
        <v>1</v>
      </c>
      <c r="N1156" s="198">
        <f>MONTH(Tableau13[[#This Row],[Date fin intervention]])</f>
        <v>12</v>
      </c>
      <c r="O1156" s="198">
        <f>YEAR(Tableau13[[#This Row],[Date fin intervention]])</f>
        <v>2020</v>
      </c>
      <c r="P1156" s="58"/>
    </row>
    <row r="1157" spans="1:16">
      <c r="A1157" s="193">
        <v>44196</v>
      </c>
      <c r="B1157" s="194">
        <v>582</v>
      </c>
      <c r="C1157" s="195" t="str">
        <f>IF(ISNA(VLOOKUP(Tableau13[[#This Row],[Code machine]],'CODE mchn'!$A$4:$C$170,2,0)),"",VLOOKUP(Tableau13[[#This Row],[Code machine]],'CODE mchn'!$A$4:$C$170,2,0))</f>
        <v>Acier</v>
      </c>
      <c r="D1157" s="36" t="str">
        <f>IF(ISNA(VLOOKUP(Tableau13[[#This Row],[Code machine]],'CODE mchn'!$A$4:$C$170,3,0)),"",VLOOKUP(Tableau13[[#This Row],[Code machine]],'CODE mchn'!$A$4:$C$170,3,0))</f>
        <v>Teurema 2</v>
      </c>
      <c r="E1157" s="105"/>
      <c r="F1157" s="58"/>
      <c r="G1157" s="58" t="s">
        <v>1644</v>
      </c>
      <c r="H1157" s="58" t="s">
        <v>2047</v>
      </c>
      <c r="I1157" s="58" t="s">
        <v>13</v>
      </c>
      <c r="J1157" s="195" t="s">
        <v>2048</v>
      </c>
      <c r="K1157" s="196">
        <v>44196</v>
      </c>
      <c r="L1157" s="58"/>
      <c r="M1157" s="197">
        <v>4</v>
      </c>
      <c r="N1157" s="198">
        <f>MONTH(Tableau13[[#This Row],[Date fin intervention]])</f>
        <v>12</v>
      </c>
      <c r="O1157" s="198">
        <f>YEAR(Tableau13[[#This Row],[Date fin intervention]])</f>
        <v>2020</v>
      </c>
      <c r="P1157" s="58"/>
    </row>
    <row r="1158" spans="1:16">
      <c r="A1158" s="193">
        <v>44196</v>
      </c>
      <c r="B1158" s="194">
        <v>565</v>
      </c>
      <c r="C1158" s="195" t="str">
        <f>IF(ISNA(VLOOKUP(Tableau13[[#This Row],[Code machine]],'CODE mchn'!$A$4:$C$170,2,0)),"",VLOOKUP(Tableau13[[#This Row],[Code machine]],'CODE mchn'!$A$4:$C$170,2,0))</f>
        <v>Acier</v>
      </c>
      <c r="D1158" s="36" t="str">
        <f>IF(ISNA(VLOOKUP(Tableau13[[#This Row],[Code machine]],'CODE mchn'!$A$4:$C$170,3,0)),"",VLOOKUP(Tableau13[[#This Row],[Code machine]],'CODE mchn'!$A$4:$C$170,3,0))</f>
        <v>EVG GE12</v>
      </c>
      <c r="E1158" s="105"/>
      <c r="F1158" s="58"/>
      <c r="G1158" s="58" t="s">
        <v>726</v>
      </c>
      <c r="H1158" s="58" t="s">
        <v>776</v>
      </c>
      <c r="I1158" s="58" t="s">
        <v>13</v>
      </c>
      <c r="J1158" s="195" t="s">
        <v>2049</v>
      </c>
      <c r="K1158" s="196">
        <v>44196</v>
      </c>
      <c r="L1158" s="58"/>
      <c r="M1158" s="197">
        <v>20</v>
      </c>
      <c r="N1158" s="198">
        <f>MONTH(Tableau13[[#This Row],[Date fin intervention]])</f>
        <v>12</v>
      </c>
      <c r="O1158" s="198">
        <f>YEAR(Tableau13[[#This Row],[Date fin intervention]])</f>
        <v>2020</v>
      </c>
      <c r="P1158" s="58"/>
    </row>
    <row r="1159" spans="1:16">
      <c r="A1159" s="193">
        <v>44198</v>
      </c>
      <c r="B1159" s="194">
        <v>590</v>
      </c>
      <c r="C1159" s="195" t="str">
        <f>IF(ISNA(VLOOKUP(Tableau13[[#This Row],[Code machine]],'CODE mchn'!$A$4:$C$170,2,0)),"",VLOOKUP(Tableau13[[#This Row],[Code machine]],'CODE mchn'!$A$4:$C$170,2,0))</f>
        <v>Acier</v>
      </c>
      <c r="D1159" s="36" t="str">
        <f>IF(ISNA(VLOOKUP(Tableau13[[#This Row],[Code machine]],'CODE mchn'!$A$4:$C$170,3,0)),"",VLOOKUP(Tableau13[[#This Row],[Code machine]],'CODE mchn'!$A$4:$C$170,3,0))</f>
        <v>Teurema 3</v>
      </c>
      <c r="E1159" s="105"/>
      <c r="F1159" s="58" t="s">
        <v>2276</v>
      </c>
      <c r="G1159" s="58" t="s">
        <v>612</v>
      </c>
      <c r="H1159" s="58" t="s">
        <v>686</v>
      </c>
      <c r="I1159" s="58" t="s">
        <v>13</v>
      </c>
      <c r="J1159" s="195" t="s">
        <v>2050</v>
      </c>
      <c r="K1159" s="196">
        <v>44198</v>
      </c>
      <c r="L1159" s="58"/>
      <c r="M1159" s="197">
        <v>180</v>
      </c>
      <c r="N1159" s="198">
        <f>MONTH(Tableau13[[#This Row],[Date fin intervention]])</f>
        <v>1</v>
      </c>
      <c r="O1159" s="198">
        <f>YEAR(Tableau13[[#This Row],[Date fin intervention]])</f>
        <v>2021</v>
      </c>
      <c r="P1159" s="58"/>
    </row>
    <row r="1160" spans="1:16">
      <c r="A1160" s="193">
        <v>44198</v>
      </c>
      <c r="B1160" s="194">
        <v>570</v>
      </c>
      <c r="C1160" s="195" t="str">
        <f>IF(ISNA(VLOOKUP(Tableau13[[#This Row],[Code machine]],'CODE mchn'!$A$4:$C$170,2,0)),"",VLOOKUP(Tableau13[[#This Row],[Code machine]],'CODE mchn'!$A$4:$C$170,2,0))</f>
        <v>Acier</v>
      </c>
      <c r="D1160" s="36" t="str">
        <f>IF(ISNA(VLOOKUP(Tableau13[[#This Row],[Code machine]],'CODE mchn'!$A$4:$C$170,3,0)),"",VLOOKUP(Tableau13[[#This Row],[Code machine]],'CODE mchn'!$A$4:$C$170,3,0))</f>
        <v>Sigmatic</v>
      </c>
      <c r="E1160" s="105"/>
      <c r="F1160" s="58" t="s">
        <v>2277</v>
      </c>
      <c r="G1160" s="58" t="s">
        <v>2051</v>
      </c>
      <c r="H1160" s="58" t="s">
        <v>2052</v>
      </c>
      <c r="I1160" s="58" t="s">
        <v>13</v>
      </c>
      <c r="J1160" s="195" t="s">
        <v>567</v>
      </c>
      <c r="K1160" s="196">
        <v>44198</v>
      </c>
      <c r="L1160" s="58"/>
      <c r="M1160" s="197">
        <v>30</v>
      </c>
      <c r="N1160" s="198">
        <f>MONTH(Tableau13[[#This Row],[Date fin intervention]])</f>
        <v>1</v>
      </c>
      <c r="O1160" s="198">
        <f>YEAR(Tableau13[[#This Row],[Date fin intervention]])</f>
        <v>2021</v>
      </c>
      <c r="P1160" s="58"/>
    </row>
    <row r="1161" spans="1:16">
      <c r="A1161" s="193">
        <v>44198</v>
      </c>
      <c r="B1161" s="194">
        <v>570</v>
      </c>
      <c r="C1161" s="195" t="str">
        <f>IF(ISNA(VLOOKUP(Tableau13[[#This Row],[Code machine]],'CODE mchn'!$A$4:$C$170,2,0)),"",VLOOKUP(Tableau13[[#This Row],[Code machine]],'CODE mchn'!$A$4:$C$170,2,0))</f>
        <v>Acier</v>
      </c>
      <c r="D1161" s="36" t="str">
        <f>IF(ISNA(VLOOKUP(Tableau13[[#This Row],[Code machine]],'CODE mchn'!$A$4:$C$170,3,0)),"",VLOOKUP(Tableau13[[#This Row],[Code machine]],'CODE mchn'!$A$4:$C$170,3,0))</f>
        <v>Sigmatic</v>
      </c>
      <c r="E1161" s="105"/>
      <c r="F1161" s="36" t="s">
        <v>2276</v>
      </c>
      <c r="G1161" s="58" t="s">
        <v>136</v>
      </c>
      <c r="H1161" s="58" t="s">
        <v>776</v>
      </c>
      <c r="I1161" s="58" t="s">
        <v>13</v>
      </c>
      <c r="J1161" s="195" t="s">
        <v>2059</v>
      </c>
      <c r="K1161" s="196">
        <v>44198</v>
      </c>
      <c r="L1161" s="58"/>
      <c r="M1161" s="197">
        <v>20</v>
      </c>
      <c r="N1161" s="198">
        <f>MONTH(Tableau13[[#This Row],[Date fin intervention]])</f>
        <v>1</v>
      </c>
      <c r="O1161" s="198">
        <f>YEAR(Tableau13[[#This Row],[Date fin intervention]])</f>
        <v>2021</v>
      </c>
      <c r="P1161" s="58"/>
    </row>
    <row r="1162" spans="1:16">
      <c r="A1162" s="104">
        <v>44198</v>
      </c>
      <c r="B1162" s="105">
        <v>800</v>
      </c>
      <c r="C1162" s="106" t="str">
        <f>IF(ISNA(VLOOKUP(Tableau13[[#This Row],[Code machine]],'CODE mchn'!$A$4:$C$170,2,0)),"",VLOOKUP(Tableau13[[#This Row],[Code machine]],'CODE mchn'!$A$4:$C$170,2,0))</f>
        <v>Béton</v>
      </c>
      <c r="D1162" s="36" t="str">
        <f>IF(ISNA(VLOOKUP(Tableau13[[#This Row],[Code machine]],'CODE mchn'!$A$4:$C$170,3,0)),"",VLOOKUP(Tableau13[[#This Row],[Code machine]],'CODE mchn'!$A$4:$C$170,3,0))</f>
        <v>Poyatos 2</v>
      </c>
      <c r="E1162" s="105"/>
      <c r="F1162" s="36" t="s">
        <v>2277</v>
      </c>
      <c r="G1162" s="36" t="s">
        <v>118</v>
      </c>
      <c r="H1162" s="36" t="s">
        <v>408</v>
      </c>
      <c r="I1162" s="36" t="s">
        <v>13</v>
      </c>
      <c r="J1162" s="106" t="s">
        <v>374</v>
      </c>
      <c r="K1162" s="71">
        <v>44198</v>
      </c>
      <c r="L1162" s="36"/>
      <c r="M1162" s="108">
        <v>45</v>
      </c>
      <c r="N1162" s="108">
        <f>MONTH(Tableau13[[#This Row],[Date fin intervention]])</f>
        <v>1</v>
      </c>
      <c r="O1162" s="108">
        <f>YEAR(Tableau13[[#This Row],[Date fin intervention]])</f>
        <v>2021</v>
      </c>
      <c r="P1162" s="36"/>
    </row>
    <row r="1163" spans="1:16" ht="28.5">
      <c r="A1163" s="238">
        <v>44199</v>
      </c>
      <c r="B1163" s="239">
        <v>581</v>
      </c>
      <c r="C1163" s="240" t="str">
        <f>IF(ISNA(VLOOKUP(Tableau13[[#This Row],[Code machine]],'CODE mchn'!$A$4:$C$170,2,0)),"",VLOOKUP(Tableau13[[#This Row],[Code machine]],'CODE mchn'!$A$4:$C$170,2,0))</f>
        <v>Acier</v>
      </c>
      <c r="D1163" s="241" t="str">
        <f>IF(ISNA(VLOOKUP(Tableau13[[#This Row],[Code machine]],'CODE mchn'!$A$4:$C$170,3,0)),"",VLOOKUP(Tableau13[[#This Row],[Code machine]],'CODE mchn'!$A$4:$C$170,3,0))</f>
        <v>Teurema 1</v>
      </c>
      <c r="E1163" s="239">
        <v>260210</v>
      </c>
      <c r="F1163" s="241"/>
      <c r="G1163" s="241" t="s">
        <v>3714</v>
      </c>
      <c r="H1163" s="241" t="s">
        <v>3715</v>
      </c>
      <c r="I1163" s="241" t="s">
        <v>3287</v>
      </c>
      <c r="J1163" s="249" t="s">
        <v>3716</v>
      </c>
      <c r="K1163" s="242">
        <v>44564</v>
      </c>
      <c r="L1163" s="241"/>
      <c r="M1163" s="243">
        <v>30</v>
      </c>
      <c r="N1163" s="243">
        <f>MONTH(Tableau13[[#This Row],[Date fin intervention]])</f>
        <v>1</v>
      </c>
      <c r="O1163" s="243">
        <f>YEAR(Tableau13[[#This Row],[Date fin intervention]])</f>
        <v>2022</v>
      </c>
      <c r="P1163" s="241"/>
    </row>
    <row r="1164" spans="1:16">
      <c r="A1164" s="193">
        <v>44200</v>
      </c>
      <c r="B1164" s="194">
        <v>604</v>
      </c>
      <c r="C1164" s="195" t="str">
        <f>IF(ISNA(VLOOKUP(Tableau13[[#This Row],[Code machine]],'CODE mchn'!$A$4:$C$170,2,0)),"",VLOOKUP(Tableau13[[#This Row],[Code machine]],'CODE mchn'!$A$4:$C$170,2,0))</f>
        <v>Acier</v>
      </c>
      <c r="D1164" s="36" t="str">
        <f>IF(ISNA(VLOOKUP(Tableau13[[#This Row],[Code machine]],'CODE mchn'!$A$4:$C$170,3,0)),"",VLOOKUP(Tableau13[[#This Row],[Code machine]],'CODE mchn'!$A$4:$C$170,3,0))</f>
        <v>TI</v>
      </c>
      <c r="E1164" s="105"/>
      <c r="F1164" s="36" t="s">
        <v>2277</v>
      </c>
      <c r="G1164" s="58" t="s">
        <v>926</v>
      </c>
      <c r="H1164" s="58" t="s">
        <v>2053</v>
      </c>
      <c r="I1164" s="58" t="s">
        <v>13</v>
      </c>
      <c r="J1164" s="195" t="s">
        <v>2054</v>
      </c>
      <c r="K1164" s="196">
        <v>44211</v>
      </c>
      <c r="L1164" s="58" t="s">
        <v>2055</v>
      </c>
      <c r="M1164" s="141">
        <f>11*8*60</f>
        <v>5280</v>
      </c>
      <c r="N1164" s="198">
        <f>MONTH(Tableau13[[#This Row],[Date fin intervention]])</f>
        <v>1</v>
      </c>
      <c r="O1164" s="198">
        <f>YEAR(Tableau13[[#This Row],[Date fin intervention]])</f>
        <v>2021</v>
      </c>
      <c r="P1164" s="58"/>
    </row>
    <row r="1165" spans="1:16">
      <c r="A1165" s="193">
        <v>44200</v>
      </c>
      <c r="B1165" s="194">
        <v>605</v>
      </c>
      <c r="C1165" s="195" t="str">
        <f>IF(ISNA(VLOOKUP(Tableau13[[#This Row],[Code machine]],'CODE mchn'!$A$4:$C$170,2,0)),"",VLOOKUP(Tableau13[[#This Row],[Code machine]],'CODE mchn'!$A$4:$C$170,2,0))</f>
        <v>Acier</v>
      </c>
      <c r="D1165" s="36" t="str">
        <f>IF(ISNA(VLOOKUP(Tableau13[[#This Row],[Code machine]],'CODE mchn'!$A$4:$C$170,3,0)),"",VLOOKUP(Tableau13[[#This Row],[Code machine]],'CODE mchn'!$A$4:$C$170,3,0))</f>
        <v>Vitari 1</v>
      </c>
      <c r="E1165" s="105"/>
      <c r="F1165" s="36" t="s">
        <v>2277</v>
      </c>
      <c r="G1165" s="58" t="s">
        <v>95</v>
      </c>
      <c r="H1165" s="58" t="s">
        <v>2056</v>
      </c>
      <c r="I1165" s="58" t="s">
        <v>13</v>
      </c>
      <c r="J1165" s="195" t="s">
        <v>1076</v>
      </c>
      <c r="K1165" s="196">
        <v>44200</v>
      </c>
      <c r="L1165" s="58"/>
      <c r="M1165" s="197">
        <v>30</v>
      </c>
      <c r="N1165" s="198">
        <f>MONTH(Tableau13[[#This Row],[Date fin intervention]])</f>
        <v>1</v>
      </c>
      <c r="O1165" s="198">
        <f>YEAR(Tableau13[[#This Row],[Date fin intervention]])</f>
        <v>2021</v>
      </c>
      <c r="P1165" s="58"/>
    </row>
    <row r="1166" spans="1:16">
      <c r="A1166" s="193">
        <v>44200</v>
      </c>
      <c r="B1166" s="194">
        <v>800</v>
      </c>
      <c r="C1166" s="195" t="str">
        <f>IF(ISNA(VLOOKUP(Tableau13[[#This Row],[Code machine]],'CODE mchn'!$A$4:$C$170,2,0)),"",VLOOKUP(Tableau13[[#This Row],[Code machine]],'CODE mchn'!$A$4:$C$170,2,0))</f>
        <v>Béton</v>
      </c>
      <c r="D1166" s="36" t="str">
        <f>IF(ISNA(VLOOKUP(Tableau13[[#This Row],[Code machine]],'CODE mchn'!$A$4:$C$170,3,0)),"",VLOOKUP(Tableau13[[#This Row],[Code machine]],'CODE mchn'!$A$4:$C$170,3,0))</f>
        <v>Poyatos 2</v>
      </c>
      <c r="E1166" s="105"/>
      <c r="F1166" s="36" t="s">
        <v>2276</v>
      </c>
      <c r="G1166" s="58" t="s">
        <v>675</v>
      </c>
      <c r="H1166" s="58" t="s">
        <v>2057</v>
      </c>
      <c r="I1166" s="58" t="s">
        <v>13</v>
      </c>
      <c r="J1166" s="195" t="s">
        <v>2058</v>
      </c>
      <c r="K1166" s="196">
        <v>44200</v>
      </c>
      <c r="L1166" s="58"/>
      <c r="M1166" s="197">
        <v>180</v>
      </c>
      <c r="N1166" s="198">
        <f>MONTH(Tableau13[[#This Row],[Date fin intervention]])</f>
        <v>1</v>
      </c>
      <c r="O1166" s="198">
        <f>YEAR(Tableau13[[#This Row],[Date fin intervention]])</f>
        <v>2021</v>
      </c>
      <c r="P1166" s="58"/>
    </row>
    <row r="1167" spans="1:16">
      <c r="A1167" s="104">
        <v>44200</v>
      </c>
      <c r="B1167" s="105">
        <v>700</v>
      </c>
      <c r="C1167" s="106" t="str">
        <f>IF(ISNA(VLOOKUP(Tableau13[[#This Row],[Code machine]],'CODE mchn'!$A$4:$C$170,2,0)),"",VLOOKUP(Tableau13[[#This Row],[Code machine]],'CODE mchn'!$A$4:$C$170,2,0))</f>
        <v>Béton</v>
      </c>
      <c r="D1167" s="36" t="str">
        <f>IF(ISNA(VLOOKUP(Tableau13[[#This Row],[Code machine]],'CODE mchn'!$A$4:$C$170,3,0)),"",VLOOKUP(Tableau13[[#This Row],[Code machine]],'CODE mchn'!$A$4:$C$170,3,0))</f>
        <v>Poyatos 1</v>
      </c>
      <c r="E1167" s="105"/>
      <c r="F1167" s="36" t="s">
        <v>2277</v>
      </c>
      <c r="G1167" s="36" t="s">
        <v>1206</v>
      </c>
      <c r="H1167" s="36" t="s">
        <v>1022</v>
      </c>
      <c r="I1167" s="36" t="s">
        <v>13</v>
      </c>
      <c r="J1167" s="106" t="s">
        <v>2368</v>
      </c>
      <c r="K1167" s="71">
        <v>44200</v>
      </c>
      <c r="L1167" s="36"/>
      <c r="M1167" s="108">
        <v>90</v>
      </c>
      <c r="N1167" s="108">
        <f>MONTH(Tableau13[[#This Row],[Date fin intervention]])</f>
        <v>1</v>
      </c>
      <c r="O1167" s="108">
        <f>YEAR(Tableau13[[#This Row],[Date fin intervention]])</f>
        <v>2021</v>
      </c>
      <c r="P1167" s="36"/>
    </row>
    <row r="1168" spans="1:16">
      <c r="A1168" s="104">
        <v>44201</v>
      </c>
      <c r="B1168" s="105">
        <v>590</v>
      </c>
      <c r="C1168" s="106" t="str">
        <f>IF(ISNA(VLOOKUP(Tableau13[[#This Row],[Code machine]],'CODE mchn'!$A$4:$C$170,2,0)),"",VLOOKUP(Tableau13[[#This Row],[Code machine]],'CODE mchn'!$A$4:$C$170,2,0))</f>
        <v>Acier</v>
      </c>
      <c r="D1168" s="36" t="str">
        <f>IF(ISNA(VLOOKUP(Tableau13[[#This Row],[Code machine]],'CODE mchn'!$A$4:$C$170,3,0)),"",VLOOKUP(Tableau13[[#This Row],[Code machine]],'CODE mchn'!$A$4:$C$170,3,0))</f>
        <v>Teurema 3</v>
      </c>
      <c r="E1168" s="105"/>
      <c r="F1168" s="36" t="s">
        <v>2276</v>
      </c>
      <c r="G1168" s="36" t="s">
        <v>2067</v>
      </c>
      <c r="H1168" s="36" t="s">
        <v>458</v>
      </c>
      <c r="I1168" s="36" t="s">
        <v>13</v>
      </c>
      <c r="J1168" s="106" t="s">
        <v>2068</v>
      </c>
      <c r="K1168" s="71">
        <v>44201</v>
      </c>
      <c r="L1168" s="36"/>
      <c r="M1168" s="141">
        <v>60</v>
      </c>
      <c r="N1168" s="198">
        <f>MONTH(Tableau13[[#This Row],[Date fin intervention]])</f>
        <v>1</v>
      </c>
      <c r="O1168" s="198">
        <f>YEAR(Tableau13[[#This Row],[Date fin intervention]])</f>
        <v>2021</v>
      </c>
      <c r="P1168" s="36"/>
    </row>
    <row r="1169" spans="1:16">
      <c r="A1169" s="104">
        <v>44201</v>
      </c>
      <c r="B1169" s="105">
        <v>700</v>
      </c>
      <c r="C1169" s="106" t="str">
        <f>IF(ISNA(VLOOKUP(Tableau13[[#This Row],[Code machine]],'CODE mchn'!$A$4:$C$170,2,0)),"",VLOOKUP(Tableau13[[#This Row],[Code machine]],'CODE mchn'!$A$4:$C$170,2,0))</f>
        <v>Béton</v>
      </c>
      <c r="D1169" s="36" t="str">
        <f>IF(ISNA(VLOOKUP(Tableau13[[#This Row],[Code machine]],'CODE mchn'!$A$4:$C$170,3,0)),"",VLOOKUP(Tableau13[[#This Row],[Code machine]],'CODE mchn'!$A$4:$C$170,3,0))</f>
        <v>Poyatos 1</v>
      </c>
      <c r="E1169" s="105"/>
      <c r="F1169" s="36" t="s">
        <v>2277</v>
      </c>
      <c r="G1169" s="36" t="s">
        <v>213</v>
      </c>
      <c r="H1169" s="36" t="s">
        <v>2356</v>
      </c>
      <c r="I1169" s="36" t="s">
        <v>13</v>
      </c>
      <c r="J1169" s="106" t="s">
        <v>2144</v>
      </c>
      <c r="K1169" s="71">
        <v>44201</v>
      </c>
      <c r="L1169" s="36"/>
      <c r="M1169" s="108">
        <v>60</v>
      </c>
      <c r="N1169" s="108">
        <f>MONTH(Tableau13[[#This Row],[Date fin intervention]])</f>
        <v>1</v>
      </c>
      <c r="O1169" s="108">
        <f>YEAR(Tableau13[[#This Row],[Date fin intervention]])</f>
        <v>2021</v>
      </c>
      <c r="P1169" s="36"/>
    </row>
    <row r="1170" spans="1:16">
      <c r="A1170" s="104">
        <v>44201</v>
      </c>
      <c r="B1170" s="105">
        <v>800</v>
      </c>
      <c r="C1170" s="106" t="str">
        <f>IF(ISNA(VLOOKUP(Tableau13[[#This Row],[Code machine]],'CODE mchn'!$A$4:$C$170,2,0)),"",VLOOKUP(Tableau13[[#This Row],[Code machine]],'CODE mchn'!$A$4:$C$170,2,0))</f>
        <v>Béton</v>
      </c>
      <c r="D1170" s="36" t="str">
        <f>IF(ISNA(VLOOKUP(Tableau13[[#This Row],[Code machine]],'CODE mchn'!$A$4:$C$170,3,0)),"",VLOOKUP(Tableau13[[#This Row],[Code machine]],'CODE mchn'!$A$4:$C$170,3,0))</f>
        <v>Poyatos 2</v>
      </c>
      <c r="E1170" s="105"/>
      <c r="F1170" s="36" t="s">
        <v>2277</v>
      </c>
      <c r="G1170" s="36" t="s">
        <v>1479</v>
      </c>
      <c r="H1170" s="36" t="s">
        <v>2043</v>
      </c>
      <c r="I1170" s="36" t="s">
        <v>13</v>
      </c>
      <c r="J1170" s="106" t="s">
        <v>2370</v>
      </c>
      <c r="K1170" s="71">
        <v>44201</v>
      </c>
      <c r="L1170" s="36"/>
      <c r="M1170" s="108">
        <v>60</v>
      </c>
      <c r="N1170" s="108">
        <f>MONTH(Tableau13[[#This Row],[Date fin intervention]])</f>
        <v>1</v>
      </c>
      <c r="O1170" s="108">
        <f>YEAR(Tableau13[[#This Row],[Date fin intervention]])</f>
        <v>2021</v>
      </c>
      <c r="P1170" s="36"/>
    </row>
    <row r="1171" spans="1:16">
      <c r="A1171" s="104">
        <v>44201</v>
      </c>
      <c r="B1171" s="105">
        <v>800</v>
      </c>
      <c r="C1171" s="106" t="str">
        <f>IF(ISNA(VLOOKUP(Tableau13[[#This Row],[Code machine]],'CODE mchn'!$A$4:$C$170,2,0)),"",VLOOKUP(Tableau13[[#This Row],[Code machine]],'CODE mchn'!$A$4:$C$170,2,0))</f>
        <v>Béton</v>
      </c>
      <c r="D1171" s="36" t="str">
        <f>IF(ISNA(VLOOKUP(Tableau13[[#This Row],[Code machine]],'CODE mchn'!$A$4:$C$170,3,0)),"",VLOOKUP(Tableau13[[#This Row],[Code machine]],'CODE mchn'!$A$4:$C$170,3,0))</f>
        <v>Poyatos 2</v>
      </c>
      <c r="E1171" s="105"/>
      <c r="F1171" s="36" t="s">
        <v>2276</v>
      </c>
      <c r="G1171" s="36" t="s">
        <v>20</v>
      </c>
      <c r="H1171" s="36" t="s">
        <v>1971</v>
      </c>
      <c r="I1171" s="36" t="s">
        <v>13</v>
      </c>
      <c r="J1171" s="106" t="s">
        <v>2369</v>
      </c>
      <c r="K1171" s="71">
        <v>44201</v>
      </c>
      <c r="L1171" s="36"/>
      <c r="M1171" s="108"/>
      <c r="N1171" s="108">
        <f>MONTH(Tableau13[[#This Row],[Date fin intervention]])</f>
        <v>1</v>
      </c>
      <c r="O1171" s="108">
        <f>YEAR(Tableau13[[#This Row],[Date fin intervention]])</f>
        <v>2021</v>
      </c>
      <c r="P1171" s="36"/>
    </row>
    <row r="1172" spans="1:16">
      <c r="A1172" s="104">
        <v>44202</v>
      </c>
      <c r="B1172" s="105">
        <v>565</v>
      </c>
      <c r="C1172" s="106" t="str">
        <f>IF(ISNA(VLOOKUP(Tableau13[[#This Row],[Code machine]],'CODE mchn'!$A$4:$C$170,2,0)),"",VLOOKUP(Tableau13[[#This Row],[Code machine]],'CODE mchn'!$A$4:$C$170,2,0))</f>
        <v>Acier</v>
      </c>
      <c r="D1172" s="36" t="str">
        <f>IF(ISNA(VLOOKUP(Tableau13[[#This Row],[Code machine]],'CODE mchn'!$A$4:$C$170,3,0)),"",VLOOKUP(Tableau13[[#This Row],[Code machine]],'CODE mchn'!$A$4:$C$170,3,0))</f>
        <v>EVG GE12</v>
      </c>
      <c r="E1172" s="105"/>
      <c r="F1172" s="36" t="s">
        <v>2277</v>
      </c>
      <c r="G1172" s="36" t="s">
        <v>726</v>
      </c>
      <c r="H1172" s="36" t="s">
        <v>2069</v>
      </c>
      <c r="I1172" s="36" t="s">
        <v>13</v>
      </c>
      <c r="J1172" s="106" t="s">
        <v>2070</v>
      </c>
      <c r="K1172" s="71">
        <v>44202</v>
      </c>
      <c r="L1172" s="36"/>
      <c r="M1172" s="141">
        <v>60</v>
      </c>
      <c r="N1172" s="198">
        <f>MONTH(Tableau13[[#This Row],[Date fin intervention]])</f>
        <v>1</v>
      </c>
      <c r="O1172" s="198">
        <f>YEAR(Tableau13[[#This Row],[Date fin intervention]])</f>
        <v>2021</v>
      </c>
      <c r="P1172" s="36"/>
    </row>
    <row r="1173" spans="1:16">
      <c r="A1173" s="104">
        <v>44203</v>
      </c>
      <c r="B1173" s="105">
        <v>570</v>
      </c>
      <c r="C1173" s="106" t="str">
        <f>IF(ISNA(VLOOKUP(Tableau13[[#This Row],[Code machine]],'CODE mchn'!$A$4:$C$170,2,0)),"",VLOOKUP(Tableau13[[#This Row],[Code machine]],'CODE mchn'!$A$4:$C$170,2,0))</f>
        <v>Acier</v>
      </c>
      <c r="D1173" s="36" t="str">
        <f>IF(ISNA(VLOOKUP(Tableau13[[#This Row],[Code machine]],'CODE mchn'!$A$4:$C$170,3,0)),"",VLOOKUP(Tableau13[[#This Row],[Code machine]],'CODE mchn'!$A$4:$C$170,3,0))</f>
        <v>Sigmatic</v>
      </c>
      <c r="E1173" s="105"/>
      <c r="F1173" s="36" t="s">
        <v>2277</v>
      </c>
      <c r="G1173" s="36" t="s">
        <v>2072</v>
      </c>
      <c r="H1173" s="36" t="s">
        <v>1188</v>
      </c>
      <c r="I1173" s="36" t="s">
        <v>13</v>
      </c>
      <c r="J1173" s="106" t="s">
        <v>2073</v>
      </c>
      <c r="K1173" s="71">
        <v>44203</v>
      </c>
      <c r="L1173" s="36"/>
      <c r="M1173" s="141">
        <v>30</v>
      </c>
      <c r="N1173" s="108">
        <f>MONTH(Tableau13[[#This Row],[Date fin intervention]])</f>
        <v>1</v>
      </c>
      <c r="O1173" s="108">
        <f>YEAR(Tableau13[[#This Row],[Date fin intervention]])</f>
        <v>2021</v>
      </c>
      <c r="P1173" s="36"/>
    </row>
    <row r="1174" spans="1:16">
      <c r="A1174" s="104">
        <v>44203</v>
      </c>
      <c r="B1174" s="105">
        <v>582</v>
      </c>
      <c r="C1174" s="106" t="str">
        <f>IF(ISNA(VLOOKUP(Tableau13[[#This Row],[Code machine]],'CODE mchn'!$A$4:$C$170,2,0)),"",VLOOKUP(Tableau13[[#This Row],[Code machine]],'CODE mchn'!$A$4:$C$170,2,0))</f>
        <v>Acier</v>
      </c>
      <c r="D1174" s="36" t="str">
        <f>IF(ISNA(VLOOKUP(Tableau13[[#This Row],[Code machine]],'CODE mchn'!$A$4:$C$170,3,0)),"",VLOOKUP(Tableau13[[#This Row],[Code machine]],'CODE mchn'!$A$4:$C$170,3,0))</f>
        <v>Teurema 2</v>
      </c>
      <c r="E1174" s="105"/>
      <c r="F1174" s="36" t="s">
        <v>2276</v>
      </c>
      <c r="G1174" s="36" t="s">
        <v>2074</v>
      </c>
      <c r="H1174" s="36" t="s">
        <v>520</v>
      </c>
      <c r="I1174" s="36" t="s">
        <v>13</v>
      </c>
      <c r="J1174" s="106" t="s">
        <v>2075</v>
      </c>
      <c r="K1174" s="71">
        <v>44203</v>
      </c>
      <c r="L1174" s="36"/>
      <c r="M1174" s="141">
        <v>120</v>
      </c>
      <c r="N1174" s="198">
        <f>MONTH(Tableau13[[#This Row],[Date fin intervention]])</f>
        <v>1</v>
      </c>
      <c r="O1174" s="198">
        <f>YEAR(Tableau13[[#This Row],[Date fin intervention]])</f>
        <v>2021</v>
      </c>
      <c r="P1174" s="36"/>
    </row>
    <row r="1175" spans="1:16">
      <c r="A1175" s="104">
        <v>44203</v>
      </c>
      <c r="B1175" s="105">
        <v>700</v>
      </c>
      <c r="C1175" s="106" t="str">
        <f>IF(ISNA(VLOOKUP(Tableau13[[#This Row],[Code machine]],'CODE mchn'!$A$4:$C$170,2,0)),"",VLOOKUP(Tableau13[[#This Row],[Code machine]],'CODE mchn'!$A$4:$C$170,2,0))</f>
        <v>Béton</v>
      </c>
      <c r="D1175" s="36" t="str">
        <f>IF(ISNA(VLOOKUP(Tableau13[[#This Row],[Code machine]],'CODE mchn'!$A$4:$C$170,3,0)),"",VLOOKUP(Tableau13[[#This Row],[Code machine]],'CODE mchn'!$A$4:$C$170,3,0))</f>
        <v>Poyatos 1</v>
      </c>
      <c r="E1175" s="105"/>
      <c r="F1175" s="36" t="s">
        <v>2276</v>
      </c>
      <c r="G1175" s="36" t="s">
        <v>128</v>
      </c>
      <c r="H1175" s="36" t="s">
        <v>1202</v>
      </c>
      <c r="I1175" s="36" t="s">
        <v>13</v>
      </c>
      <c r="J1175" s="106" t="s">
        <v>2071</v>
      </c>
      <c r="K1175" s="71">
        <v>44203</v>
      </c>
      <c r="L1175" s="36"/>
      <c r="M1175" s="141">
        <v>180</v>
      </c>
      <c r="N1175" s="198">
        <f>MONTH(Tableau13[[#This Row],[Date fin intervention]])</f>
        <v>1</v>
      </c>
      <c r="O1175" s="108">
        <f>YEAR(Tableau13[[#This Row],[Date fin intervention]])</f>
        <v>2021</v>
      </c>
      <c r="P1175" s="36"/>
    </row>
    <row r="1176" spans="1:16">
      <c r="A1176" s="104">
        <v>44203</v>
      </c>
      <c r="B1176" s="105">
        <v>700</v>
      </c>
      <c r="C1176" s="106" t="str">
        <f>IF(ISNA(VLOOKUP(Tableau13[[#This Row],[Code machine]],'CODE mchn'!$A$4:$C$170,2,0)),"",VLOOKUP(Tableau13[[#This Row],[Code machine]],'CODE mchn'!$A$4:$C$170,2,0))</f>
        <v>Béton</v>
      </c>
      <c r="D1176" s="36" t="str">
        <f>IF(ISNA(VLOOKUP(Tableau13[[#This Row],[Code machine]],'CODE mchn'!$A$4:$C$170,3,0)),"",VLOOKUP(Tableau13[[#This Row],[Code machine]],'CODE mchn'!$A$4:$C$170,3,0))</f>
        <v>Poyatos 1</v>
      </c>
      <c r="E1176" s="105"/>
      <c r="F1176" s="36" t="s">
        <v>2277</v>
      </c>
      <c r="G1176" s="36" t="s">
        <v>128</v>
      </c>
      <c r="H1176" s="36" t="s">
        <v>2371</v>
      </c>
      <c r="I1176" s="36" t="s">
        <v>13</v>
      </c>
      <c r="J1176" s="106" t="s">
        <v>2372</v>
      </c>
      <c r="K1176" s="71">
        <v>44203</v>
      </c>
      <c r="L1176" s="36"/>
      <c r="M1176" s="108">
        <f>3*60</f>
        <v>180</v>
      </c>
      <c r="N1176" s="108">
        <f>MONTH(Tableau13[[#This Row],[Date fin intervention]])</f>
        <v>1</v>
      </c>
      <c r="O1176" s="108">
        <f>YEAR(Tableau13[[#This Row],[Date fin intervention]])</f>
        <v>2021</v>
      </c>
      <c r="P1176" s="36"/>
    </row>
    <row r="1177" spans="1:16">
      <c r="A1177" s="104">
        <v>44204</v>
      </c>
      <c r="B1177" s="105">
        <v>581</v>
      </c>
      <c r="C1177" s="106" t="str">
        <f>IF(ISNA(VLOOKUP(Tableau13[[#This Row],[Code machine]],'CODE mchn'!$A$4:$C$170,2,0)),"",VLOOKUP(Tableau13[[#This Row],[Code machine]],'CODE mchn'!$A$4:$C$170,2,0))</f>
        <v>Acier</v>
      </c>
      <c r="D1177" s="36" t="str">
        <f>IF(ISNA(VLOOKUP(Tableau13[[#This Row],[Code machine]],'CODE mchn'!$A$4:$C$170,3,0)),"",VLOOKUP(Tableau13[[#This Row],[Code machine]],'CODE mchn'!$A$4:$C$170,3,0))</f>
        <v>Teurema 1</v>
      </c>
      <c r="E1177" s="105"/>
      <c r="F1177" s="36" t="s">
        <v>2277</v>
      </c>
      <c r="G1177" s="36" t="s">
        <v>1644</v>
      </c>
      <c r="H1177" s="36" t="s">
        <v>2076</v>
      </c>
      <c r="I1177" s="36" t="s">
        <v>13</v>
      </c>
      <c r="J1177" s="106" t="s">
        <v>2077</v>
      </c>
      <c r="K1177" s="71">
        <v>44204</v>
      </c>
      <c r="L1177" s="36"/>
      <c r="M1177" s="141">
        <v>120</v>
      </c>
      <c r="N1177" s="198">
        <f>MONTH(Tableau13[[#This Row],[Date fin intervention]])</f>
        <v>1</v>
      </c>
      <c r="O1177" s="198">
        <f>YEAR(Tableau13[[#This Row],[Date fin intervention]])</f>
        <v>2021</v>
      </c>
      <c r="P1177" s="36"/>
    </row>
    <row r="1178" spans="1:16">
      <c r="A1178" s="104">
        <v>44204</v>
      </c>
      <c r="B1178" s="105">
        <v>560</v>
      </c>
      <c r="C1178" s="106" t="str">
        <f>IF(ISNA(VLOOKUP(Tableau13[[#This Row],[Code machine]],'CODE mchn'!$A$4:$C$170,2,0)),"",VLOOKUP(Tableau13[[#This Row],[Code machine]],'CODE mchn'!$A$4:$C$170,2,0))</f>
        <v>Acier</v>
      </c>
      <c r="D1178" s="36" t="str">
        <f>IF(ISNA(VLOOKUP(Tableau13[[#This Row],[Code machine]],'CODE mchn'!$A$4:$C$170,3,0)),"",VLOOKUP(Tableau13[[#This Row],[Code machine]],'CODE mchn'!$A$4:$C$170,3,0))</f>
        <v>Schlatter</v>
      </c>
      <c r="E1178" s="105"/>
      <c r="F1178" s="36" t="s">
        <v>2277</v>
      </c>
      <c r="G1178" s="36" t="s">
        <v>519</v>
      </c>
      <c r="H1178" s="36" t="s">
        <v>2078</v>
      </c>
      <c r="I1178" s="36" t="s">
        <v>13</v>
      </c>
      <c r="J1178" s="106" t="s">
        <v>2079</v>
      </c>
      <c r="K1178" s="71">
        <v>44204</v>
      </c>
      <c r="L1178" s="36"/>
      <c r="M1178" s="141">
        <v>60</v>
      </c>
      <c r="N1178" s="198">
        <f>MONTH(Tableau13[[#This Row],[Date fin intervention]])</f>
        <v>1</v>
      </c>
      <c r="O1178" s="198">
        <f>YEAR(Tableau13[[#This Row],[Date fin intervention]])</f>
        <v>2021</v>
      </c>
      <c r="P1178" s="36"/>
    </row>
    <row r="1179" spans="1:16">
      <c r="A1179" s="104">
        <v>44204</v>
      </c>
      <c r="B1179" s="105">
        <v>800</v>
      </c>
      <c r="C1179" s="106" t="str">
        <f>IF(ISNA(VLOOKUP(Tableau13[[#This Row],[Code machine]],'CODE mchn'!$A$4:$C$170,2,0)),"",VLOOKUP(Tableau13[[#This Row],[Code machine]],'CODE mchn'!$A$4:$C$170,2,0))</f>
        <v>Béton</v>
      </c>
      <c r="D1179" s="36" t="str">
        <f>IF(ISNA(VLOOKUP(Tableau13[[#This Row],[Code machine]],'CODE mchn'!$A$4:$C$170,3,0)),"",VLOOKUP(Tableau13[[#This Row],[Code machine]],'CODE mchn'!$A$4:$C$170,3,0))</f>
        <v>Poyatos 2</v>
      </c>
      <c r="E1179" s="105"/>
      <c r="F1179" s="36" t="s">
        <v>2277</v>
      </c>
      <c r="G1179" s="36" t="s">
        <v>118</v>
      </c>
      <c r="H1179" s="36" t="s">
        <v>2373</v>
      </c>
      <c r="I1179" s="36" t="s">
        <v>13</v>
      </c>
      <c r="J1179" s="106" t="s">
        <v>567</v>
      </c>
      <c r="K1179" s="71">
        <v>44204</v>
      </c>
      <c r="L1179" s="36"/>
      <c r="M1179" s="108">
        <v>360</v>
      </c>
      <c r="N1179" s="108">
        <f>MONTH(Tableau13[[#This Row],[Date fin intervention]])</f>
        <v>1</v>
      </c>
      <c r="O1179" s="108">
        <f>YEAR(Tableau13[[#This Row],[Date fin intervention]])</f>
        <v>2021</v>
      </c>
      <c r="P1179" s="36"/>
    </row>
    <row r="1180" spans="1:16">
      <c r="A1180" s="104">
        <v>44205</v>
      </c>
      <c r="B1180" s="105">
        <v>565</v>
      </c>
      <c r="C1180" s="106" t="str">
        <f>IF(ISNA(VLOOKUP(Tableau13[[#This Row],[Code machine]],'CODE mchn'!$A$4:$C$170,2,0)),"",VLOOKUP(Tableau13[[#This Row],[Code machine]],'CODE mchn'!$A$4:$C$170,2,0))</f>
        <v>Acier</v>
      </c>
      <c r="D1180" s="36" t="str">
        <f>IF(ISNA(VLOOKUP(Tableau13[[#This Row],[Code machine]],'CODE mchn'!$A$4:$C$170,3,0)),"",VLOOKUP(Tableau13[[#This Row],[Code machine]],'CODE mchn'!$A$4:$C$170,3,0))</f>
        <v>EVG GE12</v>
      </c>
      <c r="E1180" s="105"/>
      <c r="F1180" s="36" t="s">
        <v>2277</v>
      </c>
      <c r="G1180" s="36" t="s">
        <v>726</v>
      </c>
      <c r="H1180" s="36" t="s">
        <v>1727</v>
      </c>
      <c r="I1180" s="36" t="s">
        <v>13</v>
      </c>
      <c r="J1180" s="106" t="s">
        <v>2080</v>
      </c>
      <c r="K1180" s="71">
        <v>44205</v>
      </c>
      <c r="L1180" s="36"/>
      <c r="M1180" s="141">
        <v>90</v>
      </c>
      <c r="N1180" s="198">
        <f>MONTH(Tableau13[[#This Row],[Date fin intervention]])</f>
        <v>1</v>
      </c>
      <c r="O1180" s="198">
        <f>YEAR(Tableau13[[#This Row],[Date fin intervention]])</f>
        <v>2021</v>
      </c>
      <c r="P1180" s="36"/>
    </row>
    <row r="1181" spans="1:16">
      <c r="A1181" s="104">
        <v>44205</v>
      </c>
      <c r="B1181" s="105">
        <v>800</v>
      </c>
      <c r="C1181" s="106" t="str">
        <f>IF(ISNA(VLOOKUP(Tableau13[[#This Row],[Code machine]],'CODE mchn'!$A$4:$C$170,2,0)),"",VLOOKUP(Tableau13[[#This Row],[Code machine]],'CODE mchn'!$A$4:$C$170,2,0))</f>
        <v>Béton</v>
      </c>
      <c r="D1181" s="36" t="str">
        <f>IF(ISNA(VLOOKUP(Tableau13[[#This Row],[Code machine]],'CODE mchn'!$A$4:$C$170,3,0)),"",VLOOKUP(Tableau13[[#This Row],[Code machine]],'CODE mchn'!$A$4:$C$170,3,0))</f>
        <v>Poyatos 2</v>
      </c>
      <c r="E1181" s="105"/>
      <c r="F1181" s="36" t="s">
        <v>2277</v>
      </c>
      <c r="G1181" s="36" t="s">
        <v>1283</v>
      </c>
      <c r="H1181" s="36" t="s">
        <v>2374</v>
      </c>
      <c r="I1181" s="36" t="s">
        <v>13</v>
      </c>
      <c r="J1181" s="106" t="s">
        <v>2375</v>
      </c>
      <c r="K1181" s="71">
        <v>44205</v>
      </c>
      <c r="L1181" s="36"/>
      <c r="M1181" s="108">
        <v>20</v>
      </c>
      <c r="N1181" s="108">
        <f>MONTH(Tableau13[[#This Row],[Date fin intervention]])</f>
        <v>1</v>
      </c>
      <c r="O1181" s="108">
        <f>YEAR(Tableau13[[#This Row],[Date fin intervention]])</f>
        <v>2021</v>
      </c>
      <c r="P1181" s="36"/>
    </row>
    <row r="1182" spans="1:16">
      <c r="A1182" s="104">
        <v>44207</v>
      </c>
      <c r="B1182" s="105">
        <v>800</v>
      </c>
      <c r="C1182" s="106" t="str">
        <f>IF(ISNA(VLOOKUP(Tableau13[[#This Row],[Code machine]],'CODE mchn'!$A$4:$C$170,2,0)),"",VLOOKUP(Tableau13[[#This Row],[Code machine]],'CODE mchn'!$A$4:$C$170,2,0))</f>
        <v>Béton</v>
      </c>
      <c r="D1182" s="36" t="str">
        <f>IF(ISNA(VLOOKUP(Tableau13[[#This Row],[Code machine]],'CODE mchn'!$A$4:$C$170,3,0)),"",VLOOKUP(Tableau13[[#This Row],[Code machine]],'CODE mchn'!$A$4:$C$170,3,0))</f>
        <v>Poyatos 2</v>
      </c>
      <c r="E1182" s="105"/>
      <c r="F1182" s="36" t="s">
        <v>2277</v>
      </c>
      <c r="G1182" s="36" t="s">
        <v>118</v>
      </c>
      <c r="H1182" s="36" t="s">
        <v>408</v>
      </c>
      <c r="I1182" s="36" t="s">
        <v>13</v>
      </c>
      <c r="J1182" s="106" t="s">
        <v>374</v>
      </c>
      <c r="K1182" s="71">
        <v>44207</v>
      </c>
      <c r="L1182" s="108">
        <v>45</v>
      </c>
      <c r="M1182" s="108">
        <v>60</v>
      </c>
      <c r="N1182" s="108">
        <v>2021</v>
      </c>
      <c r="O1182" s="36"/>
      <c r="P1182" s="36"/>
    </row>
    <row r="1183" spans="1:16">
      <c r="A1183" s="104">
        <v>44208</v>
      </c>
      <c r="B1183" s="105">
        <v>607</v>
      </c>
      <c r="C1183" s="106" t="str">
        <f>IF(ISNA(VLOOKUP(Tableau13[[#This Row],[Code machine]],'CODE mchn'!$A$4:$C$170,2,0)),"",VLOOKUP(Tableau13[[#This Row],[Code machine]],'CODE mchn'!$A$4:$C$170,2,0))</f>
        <v>Acier</v>
      </c>
      <c r="D1183" s="36" t="str">
        <f>IF(ISNA(VLOOKUP(Tableau13[[#This Row],[Code machine]],'CODE mchn'!$A$4:$C$170,3,0)),"",VLOOKUP(Tableau13[[#This Row],[Code machine]],'CODE mchn'!$A$4:$C$170,3,0))</f>
        <v>Vitari 3</v>
      </c>
      <c r="E1183" s="105"/>
      <c r="F1183" s="36" t="s">
        <v>2277</v>
      </c>
      <c r="G1183" s="36" t="s">
        <v>664</v>
      </c>
      <c r="H1183" s="36" t="s">
        <v>350</v>
      </c>
      <c r="I1183" s="36" t="s">
        <v>13</v>
      </c>
      <c r="J1183" s="106" t="s">
        <v>2063</v>
      </c>
      <c r="K1183" s="71">
        <v>44208</v>
      </c>
      <c r="L1183" s="36"/>
      <c r="M1183" s="141">
        <v>60</v>
      </c>
      <c r="N1183" s="198">
        <f>MONTH(Tableau13[[#This Row],[Date fin intervention]])</f>
        <v>1</v>
      </c>
      <c r="O1183" s="198">
        <f>YEAR(Tableau13[[#This Row],[Date fin intervention]])</f>
        <v>2021</v>
      </c>
      <c r="P1183" s="36"/>
    </row>
    <row r="1184" spans="1:16">
      <c r="A1184" s="104">
        <v>44208</v>
      </c>
      <c r="B1184" s="105">
        <v>800</v>
      </c>
      <c r="C1184" s="106" t="str">
        <f>IF(ISNA(VLOOKUP(Tableau13[[#This Row],[Code machine]],'CODE mchn'!$A$4:$C$170,2,0)),"",VLOOKUP(Tableau13[[#This Row],[Code machine]],'CODE mchn'!$A$4:$C$170,2,0))</f>
        <v>Béton</v>
      </c>
      <c r="D1184" s="36" t="str">
        <f>IF(ISNA(VLOOKUP(Tableau13[[#This Row],[Code machine]],'CODE mchn'!$A$4:$C$170,3,0)),"",VLOOKUP(Tableau13[[#This Row],[Code machine]],'CODE mchn'!$A$4:$C$170,3,0))</f>
        <v>Poyatos 2</v>
      </c>
      <c r="E1184" s="105"/>
      <c r="F1184" s="36" t="s">
        <v>2276</v>
      </c>
      <c r="G1184" s="36" t="s">
        <v>110</v>
      </c>
      <c r="H1184" s="36" t="s">
        <v>520</v>
      </c>
      <c r="I1184" s="36" t="s">
        <v>13</v>
      </c>
      <c r="J1184" s="106" t="s">
        <v>2062</v>
      </c>
      <c r="K1184" s="71">
        <v>44208</v>
      </c>
      <c r="L1184" s="36"/>
      <c r="M1184" s="141">
        <v>60</v>
      </c>
      <c r="N1184" s="198">
        <f>MONTH(Tableau13[[#This Row],[Date fin intervention]])</f>
        <v>1</v>
      </c>
      <c r="O1184" s="108">
        <f>YEAR(Tableau13[[#This Row],[Date fin intervention]])</f>
        <v>2021</v>
      </c>
      <c r="P1184" s="36"/>
    </row>
    <row r="1185" spans="1:16">
      <c r="A1185" s="104">
        <v>44208</v>
      </c>
      <c r="B1185" s="105">
        <v>800</v>
      </c>
      <c r="C1185" s="106" t="str">
        <f>IF(ISNA(VLOOKUP(Tableau13[[#This Row],[Code machine]],'CODE mchn'!$A$4:$C$170,2,0)),"",VLOOKUP(Tableau13[[#This Row],[Code machine]],'CODE mchn'!$A$4:$C$170,2,0))</f>
        <v>Béton</v>
      </c>
      <c r="D1185" s="36" t="str">
        <f>IF(ISNA(VLOOKUP(Tableau13[[#This Row],[Code machine]],'CODE mchn'!$A$4:$C$170,3,0)),"",VLOOKUP(Tableau13[[#This Row],[Code machine]],'CODE mchn'!$A$4:$C$170,3,0))</f>
        <v>Poyatos 2</v>
      </c>
      <c r="E1185" s="105"/>
      <c r="F1185" s="36" t="s">
        <v>2277</v>
      </c>
      <c r="G1185" s="36" t="s">
        <v>110</v>
      </c>
      <c r="H1185" s="36" t="s">
        <v>2061</v>
      </c>
      <c r="I1185" s="36" t="s">
        <v>13</v>
      </c>
      <c r="J1185" s="106" t="s">
        <v>1611</v>
      </c>
      <c r="K1185" s="71">
        <v>44208</v>
      </c>
      <c r="L1185" s="36"/>
      <c r="M1185" s="141">
        <v>45</v>
      </c>
      <c r="N1185" s="198">
        <f>MONTH(Tableau13[[#This Row],[Date fin intervention]])</f>
        <v>1</v>
      </c>
      <c r="O1185" s="108">
        <f>YEAR(Tableau13[[#This Row],[Date fin intervention]])</f>
        <v>2021</v>
      </c>
      <c r="P1185" s="36"/>
    </row>
    <row r="1186" spans="1:16">
      <c r="A1186" s="104">
        <v>44209</v>
      </c>
      <c r="B1186" s="105">
        <v>582</v>
      </c>
      <c r="C1186" s="106" t="str">
        <f>IF(ISNA(VLOOKUP(Tableau13[[#This Row],[Code machine]],'CODE mchn'!$A$4:$C$170,2,0)),"",VLOOKUP(Tableau13[[#This Row],[Code machine]],'CODE mchn'!$A$4:$C$170,2,0))</f>
        <v>Acier</v>
      </c>
      <c r="D1186" s="36" t="str">
        <f>IF(ISNA(VLOOKUP(Tableau13[[#This Row],[Code machine]],'CODE mchn'!$A$4:$C$170,3,0)),"",VLOOKUP(Tableau13[[#This Row],[Code machine]],'CODE mchn'!$A$4:$C$170,3,0))</f>
        <v>Teurema 2</v>
      </c>
      <c r="E1186" s="105"/>
      <c r="F1186" s="36" t="s">
        <v>2277</v>
      </c>
      <c r="G1186" s="36" t="s">
        <v>49</v>
      </c>
      <c r="H1186" s="36" t="s">
        <v>2064</v>
      </c>
      <c r="I1186" s="36" t="s">
        <v>13</v>
      </c>
      <c r="J1186" s="106" t="s">
        <v>2065</v>
      </c>
      <c r="K1186" s="71">
        <v>44209</v>
      </c>
      <c r="L1186" s="36"/>
      <c r="M1186" s="141">
        <v>60</v>
      </c>
      <c r="N1186" s="198">
        <f>MONTH(Tableau13[[#This Row],[Date fin intervention]])</f>
        <v>1</v>
      </c>
      <c r="O1186" s="198">
        <f>YEAR(Tableau13[[#This Row],[Date fin intervention]])</f>
        <v>2021</v>
      </c>
      <c r="P1186" s="36"/>
    </row>
    <row r="1187" spans="1:16">
      <c r="A1187" s="104">
        <v>44209</v>
      </c>
      <c r="B1187" s="105">
        <v>582</v>
      </c>
      <c r="C1187" s="106" t="str">
        <f>IF(ISNA(VLOOKUP(Tableau13[[#This Row],[Code machine]],'CODE mchn'!$A$4:$C$170,2,0)),"",VLOOKUP(Tableau13[[#This Row],[Code machine]],'CODE mchn'!$A$4:$C$170,2,0))</f>
        <v>Acier</v>
      </c>
      <c r="D1187" s="36" t="str">
        <f>IF(ISNA(VLOOKUP(Tableau13[[#This Row],[Code machine]],'CODE mchn'!$A$4:$C$170,3,0)),"",VLOOKUP(Tableau13[[#This Row],[Code machine]],'CODE mchn'!$A$4:$C$170,3,0))</f>
        <v>Teurema 2</v>
      </c>
      <c r="E1187" s="105"/>
      <c r="F1187" s="36" t="s">
        <v>2276</v>
      </c>
      <c r="G1187" s="36" t="s">
        <v>1649</v>
      </c>
      <c r="H1187" s="36" t="s">
        <v>1874</v>
      </c>
      <c r="I1187" s="36" t="s">
        <v>13</v>
      </c>
      <c r="J1187" s="106" t="s">
        <v>2066</v>
      </c>
      <c r="K1187" s="71">
        <v>44209</v>
      </c>
      <c r="L1187" s="36"/>
      <c r="M1187" s="141">
        <v>60</v>
      </c>
      <c r="N1187" s="198">
        <f>MONTH(Tableau13[[#This Row],[Date fin intervention]])</f>
        <v>1</v>
      </c>
      <c r="O1187" s="198">
        <f>YEAR(Tableau13[[#This Row],[Date fin intervention]])</f>
        <v>2021</v>
      </c>
      <c r="P1187" s="36"/>
    </row>
    <row r="1188" spans="1:16">
      <c r="A1188" s="104">
        <v>44209</v>
      </c>
      <c r="B1188" s="105">
        <v>700</v>
      </c>
      <c r="C1188" s="106" t="str">
        <f>IF(ISNA(VLOOKUP(Tableau13[[#This Row],[Code machine]],'CODE mchn'!$A$4:$C$170,2,0)),"",VLOOKUP(Tableau13[[#This Row],[Code machine]],'CODE mchn'!$A$4:$C$170,2,0))</f>
        <v>Béton</v>
      </c>
      <c r="D1188" s="36" t="str">
        <f>IF(ISNA(VLOOKUP(Tableau13[[#This Row],[Code machine]],'CODE mchn'!$A$4:$C$170,3,0)),"",VLOOKUP(Tableau13[[#This Row],[Code machine]],'CODE mchn'!$A$4:$C$170,3,0))</f>
        <v>Poyatos 1</v>
      </c>
      <c r="E1188" s="105"/>
      <c r="F1188" s="36" t="s">
        <v>2276</v>
      </c>
      <c r="G1188" s="36" t="s">
        <v>1132</v>
      </c>
      <c r="H1188" s="36" t="s">
        <v>1194</v>
      </c>
      <c r="I1188" s="36" t="s">
        <v>13</v>
      </c>
      <c r="J1188" s="106" t="s">
        <v>2028</v>
      </c>
      <c r="K1188" s="71">
        <v>44209</v>
      </c>
      <c r="L1188" s="36"/>
      <c r="M1188" s="141">
        <v>30</v>
      </c>
      <c r="N1188" s="108">
        <f>MONTH(Tableau13[[#This Row],[Date fin intervention]])</f>
        <v>1</v>
      </c>
      <c r="O1188" s="108">
        <f>YEAR(Tableau13[[#This Row],[Date fin intervention]])</f>
        <v>2021</v>
      </c>
      <c r="P1188" s="36"/>
    </row>
    <row r="1189" spans="1:16">
      <c r="A1189" s="199">
        <v>44210</v>
      </c>
      <c r="B1189" s="200">
        <v>590</v>
      </c>
      <c r="C1189" s="201" t="str">
        <f>IF(ISNA(VLOOKUP(Tableau13[[#This Row],[Code machine]],'CODE mchn'!$A$4:$C$170,2,0)),"",VLOOKUP(Tableau13[[#This Row],[Code machine]],'CODE mchn'!$A$4:$C$170,2,0))</f>
        <v>Acier</v>
      </c>
      <c r="D1189" s="36" t="str">
        <f>IF(ISNA(VLOOKUP(Tableau13[[#This Row],[Code machine]],'CODE mchn'!$A$4:$C$170,3,0)),"",VLOOKUP(Tableau13[[#This Row],[Code machine]],'CODE mchn'!$A$4:$C$170,3,0))</f>
        <v>Teurema 3</v>
      </c>
      <c r="E1189" s="105"/>
      <c r="F1189" s="36" t="s">
        <v>2276</v>
      </c>
      <c r="G1189" s="59" t="s">
        <v>2081</v>
      </c>
      <c r="H1189" s="59" t="s">
        <v>2082</v>
      </c>
      <c r="I1189" s="59" t="s">
        <v>13</v>
      </c>
      <c r="J1189" s="201" t="s">
        <v>896</v>
      </c>
      <c r="K1189" s="202">
        <v>44210</v>
      </c>
      <c r="L1189" s="59"/>
      <c r="M1189" s="203">
        <v>20</v>
      </c>
      <c r="N1189" s="204">
        <f>MONTH(Tableau13[[#This Row],[Date fin intervention]])</f>
        <v>1</v>
      </c>
      <c r="O1189" s="204">
        <f>YEAR(Tableau13[[#This Row],[Date fin intervention]])</f>
        <v>2021</v>
      </c>
      <c r="P1189" s="59"/>
    </row>
    <row r="1190" spans="1:16">
      <c r="A1190" s="104">
        <v>44210</v>
      </c>
      <c r="B1190" s="105">
        <v>800</v>
      </c>
      <c r="C1190" s="106" t="str">
        <f>IF(ISNA(VLOOKUP(Tableau13[[#This Row],[Code machine]],'CODE mchn'!$A$4:$C$170,2,0)),"",VLOOKUP(Tableau13[[#This Row],[Code machine]],'CODE mchn'!$A$4:$C$170,2,0))</f>
        <v>Béton</v>
      </c>
      <c r="D1190" s="36" t="str">
        <f>IF(ISNA(VLOOKUP(Tableau13[[#This Row],[Code machine]],'CODE mchn'!$A$4:$C$170,3,0)),"",VLOOKUP(Tableau13[[#This Row],[Code machine]],'CODE mchn'!$A$4:$C$170,3,0))</f>
        <v>Poyatos 2</v>
      </c>
      <c r="E1190" s="105"/>
      <c r="F1190" s="36" t="s">
        <v>2277</v>
      </c>
      <c r="G1190" s="36" t="s">
        <v>2261</v>
      </c>
      <c r="H1190" s="36" t="s">
        <v>2376</v>
      </c>
      <c r="I1190" s="36" t="s">
        <v>13</v>
      </c>
      <c r="J1190" s="106" t="s">
        <v>2377</v>
      </c>
      <c r="K1190" s="71">
        <v>44210</v>
      </c>
      <c r="L1190" s="36"/>
      <c r="M1190" s="108">
        <v>60</v>
      </c>
      <c r="N1190" s="108">
        <f>MONTH(Tableau13[[#This Row],[Date fin intervention]])</f>
        <v>1</v>
      </c>
      <c r="O1190" s="108">
        <f>YEAR(Tableau13[[#This Row],[Date fin intervention]])</f>
        <v>2021</v>
      </c>
      <c r="P1190" s="36"/>
    </row>
    <row r="1191" spans="1:16">
      <c r="A1191" s="199">
        <v>44211</v>
      </c>
      <c r="B1191" s="200">
        <v>590</v>
      </c>
      <c r="C1191" s="201" t="str">
        <f>IF(ISNA(VLOOKUP(Tableau13[[#This Row],[Code machine]],'CODE mchn'!$A$4:$C$170,2,0)),"",VLOOKUP(Tableau13[[#This Row],[Code machine]],'CODE mchn'!$A$4:$C$170,2,0))</f>
        <v>Acier</v>
      </c>
      <c r="D1191" s="36" t="str">
        <f>IF(ISNA(VLOOKUP(Tableau13[[#This Row],[Code machine]],'CODE mchn'!$A$4:$C$170,3,0)),"",VLOOKUP(Tableau13[[#This Row],[Code machine]],'CODE mchn'!$A$4:$C$170,3,0))</f>
        <v>Teurema 3</v>
      </c>
      <c r="E1191" s="105"/>
      <c r="F1191" s="36" t="s">
        <v>2277</v>
      </c>
      <c r="G1191" s="59" t="s">
        <v>75</v>
      </c>
      <c r="H1191" s="59" t="s">
        <v>2083</v>
      </c>
      <c r="I1191" s="59" t="s">
        <v>13</v>
      </c>
      <c r="J1191" s="201" t="s">
        <v>2084</v>
      </c>
      <c r="K1191" s="202">
        <v>44211</v>
      </c>
      <c r="L1191" s="59"/>
      <c r="M1191" s="203">
        <v>30</v>
      </c>
      <c r="N1191" s="204">
        <f>MONTH(Tableau13[[#This Row],[Date fin intervention]])</f>
        <v>1</v>
      </c>
      <c r="O1191" s="204">
        <f>YEAR(Tableau13[[#This Row],[Date fin intervention]])</f>
        <v>2021</v>
      </c>
      <c r="P1191" s="59"/>
    </row>
    <row r="1192" spans="1:16">
      <c r="A1192" s="199">
        <v>44211</v>
      </c>
      <c r="B1192" s="200">
        <v>571</v>
      </c>
      <c r="C1192" s="201" t="str">
        <f>IF(ISNA(VLOOKUP(Tableau13[[#This Row],[Code machine]],'CODE mchn'!$A$4:$C$170,2,0)),"",VLOOKUP(Tableau13[[#This Row],[Code machine]],'CODE mchn'!$A$4:$C$170,2,0))</f>
        <v>Acier</v>
      </c>
      <c r="D1192" s="36" t="str">
        <f>IF(ISNA(VLOOKUP(Tableau13[[#This Row],[Code machine]],'CODE mchn'!$A$4:$C$170,3,0)),"",VLOOKUP(Tableau13[[#This Row],[Code machine]],'CODE mchn'!$A$4:$C$170,3,0))</f>
        <v>EVG PN 1</v>
      </c>
      <c r="E1192" s="105"/>
      <c r="F1192" s="36" t="s">
        <v>2276</v>
      </c>
      <c r="G1192" s="59" t="s">
        <v>104</v>
      </c>
      <c r="H1192" s="59" t="s">
        <v>2085</v>
      </c>
      <c r="I1192" s="59" t="s">
        <v>13</v>
      </c>
      <c r="J1192" s="201" t="s">
        <v>2086</v>
      </c>
      <c r="K1192" s="202">
        <v>44211</v>
      </c>
      <c r="L1192" s="59"/>
      <c r="M1192" s="203">
        <v>30</v>
      </c>
      <c r="N1192" s="204">
        <f>MONTH(Tableau13[[#This Row],[Date fin intervention]])</f>
        <v>1</v>
      </c>
      <c r="O1192" s="204">
        <f>YEAR(Tableau13[[#This Row],[Date fin intervention]])</f>
        <v>2021</v>
      </c>
      <c r="P1192" s="59"/>
    </row>
    <row r="1193" spans="1:16">
      <c r="A1193" s="104">
        <v>44211</v>
      </c>
      <c r="B1193" s="105">
        <v>700</v>
      </c>
      <c r="C1193" s="106" t="str">
        <f>IF(ISNA(VLOOKUP(Tableau13[[#This Row],[Code machine]],'CODE mchn'!$A$4:$C$170,2,0)),"",VLOOKUP(Tableau13[[#This Row],[Code machine]],'CODE mchn'!$A$4:$C$170,2,0))</f>
        <v>Béton</v>
      </c>
      <c r="D1193" s="36" t="str">
        <f>IF(ISNA(VLOOKUP(Tableau13[[#This Row],[Code machine]],'CODE mchn'!$A$4:$C$170,3,0)),"",VLOOKUP(Tableau13[[#This Row],[Code machine]],'CODE mchn'!$A$4:$C$170,3,0))</f>
        <v>Poyatos 1</v>
      </c>
      <c r="E1193" s="105"/>
      <c r="F1193" s="36" t="s">
        <v>2277</v>
      </c>
      <c r="G1193" s="36" t="s">
        <v>2378</v>
      </c>
      <c r="H1193" s="36" t="s">
        <v>2244</v>
      </c>
      <c r="I1193" s="36" t="s">
        <v>13</v>
      </c>
      <c r="J1193" s="106" t="s">
        <v>2379</v>
      </c>
      <c r="K1193" s="71">
        <v>44211</v>
      </c>
      <c r="L1193" s="36"/>
      <c r="M1193" s="108">
        <v>45</v>
      </c>
      <c r="N1193" s="108">
        <f>MONTH(Tableau13[[#This Row],[Date fin intervention]])</f>
        <v>1</v>
      </c>
      <c r="O1193" s="108">
        <f>YEAR(Tableau13[[#This Row],[Date fin intervention]])</f>
        <v>2021</v>
      </c>
      <c r="P1193" s="36"/>
    </row>
    <row r="1194" spans="1:16">
      <c r="A1194" s="199">
        <v>44211</v>
      </c>
      <c r="B1194" s="200">
        <v>606</v>
      </c>
      <c r="C1194" s="201" t="str">
        <f>IF(ISNA(VLOOKUP(Tableau13[[#This Row],[Code machine]],'CODE mchn'!$A$4:$C$170,2,0)),"",VLOOKUP(Tableau13[[#This Row],[Code machine]],'CODE mchn'!$A$4:$C$170,2,0))</f>
        <v>Acier</v>
      </c>
      <c r="D1194" s="36" t="str">
        <f>IF(ISNA(VLOOKUP(Tableau13[[#This Row],[Code machine]],'CODE mchn'!$A$4:$C$170,3,0)),"",VLOOKUP(Tableau13[[#This Row],[Code machine]],'CODE mchn'!$A$4:$C$170,3,0))</f>
        <v>Vitari 2</v>
      </c>
      <c r="E1194" s="105"/>
      <c r="F1194" s="36" t="s">
        <v>2276</v>
      </c>
      <c r="G1194" s="59" t="s">
        <v>664</v>
      </c>
      <c r="H1194" s="59" t="s">
        <v>1521</v>
      </c>
      <c r="I1194" s="59" t="s">
        <v>30</v>
      </c>
      <c r="J1194" s="201" t="s">
        <v>2087</v>
      </c>
      <c r="K1194" s="202">
        <v>44211</v>
      </c>
      <c r="L1194" s="59"/>
      <c r="M1194" s="203">
        <v>30</v>
      </c>
      <c r="N1194" s="204">
        <f>MONTH(Tableau13[[#This Row],[Date fin intervention]])</f>
        <v>1</v>
      </c>
      <c r="O1194" s="204">
        <f>YEAR(Tableau13[[#This Row],[Date fin intervention]])</f>
        <v>2021</v>
      </c>
      <c r="P1194" s="59"/>
    </row>
    <row r="1195" spans="1:16">
      <c r="A1195" s="104">
        <v>44212</v>
      </c>
      <c r="B1195" s="105">
        <v>800</v>
      </c>
      <c r="C1195" s="106" t="str">
        <f>IF(ISNA(VLOOKUP(Tableau13[[#This Row],[Code machine]],'CODE mchn'!$A$4:$C$170,2,0)),"",VLOOKUP(Tableau13[[#This Row],[Code machine]],'CODE mchn'!$A$4:$C$170,2,0))</f>
        <v>Béton</v>
      </c>
      <c r="D1195" s="36" t="str">
        <f>IF(ISNA(VLOOKUP(Tableau13[[#This Row],[Code machine]],'CODE mchn'!$A$4:$C$170,3,0)),"",VLOOKUP(Tableau13[[#This Row],[Code machine]],'CODE mchn'!$A$4:$C$170,3,0))</f>
        <v>Poyatos 2</v>
      </c>
      <c r="E1195" s="105"/>
      <c r="F1195" s="36" t="s">
        <v>2277</v>
      </c>
      <c r="G1195" s="36" t="s">
        <v>118</v>
      </c>
      <c r="H1195" s="36" t="s">
        <v>408</v>
      </c>
      <c r="I1195" s="36" t="s">
        <v>13</v>
      </c>
      <c r="J1195" s="106" t="s">
        <v>374</v>
      </c>
      <c r="K1195" s="71">
        <v>44212</v>
      </c>
      <c r="L1195" s="108">
        <v>45</v>
      </c>
      <c r="M1195" s="108">
        <v>60</v>
      </c>
      <c r="N1195" s="108">
        <v>2021</v>
      </c>
      <c r="O1195" s="36"/>
      <c r="P1195" s="36"/>
    </row>
    <row r="1196" spans="1:16">
      <c r="A1196" s="199">
        <v>44214</v>
      </c>
      <c r="B1196" s="200">
        <v>582</v>
      </c>
      <c r="C1196" s="201" t="str">
        <f>IF(ISNA(VLOOKUP(Tableau13[[#This Row],[Code machine]],'CODE mchn'!$A$4:$C$170,2,0)),"",VLOOKUP(Tableau13[[#This Row],[Code machine]],'CODE mchn'!$A$4:$C$170,2,0))</f>
        <v>Acier</v>
      </c>
      <c r="D1196" s="36" t="str">
        <f>IF(ISNA(VLOOKUP(Tableau13[[#This Row],[Code machine]],'CODE mchn'!$A$4:$C$170,3,0)),"",VLOOKUP(Tableau13[[#This Row],[Code machine]],'CODE mchn'!$A$4:$C$170,3,0))</f>
        <v>Teurema 2</v>
      </c>
      <c r="E1196" s="105"/>
      <c r="F1196" s="36" t="s">
        <v>2276</v>
      </c>
      <c r="G1196" s="59" t="s">
        <v>1649</v>
      </c>
      <c r="H1196" s="59" t="s">
        <v>2088</v>
      </c>
      <c r="I1196" s="59" t="s">
        <v>13</v>
      </c>
      <c r="J1196" s="201" t="s">
        <v>2089</v>
      </c>
      <c r="K1196" s="202">
        <v>44214</v>
      </c>
      <c r="L1196" s="59"/>
      <c r="M1196" s="203">
        <v>20</v>
      </c>
      <c r="N1196" s="204">
        <f>MONTH(Tableau13[[#This Row],[Date fin intervention]])</f>
        <v>1</v>
      </c>
      <c r="O1196" s="204">
        <f>YEAR(Tableau13[[#This Row],[Date fin intervention]])</f>
        <v>2021</v>
      </c>
      <c r="P1196" s="59"/>
    </row>
    <row r="1197" spans="1:16">
      <c r="A1197" s="199">
        <v>44214</v>
      </c>
      <c r="B1197" s="200">
        <v>604</v>
      </c>
      <c r="C1197" s="201" t="str">
        <f>IF(ISNA(VLOOKUP(Tableau13[[#This Row],[Code machine]],'CODE mchn'!$A$4:$C$170,2,0)),"",VLOOKUP(Tableau13[[#This Row],[Code machine]],'CODE mchn'!$A$4:$C$170,2,0))</f>
        <v>Acier</v>
      </c>
      <c r="D1197" s="36" t="str">
        <f>IF(ISNA(VLOOKUP(Tableau13[[#This Row],[Code machine]],'CODE mchn'!$A$4:$C$170,3,0)),"",VLOOKUP(Tableau13[[#This Row],[Code machine]],'CODE mchn'!$A$4:$C$170,3,0))</f>
        <v>TI</v>
      </c>
      <c r="E1197" s="105"/>
      <c r="F1197" s="36" t="s">
        <v>2277</v>
      </c>
      <c r="G1197" s="59" t="s">
        <v>10</v>
      </c>
      <c r="H1197" s="59" t="s">
        <v>749</v>
      </c>
      <c r="I1197" s="59" t="s">
        <v>13</v>
      </c>
      <c r="J1197" s="201" t="s">
        <v>2090</v>
      </c>
      <c r="K1197" s="202">
        <v>44214</v>
      </c>
      <c r="L1197" s="59"/>
      <c r="M1197" s="203">
        <v>40</v>
      </c>
      <c r="N1197" s="204">
        <f>MONTH(Tableau13[[#This Row],[Date fin intervention]])</f>
        <v>1</v>
      </c>
      <c r="O1197" s="204">
        <f>YEAR(Tableau13[[#This Row],[Date fin intervention]])</f>
        <v>2021</v>
      </c>
      <c r="P1197" s="59"/>
    </row>
    <row r="1198" spans="1:16">
      <c r="A1198" s="199">
        <v>44214</v>
      </c>
      <c r="B1198" s="200">
        <v>560</v>
      </c>
      <c r="C1198" s="201" t="str">
        <f>IF(ISNA(VLOOKUP(Tableau13[[#This Row],[Code machine]],'CODE mchn'!$A$4:$C$170,2,0)),"",VLOOKUP(Tableau13[[#This Row],[Code machine]],'CODE mchn'!$A$4:$C$170,2,0))</f>
        <v>Acier</v>
      </c>
      <c r="D1198" s="36" t="str">
        <f>IF(ISNA(VLOOKUP(Tableau13[[#This Row],[Code machine]],'CODE mchn'!$A$4:$C$170,3,0)),"",VLOOKUP(Tableau13[[#This Row],[Code machine]],'CODE mchn'!$A$4:$C$170,3,0))</f>
        <v>Schlatter</v>
      </c>
      <c r="E1198" s="105"/>
      <c r="F1198" s="36" t="s">
        <v>2276</v>
      </c>
      <c r="G1198" s="59" t="s">
        <v>726</v>
      </c>
      <c r="H1198" s="59" t="s">
        <v>2091</v>
      </c>
      <c r="I1198" s="59" t="s">
        <v>13</v>
      </c>
      <c r="J1198" s="201" t="s">
        <v>2092</v>
      </c>
      <c r="K1198" s="202">
        <v>44214</v>
      </c>
      <c r="L1198" s="59"/>
      <c r="M1198" s="203">
        <v>150</v>
      </c>
      <c r="N1198" s="198">
        <f>MONTH(Tableau13[[#This Row],[Date fin intervention]])</f>
        <v>1</v>
      </c>
      <c r="O1198" s="198">
        <f>YEAR(Tableau13[[#This Row],[Date fin intervention]])</f>
        <v>2021</v>
      </c>
      <c r="P1198" s="59"/>
    </row>
    <row r="1199" spans="1:16">
      <c r="A1199" s="104">
        <v>44214</v>
      </c>
      <c r="B1199" s="105">
        <v>700</v>
      </c>
      <c r="C1199" s="106" t="str">
        <f>IF(ISNA(VLOOKUP(Tableau13[[#This Row],[Code machine]],'CODE mchn'!$A$4:$C$170,2,0)),"",VLOOKUP(Tableau13[[#This Row],[Code machine]],'CODE mchn'!$A$4:$C$170,2,0))</f>
        <v>Béton</v>
      </c>
      <c r="D1199" s="36" t="str">
        <f>IF(ISNA(VLOOKUP(Tableau13[[#This Row],[Code machine]],'CODE mchn'!$A$4:$C$170,3,0)),"",VLOOKUP(Tableau13[[#This Row],[Code machine]],'CODE mchn'!$A$4:$C$170,3,0))</f>
        <v>Poyatos 1</v>
      </c>
      <c r="E1199" s="105"/>
      <c r="F1199" s="36" t="s">
        <v>2277</v>
      </c>
      <c r="G1199" s="36" t="s">
        <v>185</v>
      </c>
      <c r="H1199" s="36" t="s">
        <v>2384</v>
      </c>
      <c r="I1199" s="36" t="s">
        <v>13</v>
      </c>
      <c r="J1199" s="106" t="s">
        <v>1545</v>
      </c>
      <c r="K1199" s="71">
        <v>44214</v>
      </c>
      <c r="L1199" s="36"/>
      <c r="M1199" s="108">
        <v>120</v>
      </c>
      <c r="N1199" s="108">
        <f>MONTH(Tableau13[[#This Row],[Date fin intervention]])</f>
        <v>1</v>
      </c>
      <c r="O1199" s="108">
        <f>YEAR(Tableau13[[#This Row],[Date fin intervention]])</f>
        <v>2021</v>
      </c>
      <c r="P1199" s="36"/>
    </row>
    <row r="1200" spans="1:16">
      <c r="A1200" s="104">
        <v>44214</v>
      </c>
      <c r="B1200" s="105">
        <v>800</v>
      </c>
      <c r="C1200" s="106" t="str">
        <f>IF(ISNA(VLOOKUP(Tableau13[[#This Row],[Code machine]],'CODE mchn'!$A$4:$C$170,2,0)),"",VLOOKUP(Tableau13[[#This Row],[Code machine]],'CODE mchn'!$A$4:$C$170,2,0))</f>
        <v>Béton</v>
      </c>
      <c r="D1200" s="36" t="str">
        <f>IF(ISNA(VLOOKUP(Tableau13[[#This Row],[Code machine]],'CODE mchn'!$A$4:$C$170,3,0)),"",VLOOKUP(Tableau13[[#This Row],[Code machine]],'CODE mchn'!$A$4:$C$170,3,0))</f>
        <v>Poyatos 2</v>
      </c>
      <c r="E1200" s="105"/>
      <c r="F1200" s="36" t="s">
        <v>2276</v>
      </c>
      <c r="G1200" s="36" t="s">
        <v>1132</v>
      </c>
      <c r="H1200" s="36" t="s">
        <v>1022</v>
      </c>
      <c r="I1200" s="36" t="s">
        <v>13</v>
      </c>
      <c r="J1200" s="106" t="s">
        <v>422</v>
      </c>
      <c r="K1200" s="71">
        <v>44214</v>
      </c>
      <c r="L1200" s="36"/>
      <c r="M1200" s="108">
        <v>90</v>
      </c>
      <c r="N1200" s="108">
        <f>MONTH(Tableau13[[#This Row],[Date fin intervention]])</f>
        <v>1</v>
      </c>
      <c r="O1200" s="108">
        <f>YEAR(Tableau13[[#This Row],[Date fin intervention]])</f>
        <v>2021</v>
      </c>
      <c r="P1200" s="36"/>
    </row>
    <row r="1201" spans="1:16">
      <c r="A1201" s="104">
        <v>44214</v>
      </c>
      <c r="B1201" s="105">
        <v>700</v>
      </c>
      <c r="C1201" s="106" t="str">
        <f>IF(ISNA(VLOOKUP(Tableau13[[#This Row],[Code machine]],'CODE mchn'!$A$4:$C$170,2,0)),"",VLOOKUP(Tableau13[[#This Row],[Code machine]],'CODE mchn'!$A$4:$C$170,2,0))</f>
        <v>Béton</v>
      </c>
      <c r="D1201" s="36" t="str">
        <f>IF(ISNA(VLOOKUP(Tableau13[[#This Row],[Code machine]],'CODE mchn'!$A$4:$C$170,3,0)),"",VLOOKUP(Tableau13[[#This Row],[Code machine]],'CODE mchn'!$A$4:$C$170,3,0))</f>
        <v>Poyatos 1</v>
      </c>
      <c r="E1201" s="105"/>
      <c r="F1201" s="36" t="s">
        <v>2277</v>
      </c>
      <c r="G1201" s="36" t="s">
        <v>118</v>
      </c>
      <c r="H1201" s="36" t="s">
        <v>2382</v>
      </c>
      <c r="I1201" s="36" t="s">
        <v>13</v>
      </c>
      <c r="J1201" s="106" t="s">
        <v>2383</v>
      </c>
      <c r="K1201" s="71">
        <v>44214</v>
      </c>
      <c r="L1201" s="36"/>
      <c r="M1201" s="108">
        <v>60</v>
      </c>
      <c r="N1201" s="108">
        <f>MONTH(Tableau13[[#This Row],[Date fin intervention]])</f>
        <v>1</v>
      </c>
      <c r="O1201" s="108">
        <f>YEAR(Tableau13[[#This Row],[Date fin intervention]])</f>
        <v>2021</v>
      </c>
      <c r="P1201" s="36"/>
    </row>
    <row r="1202" spans="1:16">
      <c r="A1202" s="104">
        <v>44214</v>
      </c>
      <c r="B1202" s="105">
        <v>700</v>
      </c>
      <c r="C1202" s="106" t="str">
        <f>IF(ISNA(VLOOKUP(Tableau13[[#This Row],[Code machine]],'CODE mchn'!$A$4:$C$170,2,0)),"",VLOOKUP(Tableau13[[#This Row],[Code machine]],'CODE mchn'!$A$4:$C$170,2,0))</f>
        <v>Béton</v>
      </c>
      <c r="D1202" s="36" t="str">
        <f>IF(ISNA(VLOOKUP(Tableau13[[#This Row],[Code machine]],'CODE mchn'!$A$4:$C$170,3,0)),"",VLOOKUP(Tableau13[[#This Row],[Code machine]],'CODE mchn'!$A$4:$C$170,3,0))</f>
        <v>Poyatos 1</v>
      </c>
      <c r="E1202" s="105"/>
      <c r="F1202" s="36" t="s">
        <v>2276</v>
      </c>
      <c r="G1202" s="36" t="s">
        <v>1976</v>
      </c>
      <c r="H1202" s="36" t="s">
        <v>2380</v>
      </c>
      <c r="I1202" s="36" t="s">
        <v>13</v>
      </c>
      <c r="J1202" s="106" t="s">
        <v>2381</v>
      </c>
      <c r="K1202" s="71">
        <v>44214</v>
      </c>
      <c r="L1202" s="36"/>
      <c r="M1202" s="108">
        <v>15</v>
      </c>
      <c r="N1202" s="108">
        <f>MONTH(Tableau13[[#This Row],[Date fin intervention]])</f>
        <v>1</v>
      </c>
      <c r="O1202" s="108">
        <f>YEAR(Tableau13[[#This Row],[Date fin intervention]])</f>
        <v>2021</v>
      </c>
      <c r="P1202" s="36"/>
    </row>
    <row r="1203" spans="1:16">
      <c r="A1203" s="104">
        <v>44215</v>
      </c>
      <c r="B1203" s="105">
        <v>800</v>
      </c>
      <c r="C1203" s="106" t="str">
        <f>IF(ISNA(VLOOKUP(Tableau13[[#This Row],[Code machine]],'CODE mchn'!$A$4:$C$170,2,0)),"",VLOOKUP(Tableau13[[#This Row],[Code machine]],'CODE mchn'!$A$4:$C$170,2,0))</f>
        <v>Béton</v>
      </c>
      <c r="D1203" s="36" t="str">
        <f>IF(ISNA(VLOOKUP(Tableau13[[#This Row],[Code machine]],'CODE mchn'!$A$4:$C$170,3,0)),"",VLOOKUP(Tableau13[[#This Row],[Code machine]],'CODE mchn'!$A$4:$C$170,3,0))</f>
        <v>Poyatos 2</v>
      </c>
      <c r="E1203" s="105"/>
      <c r="F1203" s="36" t="s">
        <v>2277</v>
      </c>
      <c r="G1203" s="36" t="s">
        <v>394</v>
      </c>
      <c r="H1203" s="36" t="s">
        <v>2385</v>
      </c>
      <c r="I1203" s="36" t="s">
        <v>13</v>
      </c>
      <c r="J1203" s="106" t="s">
        <v>2386</v>
      </c>
      <c r="K1203" s="71">
        <v>44215</v>
      </c>
      <c r="L1203" s="36"/>
      <c r="M1203" s="108">
        <f>8*60</f>
        <v>480</v>
      </c>
      <c r="N1203" s="108">
        <f>MONTH(Tableau13[[#This Row],[Date fin intervention]])</f>
        <v>1</v>
      </c>
      <c r="O1203" s="108">
        <f>YEAR(Tableau13[[#This Row],[Date fin intervention]])</f>
        <v>2021</v>
      </c>
      <c r="P1203" s="36"/>
    </row>
    <row r="1204" spans="1:16">
      <c r="A1204" s="199">
        <v>44215</v>
      </c>
      <c r="B1204" s="200">
        <v>560</v>
      </c>
      <c r="C1204" s="201" t="str">
        <f>IF(ISNA(VLOOKUP(Tableau13[[#This Row],[Code machine]],'CODE mchn'!$A$4:$C$170,2,0)),"",VLOOKUP(Tableau13[[#This Row],[Code machine]],'CODE mchn'!$A$4:$C$170,2,0))</f>
        <v>Acier</v>
      </c>
      <c r="D1204" s="36" t="str">
        <f>IF(ISNA(VLOOKUP(Tableau13[[#This Row],[Code machine]],'CODE mchn'!$A$4:$C$170,3,0)),"",VLOOKUP(Tableau13[[#This Row],[Code machine]],'CODE mchn'!$A$4:$C$170,3,0))</f>
        <v>Schlatter</v>
      </c>
      <c r="E1204" s="105"/>
      <c r="F1204" s="36" t="s">
        <v>2277</v>
      </c>
      <c r="G1204" s="59" t="s">
        <v>726</v>
      </c>
      <c r="H1204" s="59" t="s">
        <v>776</v>
      </c>
      <c r="I1204" s="59" t="s">
        <v>13</v>
      </c>
      <c r="J1204" s="201" t="s">
        <v>2093</v>
      </c>
      <c r="K1204" s="202">
        <v>44215</v>
      </c>
      <c r="L1204" s="59"/>
      <c r="M1204" s="203">
        <v>30</v>
      </c>
      <c r="N1204" s="204">
        <f>MONTH(Tableau13[[#This Row],[Date fin intervention]])</f>
        <v>1</v>
      </c>
      <c r="O1204" s="204">
        <f>YEAR(Tableau13[[#This Row],[Date fin intervention]])</f>
        <v>2021</v>
      </c>
      <c r="P1204" s="59"/>
    </row>
    <row r="1205" spans="1:16">
      <c r="A1205" s="104">
        <v>44215</v>
      </c>
      <c r="B1205" s="105">
        <v>700</v>
      </c>
      <c r="C1205" s="106" t="str">
        <f>IF(ISNA(VLOOKUP(Tableau13[[#This Row],[Code machine]],'CODE mchn'!$A$4:$C$170,2,0)),"",VLOOKUP(Tableau13[[#This Row],[Code machine]],'CODE mchn'!$A$4:$C$170,2,0))</f>
        <v>Béton</v>
      </c>
      <c r="D1205" s="36" t="str">
        <f>IF(ISNA(VLOOKUP(Tableau13[[#This Row],[Code machine]],'CODE mchn'!$A$4:$C$170,3,0)),"",VLOOKUP(Tableau13[[#This Row],[Code machine]],'CODE mchn'!$A$4:$C$170,3,0))</f>
        <v>Poyatos 1</v>
      </c>
      <c r="E1205" s="105"/>
      <c r="F1205" s="36" t="s">
        <v>2277</v>
      </c>
      <c r="G1205" s="36" t="s">
        <v>378</v>
      </c>
      <c r="H1205" s="36" t="s">
        <v>2387</v>
      </c>
      <c r="I1205" s="36" t="s">
        <v>13</v>
      </c>
      <c r="J1205" s="106" t="s">
        <v>2388</v>
      </c>
      <c r="K1205" s="71">
        <v>44215</v>
      </c>
      <c r="L1205" s="36"/>
      <c r="M1205" s="108">
        <v>60</v>
      </c>
      <c r="N1205" s="108">
        <f>MONTH(Tableau13[[#This Row],[Date fin intervention]])</f>
        <v>1</v>
      </c>
      <c r="O1205" s="108">
        <f>YEAR(Tableau13[[#This Row],[Date fin intervention]])</f>
        <v>2021</v>
      </c>
      <c r="P1205" s="36"/>
    </row>
    <row r="1206" spans="1:16">
      <c r="A1206" s="104">
        <v>44215</v>
      </c>
      <c r="B1206" s="105">
        <v>800</v>
      </c>
      <c r="C1206" s="106" t="str">
        <f>IF(ISNA(VLOOKUP(Tableau13[[#This Row],[Code machine]],'CODE mchn'!$A$4:$C$170,2,0)),"",VLOOKUP(Tableau13[[#This Row],[Code machine]],'CODE mchn'!$A$4:$C$170,2,0))</f>
        <v>Béton</v>
      </c>
      <c r="D1206" s="36" t="str">
        <f>IF(ISNA(VLOOKUP(Tableau13[[#This Row],[Code machine]],'CODE mchn'!$A$4:$C$170,3,0)),"",VLOOKUP(Tableau13[[#This Row],[Code machine]],'CODE mchn'!$A$4:$C$170,3,0))</f>
        <v>Poyatos 2</v>
      </c>
      <c r="E1206" s="105"/>
      <c r="F1206" s="36" t="s">
        <v>2277</v>
      </c>
      <c r="G1206" s="36" t="s">
        <v>1283</v>
      </c>
      <c r="H1206" s="36" t="s">
        <v>1011</v>
      </c>
      <c r="I1206" s="36" t="s">
        <v>13</v>
      </c>
      <c r="J1206" s="106" t="s">
        <v>405</v>
      </c>
      <c r="K1206" s="71">
        <v>44215</v>
      </c>
      <c r="L1206" s="36"/>
      <c r="M1206" s="108">
        <v>45</v>
      </c>
      <c r="N1206" s="108">
        <f>MONTH(Tableau13[[#This Row],[Date fin intervention]])</f>
        <v>1</v>
      </c>
      <c r="O1206" s="108">
        <f>YEAR(Tableau13[[#This Row],[Date fin intervention]])</f>
        <v>2021</v>
      </c>
      <c r="P1206" s="36"/>
    </row>
    <row r="1207" spans="1:16">
      <c r="A1207" s="199">
        <v>44216</v>
      </c>
      <c r="B1207" s="200">
        <v>590</v>
      </c>
      <c r="C1207" s="201" t="str">
        <f>IF(ISNA(VLOOKUP(Tableau13[[#This Row],[Code machine]],'CODE mchn'!$A$4:$C$170,2,0)),"",VLOOKUP(Tableau13[[#This Row],[Code machine]],'CODE mchn'!$A$4:$C$170,2,0))</f>
        <v>Acier</v>
      </c>
      <c r="D1207" s="36" t="str">
        <f>IF(ISNA(VLOOKUP(Tableau13[[#This Row],[Code machine]],'CODE mchn'!$A$4:$C$170,3,0)),"",VLOOKUP(Tableau13[[#This Row],[Code machine]],'CODE mchn'!$A$4:$C$170,3,0))</f>
        <v>Teurema 3</v>
      </c>
      <c r="E1207" s="105"/>
      <c r="F1207" s="36" t="s">
        <v>2276</v>
      </c>
      <c r="G1207" s="59" t="s">
        <v>2094</v>
      </c>
      <c r="H1207" s="59" t="s">
        <v>352</v>
      </c>
      <c r="I1207" s="59" t="s">
        <v>13</v>
      </c>
      <c r="J1207" s="201" t="s">
        <v>1822</v>
      </c>
      <c r="K1207" s="202">
        <v>44216</v>
      </c>
      <c r="L1207" s="59"/>
      <c r="M1207" s="203">
        <v>90</v>
      </c>
      <c r="N1207" s="198">
        <f>MONTH(Tableau13[[#This Row],[Date fin intervention]])</f>
        <v>1</v>
      </c>
      <c r="O1207" s="198">
        <f>YEAR(Tableau13[[#This Row],[Date fin intervention]])</f>
        <v>2021</v>
      </c>
      <c r="P1207" s="59"/>
    </row>
    <row r="1208" spans="1:16">
      <c r="A1208" s="199">
        <v>44216</v>
      </c>
      <c r="B1208" s="200">
        <v>582</v>
      </c>
      <c r="C1208" s="201" t="str">
        <f>IF(ISNA(VLOOKUP(Tableau13[[#This Row],[Code machine]],'CODE mchn'!$A$4:$C$170,2,0)),"",VLOOKUP(Tableau13[[#This Row],[Code machine]],'CODE mchn'!$A$4:$C$170,2,0))</f>
        <v>Acier</v>
      </c>
      <c r="D1208" s="36" t="str">
        <f>IF(ISNA(VLOOKUP(Tableau13[[#This Row],[Code machine]],'CODE mchn'!$A$4:$C$170,3,0)),"",VLOOKUP(Tableau13[[#This Row],[Code machine]],'CODE mchn'!$A$4:$C$170,3,0))</f>
        <v>Teurema 2</v>
      </c>
      <c r="E1208" s="105"/>
      <c r="F1208" s="36" t="s">
        <v>2277</v>
      </c>
      <c r="G1208" s="59" t="s">
        <v>49</v>
      </c>
      <c r="H1208" s="59" t="s">
        <v>1074</v>
      </c>
      <c r="I1208" s="59" t="s">
        <v>13</v>
      </c>
      <c r="J1208" s="201" t="s">
        <v>2095</v>
      </c>
      <c r="K1208" s="202">
        <v>44216</v>
      </c>
      <c r="L1208" s="59"/>
      <c r="M1208" s="203">
        <v>30</v>
      </c>
      <c r="N1208" s="204">
        <f>MONTH(Tableau13[[#This Row],[Date fin intervention]])</f>
        <v>1</v>
      </c>
      <c r="O1208" s="204">
        <f>YEAR(Tableau13[[#This Row],[Date fin intervention]])</f>
        <v>2021</v>
      </c>
      <c r="P1208" s="59"/>
    </row>
    <row r="1209" spans="1:16">
      <c r="A1209" s="199">
        <v>44216</v>
      </c>
      <c r="B1209" s="200">
        <v>605</v>
      </c>
      <c r="C1209" s="201" t="str">
        <f>IF(ISNA(VLOOKUP(Tableau13[[#This Row],[Code machine]],'CODE mchn'!$A$4:$C$170,2,0)),"",VLOOKUP(Tableau13[[#This Row],[Code machine]],'CODE mchn'!$A$4:$C$170,2,0))</f>
        <v>Acier</v>
      </c>
      <c r="D1209" s="36" t="str">
        <f>IF(ISNA(VLOOKUP(Tableau13[[#This Row],[Code machine]],'CODE mchn'!$A$4:$C$170,3,0)),"",VLOOKUP(Tableau13[[#This Row],[Code machine]],'CODE mchn'!$A$4:$C$170,3,0))</f>
        <v>Vitari 1</v>
      </c>
      <c r="E1209" s="105"/>
      <c r="F1209" s="59" t="s">
        <v>2277</v>
      </c>
      <c r="G1209" s="59" t="s">
        <v>2096</v>
      </c>
      <c r="H1209" s="59" t="s">
        <v>2097</v>
      </c>
      <c r="I1209" s="59" t="s">
        <v>13</v>
      </c>
      <c r="J1209" s="201" t="s">
        <v>2098</v>
      </c>
      <c r="K1209" s="202">
        <v>44216</v>
      </c>
      <c r="L1209" s="59"/>
      <c r="M1209" s="203">
        <v>30</v>
      </c>
      <c r="N1209" s="204">
        <f>MONTH(Tableau13[[#This Row],[Date fin intervention]])</f>
        <v>1</v>
      </c>
      <c r="O1209" s="204">
        <f>YEAR(Tableau13[[#This Row],[Date fin intervention]])</f>
        <v>2021</v>
      </c>
      <c r="P1209" s="59"/>
    </row>
    <row r="1210" spans="1:16">
      <c r="A1210" s="104">
        <v>44216</v>
      </c>
      <c r="B1210" s="105">
        <v>700</v>
      </c>
      <c r="C1210" s="106" t="str">
        <f>IF(ISNA(VLOOKUP(Tableau13[[#This Row],[Code machine]],'CODE mchn'!$A$4:$C$170,2,0)),"",VLOOKUP(Tableau13[[#This Row],[Code machine]],'CODE mchn'!$A$4:$C$170,2,0))</f>
        <v>Béton</v>
      </c>
      <c r="D1210" s="36" t="str">
        <f>IF(ISNA(VLOOKUP(Tableau13[[#This Row],[Code machine]],'CODE mchn'!$A$4:$C$170,3,0)),"",VLOOKUP(Tableau13[[#This Row],[Code machine]],'CODE mchn'!$A$4:$C$170,3,0))</f>
        <v>Poyatos 1</v>
      </c>
      <c r="E1210" s="105"/>
      <c r="F1210" s="36" t="s">
        <v>2276</v>
      </c>
      <c r="G1210" s="36" t="s">
        <v>118</v>
      </c>
      <c r="H1210" s="36" t="s">
        <v>2392</v>
      </c>
      <c r="I1210" s="36" t="s">
        <v>13</v>
      </c>
      <c r="J1210" s="106" t="s">
        <v>2393</v>
      </c>
      <c r="K1210" s="71">
        <v>44216</v>
      </c>
      <c r="L1210" s="36"/>
      <c r="M1210" s="108">
        <f>4*60</f>
        <v>240</v>
      </c>
      <c r="N1210" s="108">
        <f>MONTH(Tableau13[[#This Row],[Date fin intervention]])</f>
        <v>1</v>
      </c>
      <c r="O1210" s="108">
        <f>YEAR(Tableau13[[#This Row],[Date fin intervention]])</f>
        <v>2021</v>
      </c>
      <c r="P1210" s="36"/>
    </row>
    <row r="1211" spans="1:16">
      <c r="A1211" s="104">
        <v>44216</v>
      </c>
      <c r="B1211" s="105">
        <v>700</v>
      </c>
      <c r="C1211" s="106" t="str">
        <f>IF(ISNA(VLOOKUP(Tableau13[[#This Row],[Code machine]],'CODE mchn'!$A$4:$C$170,2,0)),"",VLOOKUP(Tableau13[[#This Row],[Code machine]],'CODE mchn'!$A$4:$C$170,2,0))</f>
        <v>Béton</v>
      </c>
      <c r="D1211" s="36" t="str">
        <f>IF(ISNA(VLOOKUP(Tableau13[[#This Row],[Code machine]],'CODE mchn'!$A$4:$C$170,3,0)),"",VLOOKUP(Tableau13[[#This Row],[Code machine]],'CODE mchn'!$A$4:$C$170,3,0))</f>
        <v>Poyatos 1</v>
      </c>
      <c r="E1211" s="105"/>
      <c r="F1211" s="36" t="s">
        <v>2277</v>
      </c>
      <c r="G1211" s="36" t="s">
        <v>213</v>
      </c>
      <c r="H1211" s="36" t="s">
        <v>1134</v>
      </c>
      <c r="I1211" s="36" t="s">
        <v>13</v>
      </c>
      <c r="J1211" s="106" t="s">
        <v>2394</v>
      </c>
      <c r="K1211" s="71">
        <v>44216</v>
      </c>
      <c r="L1211" s="36"/>
      <c r="M1211" s="108">
        <f>3*60</f>
        <v>180</v>
      </c>
      <c r="N1211" s="108">
        <f>MONTH(Tableau13[[#This Row],[Date fin intervention]])</f>
        <v>1</v>
      </c>
      <c r="O1211" s="108">
        <f>YEAR(Tableau13[[#This Row],[Date fin intervention]])</f>
        <v>2021</v>
      </c>
      <c r="P1211" s="36"/>
    </row>
    <row r="1212" spans="1:16">
      <c r="A1212" s="104">
        <v>44216</v>
      </c>
      <c r="B1212" s="105">
        <v>800</v>
      </c>
      <c r="C1212" s="106" t="str">
        <f>IF(ISNA(VLOOKUP(Tableau13[[#This Row],[Code machine]],'CODE mchn'!$A$4:$C$170,2,0)),"",VLOOKUP(Tableau13[[#This Row],[Code machine]],'CODE mchn'!$A$4:$C$170,2,0))</f>
        <v>Béton</v>
      </c>
      <c r="D1212" s="36" t="str">
        <f>IF(ISNA(VLOOKUP(Tableau13[[#This Row],[Code machine]],'CODE mchn'!$A$4:$C$170,3,0)),"",VLOOKUP(Tableau13[[#This Row],[Code machine]],'CODE mchn'!$A$4:$C$170,3,0))</f>
        <v>Poyatos 2</v>
      </c>
      <c r="E1212" s="105"/>
      <c r="F1212" s="36" t="s">
        <v>2277</v>
      </c>
      <c r="G1212" s="36" t="s">
        <v>291</v>
      </c>
      <c r="H1212" s="36" t="s">
        <v>2390</v>
      </c>
      <c r="I1212" s="36" t="s">
        <v>13</v>
      </c>
      <c r="J1212" s="106" t="s">
        <v>2391</v>
      </c>
      <c r="K1212" s="71">
        <v>44216</v>
      </c>
      <c r="L1212" s="36"/>
      <c r="M1212" s="108">
        <v>60</v>
      </c>
      <c r="N1212" s="108">
        <f>MONTH(Tableau13[[#This Row],[Date fin intervention]])</f>
        <v>1</v>
      </c>
      <c r="O1212" s="108">
        <f>YEAR(Tableau13[[#This Row],[Date fin intervention]])</f>
        <v>2021</v>
      </c>
      <c r="P1212" s="36"/>
    </row>
    <row r="1213" spans="1:16">
      <c r="A1213" s="199">
        <v>44217</v>
      </c>
      <c r="B1213" s="200">
        <v>570</v>
      </c>
      <c r="C1213" s="201" t="str">
        <f>IF(ISNA(VLOOKUP(Tableau13[[#This Row],[Code machine]],'CODE mchn'!$A$4:$C$170,2,0)),"",VLOOKUP(Tableau13[[#This Row],[Code machine]],'CODE mchn'!$A$4:$C$170,2,0))</f>
        <v>Acier</v>
      </c>
      <c r="D1213" s="36" t="str">
        <f>IF(ISNA(VLOOKUP(Tableau13[[#This Row],[Code machine]],'CODE mchn'!$A$4:$C$170,3,0)),"",VLOOKUP(Tableau13[[#This Row],[Code machine]],'CODE mchn'!$A$4:$C$170,3,0))</f>
        <v>Sigmatic</v>
      </c>
      <c r="E1213" s="105"/>
      <c r="F1213" s="59" t="s">
        <v>2276</v>
      </c>
      <c r="G1213" s="59" t="s">
        <v>55</v>
      </c>
      <c r="H1213" s="59" t="s">
        <v>458</v>
      </c>
      <c r="I1213" s="59" t="s">
        <v>13</v>
      </c>
      <c r="J1213" s="201" t="s">
        <v>2099</v>
      </c>
      <c r="K1213" s="202">
        <v>44217</v>
      </c>
      <c r="L1213" s="59"/>
      <c r="M1213" s="203">
        <v>30</v>
      </c>
      <c r="N1213" s="204">
        <f>MONTH(Tableau13[[#This Row],[Date fin intervention]])</f>
        <v>1</v>
      </c>
      <c r="O1213" s="204">
        <f>YEAR(Tableau13[[#This Row],[Date fin intervention]])</f>
        <v>2021</v>
      </c>
      <c r="P1213" s="59"/>
    </row>
    <row r="1214" spans="1:16">
      <c r="A1214" s="104">
        <v>44217</v>
      </c>
      <c r="B1214" s="105">
        <v>700</v>
      </c>
      <c r="C1214" s="106" t="str">
        <f>IF(ISNA(VLOOKUP(Tableau13[[#This Row],[Code machine]],'CODE mchn'!$A$4:$C$170,2,0)),"",VLOOKUP(Tableau13[[#This Row],[Code machine]],'CODE mchn'!$A$4:$C$170,2,0))</f>
        <v>Béton</v>
      </c>
      <c r="D1214" s="36" t="str">
        <f>IF(ISNA(VLOOKUP(Tableau13[[#This Row],[Code machine]],'CODE mchn'!$A$4:$C$170,3,0)),"",VLOOKUP(Tableau13[[#This Row],[Code machine]],'CODE mchn'!$A$4:$C$170,3,0))</f>
        <v>Poyatos 1</v>
      </c>
      <c r="E1214" s="105"/>
      <c r="F1214" s="36" t="s">
        <v>2277</v>
      </c>
      <c r="G1214" s="36" t="s">
        <v>128</v>
      </c>
      <c r="H1214" s="36" t="s">
        <v>689</v>
      </c>
      <c r="I1214" s="36" t="s">
        <v>13</v>
      </c>
      <c r="J1214" s="106" t="s">
        <v>1577</v>
      </c>
      <c r="K1214" s="71">
        <v>44217</v>
      </c>
      <c r="L1214" s="36"/>
      <c r="M1214" s="108">
        <v>90</v>
      </c>
      <c r="N1214" s="108">
        <f>MONTH(Tableau13[[#This Row],[Date fin intervention]])</f>
        <v>1</v>
      </c>
      <c r="O1214" s="108">
        <f>YEAR(Tableau13[[#This Row],[Date fin intervention]])</f>
        <v>2021</v>
      </c>
      <c r="P1214" s="36"/>
    </row>
    <row r="1215" spans="1:16">
      <c r="A1215" s="104">
        <v>44217</v>
      </c>
      <c r="B1215" s="105">
        <v>700</v>
      </c>
      <c r="C1215" s="106" t="str">
        <f>IF(ISNA(VLOOKUP(Tableau13[[#This Row],[Code machine]],'CODE mchn'!$A$4:$C$170,2,0)),"",VLOOKUP(Tableau13[[#This Row],[Code machine]],'CODE mchn'!$A$4:$C$170,2,0))</f>
        <v>Béton</v>
      </c>
      <c r="D1215" s="36" t="str">
        <f>IF(ISNA(VLOOKUP(Tableau13[[#This Row],[Code machine]],'CODE mchn'!$A$4:$C$170,3,0)),"",VLOOKUP(Tableau13[[#This Row],[Code machine]],'CODE mchn'!$A$4:$C$170,3,0))</f>
        <v>Poyatos 1</v>
      </c>
      <c r="E1215" s="105"/>
      <c r="F1215" s="36" t="s">
        <v>2277</v>
      </c>
      <c r="G1215" s="36" t="s">
        <v>1206</v>
      </c>
      <c r="H1215" s="36" t="s">
        <v>1022</v>
      </c>
      <c r="I1215" s="36" t="s">
        <v>13</v>
      </c>
      <c r="J1215" s="106" t="s">
        <v>2395</v>
      </c>
      <c r="K1215" s="71">
        <v>44217</v>
      </c>
      <c r="L1215" s="36"/>
      <c r="M1215" s="108">
        <v>45</v>
      </c>
      <c r="N1215" s="108">
        <f>MONTH(Tableau13[[#This Row],[Date fin intervention]])</f>
        <v>1</v>
      </c>
      <c r="O1215" s="108">
        <f>YEAR(Tableau13[[#This Row],[Date fin intervention]])</f>
        <v>2021</v>
      </c>
      <c r="P1215" s="36"/>
    </row>
    <row r="1216" spans="1:16">
      <c r="A1216" s="199">
        <v>44218</v>
      </c>
      <c r="B1216" s="200">
        <v>605</v>
      </c>
      <c r="C1216" s="201" t="str">
        <f>IF(ISNA(VLOOKUP(Tableau13[[#This Row],[Code machine]],'CODE mchn'!$A$4:$C$170,2,0)),"",VLOOKUP(Tableau13[[#This Row],[Code machine]],'CODE mchn'!$A$4:$C$170,2,0))</f>
        <v>Acier</v>
      </c>
      <c r="D1216" s="36" t="str">
        <f>IF(ISNA(VLOOKUP(Tableau13[[#This Row],[Code machine]],'CODE mchn'!$A$4:$C$170,3,0)),"",VLOOKUP(Tableau13[[#This Row],[Code machine]],'CODE mchn'!$A$4:$C$170,3,0))</f>
        <v>Vitari 1</v>
      </c>
      <c r="E1216" s="105"/>
      <c r="F1216" s="36" t="s">
        <v>2276</v>
      </c>
      <c r="G1216" s="59" t="s">
        <v>1640</v>
      </c>
      <c r="H1216" s="59" t="s">
        <v>2100</v>
      </c>
      <c r="I1216" s="59" t="s">
        <v>13</v>
      </c>
      <c r="J1216" s="201" t="s">
        <v>2101</v>
      </c>
      <c r="K1216" s="202">
        <v>44218</v>
      </c>
      <c r="L1216" s="59"/>
      <c r="M1216" s="203">
        <v>15</v>
      </c>
      <c r="N1216" s="204">
        <f>MONTH(Tableau13[[#This Row],[Date fin intervention]])</f>
        <v>1</v>
      </c>
      <c r="O1216" s="204">
        <f>YEAR(Tableau13[[#This Row],[Date fin intervention]])</f>
        <v>2021</v>
      </c>
      <c r="P1216" s="59"/>
    </row>
    <row r="1217" spans="1:16">
      <c r="A1217" s="104">
        <v>44218</v>
      </c>
      <c r="B1217" s="105">
        <v>800</v>
      </c>
      <c r="C1217" s="106" t="str">
        <f>IF(ISNA(VLOOKUP(Tableau13[[#This Row],[Code machine]],'CODE mchn'!$A$4:$C$170,2,0)),"",VLOOKUP(Tableau13[[#This Row],[Code machine]],'CODE mchn'!$A$4:$C$170,2,0))</f>
        <v>Béton</v>
      </c>
      <c r="D1217" s="36" t="str">
        <f>IF(ISNA(VLOOKUP(Tableau13[[#This Row],[Code machine]],'CODE mchn'!$A$4:$C$170,3,0)),"",VLOOKUP(Tableau13[[#This Row],[Code machine]],'CODE mchn'!$A$4:$C$170,3,0))</f>
        <v>Poyatos 2</v>
      </c>
      <c r="E1217" s="105"/>
      <c r="F1217" s="36" t="s">
        <v>2277</v>
      </c>
      <c r="G1217" s="36" t="s">
        <v>118</v>
      </c>
      <c r="H1217" s="36" t="s">
        <v>408</v>
      </c>
      <c r="I1217" s="36" t="s">
        <v>13</v>
      </c>
      <c r="J1217" s="106" t="s">
        <v>374</v>
      </c>
      <c r="K1217" s="71">
        <v>44218</v>
      </c>
      <c r="L1217" s="108">
        <v>45</v>
      </c>
      <c r="M1217" s="108">
        <v>60</v>
      </c>
      <c r="N1217" s="108">
        <v>2021</v>
      </c>
      <c r="O1217" s="36"/>
      <c r="P1217" s="36"/>
    </row>
    <row r="1218" spans="1:16">
      <c r="A1218" s="104">
        <v>44222</v>
      </c>
      <c r="B1218" s="105">
        <v>700</v>
      </c>
      <c r="C1218" s="106" t="str">
        <f>IF(ISNA(VLOOKUP(Tableau13[[#This Row],[Code machine]],'CODE mchn'!$A$4:$C$170,2,0)),"",VLOOKUP(Tableau13[[#This Row],[Code machine]],'CODE mchn'!$A$4:$C$170,2,0))</f>
        <v>Béton</v>
      </c>
      <c r="D1218" s="36" t="str">
        <f>IF(ISNA(VLOOKUP(Tableau13[[#This Row],[Code machine]],'CODE mchn'!$A$4:$C$170,3,0)),"",VLOOKUP(Tableau13[[#This Row],[Code machine]],'CODE mchn'!$A$4:$C$170,3,0))</f>
        <v>Poyatos 1</v>
      </c>
      <c r="E1218" s="105"/>
      <c r="F1218" s="36" t="s">
        <v>2277</v>
      </c>
      <c r="G1218" s="36" t="s">
        <v>213</v>
      </c>
      <c r="H1218" s="36" t="s">
        <v>1134</v>
      </c>
      <c r="I1218" s="36" t="s">
        <v>13</v>
      </c>
      <c r="J1218" s="106" t="s">
        <v>2396</v>
      </c>
      <c r="K1218" s="71">
        <v>44222</v>
      </c>
      <c r="L1218" s="36"/>
      <c r="M1218" s="108">
        <f>8*60</f>
        <v>480</v>
      </c>
      <c r="N1218" s="108">
        <f>MONTH(Tableau13[[#This Row],[Date fin intervention]])</f>
        <v>1</v>
      </c>
      <c r="O1218" s="108">
        <f>YEAR(Tableau13[[#This Row],[Date fin intervention]])</f>
        <v>2021</v>
      </c>
      <c r="P1218" s="36"/>
    </row>
    <row r="1219" spans="1:16">
      <c r="A1219" s="199">
        <v>44222</v>
      </c>
      <c r="B1219" s="200">
        <v>590</v>
      </c>
      <c r="C1219" s="201" t="str">
        <f>IF(ISNA(VLOOKUP(Tableau13[[#This Row],[Code machine]],'CODE mchn'!$A$4:$C$170,2,0)),"",VLOOKUP(Tableau13[[#This Row],[Code machine]],'CODE mchn'!$A$4:$C$170,2,0))</f>
        <v>Acier</v>
      </c>
      <c r="D1219" s="36" t="str">
        <f>IF(ISNA(VLOOKUP(Tableau13[[#This Row],[Code machine]],'CODE mchn'!$A$4:$C$170,3,0)),"",VLOOKUP(Tableau13[[#This Row],[Code machine]],'CODE mchn'!$A$4:$C$170,3,0))</f>
        <v>Teurema 3</v>
      </c>
      <c r="E1219" s="105"/>
      <c r="F1219" s="36" t="s">
        <v>2276</v>
      </c>
      <c r="G1219" s="59" t="s">
        <v>200</v>
      </c>
      <c r="H1219" s="59" t="s">
        <v>933</v>
      </c>
      <c r="I1219" s="59" t="s">
        <v>13</v>
      </c>
      <c r="J1219" s="201" t="s">
        <v>601</v>
      </c>
      <c r="K1219" s="202">
        <v>44222</v>
      </c>
      <c r="L1219" s="59"/>
      <c r="M1219" s="203">
        <v>20</v>
      </c>
      <c r="N1219" s="204">
        <f>MONTH(Tableau13[[#This Row],[Date fin intervention]])</f>
        <v>1</v>
      </c>
      <c r="O1219" s="204">
        <f>YEAR(Tableau13[[#This Row],[Date fin intervention]])</f>
        <v>2021</v>
      </c>
      <c r="P1219" s="59"/>
    </row>
    <row r="1220" spans="1:16">
      <c r="A1220" s="199">
        <v>44223</v>
      </c>
      <c r="B1220" s="200">
        <v>700</v>
      </c>
      <c r="C1220" s="201" t="str">
        <f>IF(ISNA(VLOOKUP(Tableau13[[#This Row],[Code machine]],'CODE mchn'!$A$4:$C$170,2,0)),"",VLOOKUP(Tableau13[[#This Row],[Code machine]],'CODE mchn'!$A$4:$C$170,2,0))</f>
        <v>Béton</v>
      </c>
      <c r="D1220" s="36" t="str">
        <f>IF(ISNA(VLOOKUP(Tableau13[[#This Row],[Code machine]],'CODE mchn'!$A$4:$C$170,3,0)),"",VLOOKUP(Tableau13[[#This Row],[Code machine]],'CODE mchn'!$A$4:$C$170,3,0))</f>
        <v>Poyatos 1</v>
      </c>
      <c r="E1220" s="105"/>
      <c r="F1220" s="36" t="s">
        <v>2277</v>
      </c>
      <c r="G1220" s="59" t="s">
        <v>128</v>
      </c>
      <c r="H1220" s="59" t="s">
        <v>2102</v>
      </c>
      <c r="I1220" s="59" t="s">
        <v>13</v>
      </c>
      <c r="J1220" s="201" t="s">
        <v>2103</v>
      </c>
      <c r="K1220" s="202">
        <v>44223</v>
      </c>
      <c r="L1220" s="59"/>
      <c r="M1220" s="203">
        <f>240*2</f>
        <v>480</v>
      </c>
      <c r="N1220" s="198">
        <f>MONTH(Tableau13[[#This Row],[Date fin intervention]])</f>
        <v>1</v>
      </c>
      <c r="O1220" s="198">
        <f>YEAR(Tableau13[[#This Row],[Date fin intervention]])</f>
        <v>2021</v>
      </c>
      <c r="P1220" s="59"/>
    </row>
    <row r="1221" spans="1:16">
      <c r="A1221" s="199">
        <v>44223</v>
      </c>
      <c r="B1221" s="200">
        <v>590</v>
      </c>
      <c r="C1221" s="201" t="str">
        <f>IF(ISNA(VLOOKUP(Tableau13[[#This Row],[Code machine]],'CODE mchn'!$A$4:$C$170,2,0)),"",VLOOKUP(Tableau13[[#This Row],[Code machine]],'CODE mchn'!$A$4:$C$170,2,0))</f>
        <v>Acier</v>
      </c>
      <c r="D1221" s="36" t="str">
        <f>IF(ISNA(VLOOKUP(Tableau13[[#This Row],[Code machine]],'CODE mchn'!$A$4:$C$170,3,0)),"",VLOOKUP(Tableau13[[#This Row],[Code machine]],'CODE mchn'!$A$4:$C$170,3,0))</f>
        <v>Teurema 3</v>
      </c>
      <c r="E1221" s="105"/>
      <c r="F1221" s="36" t="s">
        <v>2276</v>
      </c>
      <c r="G1221" s="59" t="s">
        <v>2104</v>
      </c>
      <c r="H1221" s="59" t="s">
        <v>1070</v>
      </c>
      <c r="I1221" s="59" t="s">
        <v>13</v>
      </c>
      <c r="J1221" s="201" t="s">
        <v>1263</v>
      </c>
      <c r="K1221" s="202">
        <v>44223</v>
      </c>
      <c r="L1221" s="59"/>
      <c r="M1221" s="203">
        <v>120</v>
      </c>
      <c r="N1221" s="198">
        <f>MONTH(Tableau13[[#This Row],[Date fin intervention]])</f>
        <v>1</v>
      </c>
      <c r="O1221" s="198">
        <f>YEAR(Tableau13[[#This Row],[Date fin intervention]])</f>
        <v>2021</v>
      </c>
      <c r="P1221" s="59"/>
    </row>
    <row r="1222" spans="1:16">
      <c r="A1222" s="199">
        <v>44224</v>
      </c>
      <c r="B1222" s="200">
        <v>700</v>
      </c>
      <c r="C1222" s="201" t="str">
        <f>IF(ISNA(VLOOKUP(Tableau13[[#This Row],[Code machine]],'CODE mchn'!$A$4:$C$170,2,0)),"",VLOOKUP(Tableau13[[#This Row],[Code machine]],'CODE mchn'!$A$4:$C$170,2,0))</f>
        <v>Béton</v>
      </c>
      <c r="D1222" s="36" t="str">
        <f>IF(ISNA(VLOOKUP(Tableau13[[#This Row],[Code machine]],'CODE mchn'!$A$4:$C$170,3,0)),"",VLOOKUP(Tableau13[[#This Row],[Code machine]],'CODE mchn'!$A$4:$C$170,3,0))</f>
        <v>Poyatos 1</v>
      </c>
      <c r="E1222" s="105"/>
      <c r="F1222" s="36" t="s">
        <v>2276</v>
      </c>
      <c r="G1222" s="59" t="s">
        <v>2105</v>
      </c>
      <c r="H1222" s="59" t="s">
        <v>1971</v>
      </c>
      <c r="I1222" s="59" t="s">
        <v>13</v>
      </c>
      <c r="J1222" s="201" t="s">
        <v>2018</v>
      </c>
      <c r="K1222" s="202">
        <v>44224</v>
      </c>
      <c r="L1222" s="59"/>
      <c r="M1222" s="203">
        <v>20</v>
      </c>
      <c r="N1222" s="204">
        <f>MONTH(Tableau13[[#This Row],[Date fin intervention]])</f>
        <v>1</v>
      </c>
      <c r="O1222" s="204">
        <f>YEAR(Tableau13[[#This Row],[Date fin intervention]])</f>
        <v>2021</v>
      </c>
      <c r="P1222" s="59"/>
    </row>
    <row r="1223" spans="1:16">
      <c r="A1223" s="199">
        <v>44225</v>
      </c>
      <c r="B1223" s="200">
        <v>700</v>
      </c>
      <c r="C1223" s="201" t="str">
        <f>IF(ISNA(VLOOKUP(Tableau13[[#This Row],[Code machine]],'CODE mchn'!$A$4:$C$170,2,0)),"",VLOOKUP(Tableau13[[#This Row],[Code machine]],'CODE mchn'!$A$4:$C$170,2,0))</f>
        <v>Béton</v>
      </c>
      <c r="D1223" s="36" t="str">
        <f>IF(ISNA(VLOOKUP(Tableau13[[#This Row],[Code machine]],'CODE mchn'!$A$4:$C$170,3,0)),"",VLOOKUP(Tableau13[[#This Row],[Code machine]],'CODE mchn'!$A$4:$C$170,3,0))</f>
        <v>Poyatos 1</v>
      </c>
      <c r="E1223" s="105"/>
      <c r="F1223" s="36" t="s">
        <v>2277</v>
      </c>
      <c r="G1223" s="59" t="s">
        <v>20</v>
      </c>
      <c r="H1223" s="59" t="s">
        <v>1188</v>
      </c>
      <c r="I1223" s="59" t="s">
        <v>13</v>
      </c>
      <c r="J1223" s="201" t="s">
        <v>2106</v>
      </c>
      <c r="K1223" s="202">
        <v>44225</v>
      </c>
      <c r="L1223" s="59"/>
      <c r="M1223" s="203">
        <f>16*60</f>
        <v>960</v>
      </c>
      <c r="N1223" s="204">
        <f>MONTH(Tableau13[[#This Row],[Date fin intervention]])</f>
        <v>1</v>
      </c>
      <c r="O1223" s="204">
        <f>YEAR(Tableau13[[#This Row],[Date fin intervention]])</f>
        <v>2021</v>
      </c>
      <c r="P1223" s="59"/>
    </row>
    <row r="1224" spans="1:16">
      <c r="A1224" s="199">
        <v>44226</v>
      </c>
      <c r="B1224" s="200">
        <v>572</v>
      </c>
      <c r="C1224" s="201" t="str">
        <f>IF(ISNA(VLOOKUP(Tableau13[[#This Row],[Code machine]],'CODE mchn'!$A$4:$C$170,2,0)),"",VLOOKUP(Tableau13[[#This Row],[Code machine]],'CODE mchn'!$A$4:$C$170,2,0))</f>
        <v>Cisailles</v>
      </c>
      <c r="D1224" s="36" t="str">
        <f>IF(ISNA(VLOOKUP(Tableau13[[#This Row],[Code machine]],'CODE mchn'!$A$4:$C$170,3,0)),"",VLOOKUP(Tableau13[[#This Row],[Code machine]],'CODE mchn'!$A$4:$C$170,3,0))</f>
        <v>Cisaille PN (GTA)</v>
      </c>
      <c r="E1224" s="105"/>
      <c r="F1224" s="36" t="s">
        <v>2276</v>
      </c>
      <c r="G1224" s="59" t="s">
        <v>2107</v>
      </c>
      <c r="H1224" s="59" t="s">
        <v>520</v>
      </c>
      <c r="I1224" s="59" t="s">
        <v>13</v>
      </c>
      <c r="J1224" s="201" t="s">
        <v>2108</v>
      </c>
      <c r="K1224" s="202">
        <v>44226</v>
      </c>
      <c r="L1224" s="59" t="s">
        <v>2109</v>
      </c>
      <c r="M1224" s="203">
        <v>30</v>
      </c>
      <c r="N1224" s="204">
        <f>MONTH(Tableau13[[#This Row],[Date fin intervention]])</f>
        <v>1</v>
      </c>
      <c r="O1224" s="204">
        <f>YEAR(Tableau13[[#This Row],[Date fin intervention]])</f>
        <v>2021</v>
      </c>
      <c r="P1224" s="59"/>
    </row>
    <row r="1225" spans="1:16">
      <c r="A1225" s="199">
        <v>44228</v>
      </c>
      <c r="B1225" s="200">
        <v>700</v>
      </c>
      <c r="C1225" s="201" t="str">
        <f>IF(ISNA(VLOOKUP(Tableau13[[#This Row],[Code machine]],'CODE mchn'!$A$4:$C$170,2,0)),"",VLOOKUP(Tableau13[[#This Row],[Code machine]],'CODE mchn'!$A$4:$C$170,2,0))</f>
        <v>Béton</v>
      </c>
      <c r="D1225" s="36" t="str">
        <f>IF(ISNA(VLOOKUP(Tableau13[[#This Row],[Code machine]],'CODE mchn'!$A$4:$C$170,3,0)),"",VLOOKUP(Tableau13[[#This Row],[Code machine]],'CODE mchn'!$A$4:$C$170,3,0))</f>
        <v>Poyatos 1</v>
      </c>
      <c r="E1225" s="105"/>
      <c r="F1225" s="36" t="s">
        <v>2277</v>
      </c>
      <c r="G1225" s="59" t="s">
        <v>844</v>
      </c>
      <c r="H1225" s="59" t="s">
        <v>2112</v>
      </c>
      <c r="I1225" s="59" t="s">
        <v>13</v>
      </c>
      <c r="J1225" s="201" t="s">
        <v>2113</v>
      </c>
      <c r="K1225" s="202">
        <v>44228</v>
      </c>
      <c r="L1225" s="59"/>
      <c r="M1225" s="204">
        <v>90</v>
      </c>
      <c r="N1225" s="198">
        <f>MONTH(Tableau13[[#This Row],[Date fin intervention]])</f>
        <v>2</v>
      </c>
      <c r="O1225" s="198">
        <f>YEAR(Tableau13[[#This Row],[Date fin intervention]])</f>
        <v>2021</v>
      </c>
      <c r="P1225" s="59"/>
    </row>
    <row r="1226" spans="1:16">
      <c r="A1226" s="199">
        <v>44228</v>
      </c>
      <c r="B1226" s="200">
        <v>572</v>
      </c>
      <c r="C1226" s="201" t="str">
        <f>IF(ISNA(VLOOKUP(Tableau13[[#This Row],[Code machine]],'CODE mchn'!$A$4:$C$170,2,0)),"",VLOOKUP(Tableau13[[#This Row],[Code machine]],'CODE mchn'!$A$4:$C$170,2,0))</f>
        <v>Cisailles</v>
      </c>
      <c r="D1226" s="36" t="str">
        <f>IF(ISNA(VLOOKUP(Tableau13[[#This Row],[Code machine]],'CODE mchn'!$A$4:$C$170,3,0)),"",VLOOKUP(Tableau13[[#This Row],[Code machine]],'CODE mchn'!$A$4:$C$170,3,0))</f>
        <v>Cisaille PN (GTA)</v>
      </c>
      <c r="E1226" s="105"/>
      <c r="F1226" s="36" t="s">
        <v>2276</v>
      </c>
      <c r="G1226" s="59" t="s">
        <v>2107</v>
      </c>
      <c r="H1226" s="59" t="s">
        <v>2128</v>
      </c>
      <c r="I1226" s="59" t="s">
        <v>13</v>
      </c>
      <c r="J1226" s="201" t="s">
        <v>2129</v>
      </c>
      <c r="K1226" s="202">
        <v>44228</v>
      </c>
      <c r="L1226" s="59"/>
      <c r="M1226" s="204">
        <v>60</v>
      </c>
      <c r="N1226" s="198">
        <f>MONTH(Tableau13[[#This Row],[Date fin intervention]])</f>
        <v>2</v>
      </c>
      <c r="O1226" s="198">
        <f>YEAR(Tableau13[[#This Row],[Date fin intervention]])</f>
        <v>2021</v>
      </c>
      <c r="P1226" s="59"/>
    </row>
    <row r="1227" spans="1:16">
      <c r="A1227" s="199">
        <v>44228</v>
      </c>
      <c r="B1227" s="200">
        <v>582</v>
      </c>
      <c r="C1227" s="201" t="str">
        <f>IF(ISNA(VLOOKUP(Tableau13[[#This Row],[Code machine]],'CODE mchn'!$A$4:$C$170,2,0)),"",VLOOKUP(Tableau13[[#This Row],[Code machine]],'CODE mchn'!$A$4:$C$170,2,0))</f>
        <v>Acier</v>
      </c>
      <c r="D1227" s="36" t="str">
        <f>IF(ISNA(VLOOKUP(Tableau13[[#This Row],[Code machine]],'CODE mchn'!$A$4:$C$170,3,0)),"",VLOOKUP(Tableau13[[#This Row],[Code machine]],'CODE mchn'!$A$4:$C$170,3,0))</f>
        <v>Teurema 2</v>
      </c>
      <c r="E1227" s="105"/>
      <c r="F1227" s="36" t="s">
        <v>2277</v>
      </c>
      <c r="G1227" s="59" t="s">
        <v>612</v>
      </c>
      <c r="H1227" s="59" t="s">
        <v>2116</v>
      </c>
      <c r="I1227" s="59" t="s">
        <v>13</v>
      </c>
      <c r="J1227" s="201" t="s">
        <v>2117</v>
      </c>
      <c r="K1227" s="202">
        <v>44228</v>
      </c>
      <c r="L1227" s="59"/>
      <c r="M1227" s="204">
        <v>30</v>
      </c>
      <c r="N1227" s="204">
        <f>MONTH(Tableau13[[#This Row],[Date fin intervention]])</f>
        <v>2</v>
      </c>
      <c r="O1227" s="204">
        <f>YEAR(Tableau13[[#This Row],[Date fin intervention]])</f>
        <v>2021</v>
      </c>
      <c r="P1227" s="59"/>
    </row>
    <row r="1228" spans="1:16">
      <c r="A1228" s="199">
        <v>44228</v>
      </c>
      <c r="B1228" s="200">
        <v>582</v>
      </c>
      <c r="C1228" s="201" t="str">
        <f>IF(ISNA(VLOOKUP(Tableau13[[#This Row],[Code machine]],'CODE mchn'!$A$4:$C$170,2,0)),"",VLOOKUP(Tableau13[[#This Row],[Code machine]],'CODE mchn'!$A$4:$C$170,2,0))</f>
        <v>Acier</v>
      </c>
      <c r="D1228" s="36" t="str">
        <f>IF(ISNA(VLOOKUP(Tableau13[[#This Row],[Code machine]],'CODE mchn'!$A$4:$C$170,3,0)),"",VLOOKUP(Tableau13[[#This Row],[Code machine]],'CODE mchn'!$A$4:$C$170,3,0))</f>
        <v>Teurema 2</v>
      </c>
      <c r="E1228" s="105"/>
      <c r="F1228" s="36" t="s">
        <v>2277</v>
      </c>
      <c r="G1228" s="59" t="s">
        <v>2118</v>
      </c>
      <c r="H1228" s="59" t="s">
        <v>2119</v>
      </c>
      <c r="I1228" s="59" t="s">
        <v>13</v>
      </c>
      <c r="J1228" s="201" t="s">
        <v>2120</v>
      </c>
      <c r="K1228" s="202">
        <v>44228</v>
      </c>
      <c r="L1228" s="59"/>
      <c r="M1228" s="204">
        <v>30</v>
      </c>
      <c r="N1228" s="204">
        <f>MONTH(Tableau13[[#This Row],[Date fin intervention]])</f>
        <v>2</v>
      </c>
      <c r="O1228" s="204">
        <f>YEAR(Tableau13[[#This Row],[Date fin intervention]])</f>
        <v>2021</v>
      </c>
      <c r="P1228" s="59"/>
    </row>
    <row r="1229" spans="1:16">
      <c r="A1229" s="199">
        <v>44228</v>
      </c>
      <c r="B1229" s="200">
        <v>582</v>
      </c>
      <c r="C1229" s="201" t="str">
        <f>IF(ISNA(VLOOKUP(Tableau13[[#This Row],[Code machine]],'CODE mchn'!$A$4:$C$170,2,0)),"",VLOOKUP(Tableau13[[#This Row],[Code machine]],'CODE mchn'!$A$4:$C$170,2,0))</f>
        <v>Acier</v>
      </c>
      <c r="D1229" s="36" t="str">
        <f>IF(ISNA(VLOOKUP(Tableau13[[#This Row],[Code machine]],'CODE mchn'!$A$4:$C$170,3,0)),"",VLOOKUP(Tableau13[[#This Row],[Code machine]],'CODE mchn'!$A$4:$C$170,3,0))</f>
        <v>Teurema 2</v>
      </c>
      <c r="E1229" s="105"/>
      <c r="F1229" s="36" t="s">
        <v>2277</v>
      </c>
      <c r="G1229" s="59" t="s">
        <v>2122</v>
      </c>
      <c r="H1229" s="59" t="s">
        <v>2121</v>
      </c>
      <c r="I1229" s="59" t="s">
        <v>13</v>
      </c>
      <c r="J1229" s="201" t="s">
        <v>2123</v>
      </c>
      <c r="K1229" s="202">
        <v>44228</v>
      </c>
      <c r="L1229" s="59"/>
      <c r="M1229" s="204">
        <v>30</v>
      </c>
      <c r="N1229" s="204">
        <f>MONTH(Tableau13[[#This Row],[Date fin intervention]])</f>
        <v>2</v>
      </c>
      <c r="O1229" s="204">
        <f>YEAR(Tableau13[[#This Row],[Date fin intervention]])</f>
        <v>2021</v>
      </c>
      <c r="P1229" s="59"/>
    </row>
    <row r="1230" spans="1:16">
      <c r="A1230" s="199">
        <v>44228</v>
      </c>
      <c r="B1230" s="200">
        <v>582</v>
      </c>
      <c r="C1230" s="201" t="str">
        <f>IF(ISNA(VLOOKUP(Tableau13[[#This Row],[Code machine]],'CODE mchn'!$A$4:$C$170,2,0)),"",VLOOKUP(Tableau13[[#This Row],[Code machine]],'CODE mchn'!$A$4:$C$170,2,0))</f>
        <v>Acier</v>
      </c>
      <c r="D1230" s="36" t="str">
        <f>IF(ISNA(VLOOKUP(Tableau13[[#This Row],[Code machine]],'CODE mchn'!$A$4:$C$170,3,0)),"",VLOOKUP(Tableau13[[#This Row],[Code machine]],'CODE mchn'!$A$4:$C$170,3,0))</f>
        <v>Teurema 2</v>
      </c>
      <c r="E1230" s="105"/>
      <c r="F1230" s="36" t="s">
        <v>2277</v>
      </c>
      <c r="G1230" s="59" t="s">
        <v>1347</v>
      </c>
      <c r="H1230" s="59" t="s">
        <v>2124</v>
      </c>
      <c r="I1230" s="59" t="s">
        <v>13</v>
      </c>
      <c r="J1230" s="201" t="s">
        <v>2125</v>
      </c>
      <c r="K1230" s="202">
        <v>44228</v>
      </c>
      <c r="L1230" s="59"/>
      <c r="M1230" s="204">
        <v>30</v>
      </c>
      <c r="N1230" s="204">
        <f>MONTH(Tableau13[[#This Row],[Date fin intervention]])</f>
        <v>2</v>
      </c>
      <c r="O1230" s="204">
        <f>YEAR(Tableau13[[#This Row],[Date fin intervention]])</f>
        <v>2021</v>
      </c>
      <c r="P1230" s="59"/>
    </row>
    <row r="1231" spans="1:16">
      <c r="A1231" s="199">
        <v>44228</v>
      </c>
      <c r="B1231" s="200">
        <v>582</v>
      </c>
      <c r="C1231" s="201" t="str">
        <f>IF(ISNA(VLOOKUP(Tableau13[[#This Row],[Code machine]],'CODE mchn'!$A$4:$C$170,2,0)),"",VLOOKUP(Tableau13[[#This Row],[Code machine]],'CODE mchn'!$A$4:$C$170,2,0))</f>
        <v>Acier</v>
      </c>
      <c r="D1231" s="36" t="str">
        <f>IF(ISNA(VLOOKUP(Tableau13[[#This Row],[Code machine]],'CODE mchn'!$A$4:$C$170,3,0)),"",VLOOKUP(Tableau13[[#This Row],[Code machine]],'CODE mchn'!$A$4:$C$170,3,0))</f>
        <v>Teurema 2</v>
      </c>
      <c r="E1231" s="105"/>
      <c r="F1231" s="36" t="s">
        <v>2276</v>
      </c>
      <c r="G1231" s="59" t="s">
        <v>1653</v>
      </c>
      <c r="H1231" s="59" t="s">
        <v>2126</v>
      </c>
      <c r="I1231" s="59" t="s">
        <v>13</v>
      </c>
      <c r="J1231" s="201" t="s">
        <v>2127</v>
      </c>
      <c r="K1231" s="202">
        <v>44228</v>
      </c>
      <c r="L1231" s="59"/>
      <c r="M1231" s="204">
        <v>20</v>
      </c>
      <c r="N1231" s="204">
        <f>MONTH(Tableau13[[#This Row],[Date fin intervention]])</f>
        <v>2</v>
      </c>
      <c r="O1231" s="204">
        <f>YEAR(Tableau13[[#This Row],[Date fin intervention]])</f>
        <v>2021</v>
      </c>
      <c r="P1231" s="59"/>
    </row>
    <row r="1232" spans="1:16">
      <c r="A1232" s="205">
        <v>44228</v>
      </c>
      <c r="B1232" s="200">
        <v>700</v>
      </c>
      <c r="C1232" s="201" t="str">
        <f>IF(ISNA(VLOOKUP(Tableau13[[#This Row],[Code machine]],'CODE mchn'!$A$4:$C$170,2,0)),"",VLOOKUP(Tableau13[[#This Row],[Code machine]],'CODE mchn'!$A$4:$C$170,2,0))</f>
        <v>Béton</v>
      </c>
      <c r="D1232" s="36" t="str">
        <f>IF(ISNA(VLOOKUP(Tableau13[[#This Row],[Code machine]],'CODE mchn'!$A$4:$C$170,3,0)),"",VLOOKUP(Tableau13[[#This Row],[Code machine]],'CODE mchn'!$A$4:$C$170,3,0))</f>
        <v>Poyatos 1</v>
      </c>
      <c r="E1232" s="105"/>
      <c r="F1232" s="36" t="s">
        <v>2276</v>
      </c>
      <c r="G1232" s="36" t="s">
        <v>2240</v>
      </c>
      <c r="H1232" s="59" t="s">
        <v>2110</v>
      </c>
      <c r="I1232" s="59" t="s">
        <v>13</v>
      </c>
      <c r="J1232" s="201" t="s">
        <v>2111</v>
      </c>
      <c r="K1232" s="202">
        <v>44228</v>
      </c>
      <c r="L1232" s="59"/>
      <c r="M1232" s="204">
        <v>120</v>
      </c>
      <c r="N1232" s="198">
        <f>MONTH(Tableau13[[#This Row],[Date fin intervention]])</f>
        <v>2</v>
      </c>
      <c r="O1232" s="198">
        <f>YEAR(Tableau13[[#This Row],[Date fin intervention]])</f>
        <v>2021</v>
      </c>
      <c r="P1232" s="59"/>
    </row>
    <row r="1233" spans="1:16">
      <c r="A1233" s="199">
        <v>44228</v>
      </c>
      <c r="B1233" s="200">
        <v>582</v>
      </c>
      <c r="C1233" s="201" t="str">
        <f>IF(ISNA(VLOOKUP(Tableau13[[#This Row],[Code machine]],'CODE mchn'!$A$4:$C$170,2,0)),"",VLOOKUP(Tableau13[[#This Row],[Code machine]],'CODE mchn'!$A$4:$C$170,2,0))</f>
        <v>Acier</v>
      </c>
      <c r="D1233" s="36" t="str">
        <f>IF(ISNA(VLOOKUP(Tableau13[[#This Row],[Code machine]],'CODE mchn'!$A$4:$C$170,3,0)),"",VLOOKUP(Tableau13[[#This Row],[Code machine]],'CODE mchn'!$A$4:$C$170,3,0))</f>
        <v>Teurema 2</v>
      </c>
      <c r="E1233" s="105"/>
      <c r="F1233" s="36" t="s">
        <v>2276</v>
      </c>
      <c r="G1233" s="59" t="s">
        <v>2081</v>
      </c>
      <c r="H1233" s="59" t="s">
        <v>2114</v>
      </c>
      <c r="I1233" s="59" t="s">
        <v>13</v>
      </c>
      <c r="J1233" s="201" t="s">
        <v>2115</v>
      </c>
      <c r="K1233" s="202">
        <v>44228</v>
      </c>
      <c r="L1233" s="59"/>
      <c r="M1233" s="204">
        <v>240</v>
      </c>
      <c r="N1233" s="198">
        <f>MONTH(Tableau13[[#This Row],[Date fin intervention]])</f>
        <v>2</v>
      </c>
      <c r="O1233" s="198">
        <f>YEAR(Tableau13[[#This Row],[Date fin intervention]])</f>
        <v>2021</v>
      </c>
      <c r="P1233" s="59"/>
    </row>
    <row r="1234" spans="1:16">
      <c r="A1234" s="199">
        <v>44229</v>
      </c>
      <c r="B1234" s="200">
        <v>800</v>
      </c>
      <c r="C1234" s="201" t="str">
        <f>IF(ISNA(VLOOKUP(Tableau13[[#This Row],[Code machine]],'CODE mchn'!$A$4:$C$170,2,0)),"",VLOOKUP(Tableau13[[#This Row],[Code machine]],'CODE mchn'!$A$4:$C$170,2,0))</f>
        <v>Béton</v>
      </c>
      <c r="D1234" s="36" t="str">
        <f>IF(ISNA(VLOOKUP(Tableau13[[#This Row],[Code machine]],'CODE mchn'!$A$4:$C$170,3,0)),"",VLOOKUP(Tableau13[[#This Row],[Code machine]],'CODE mchn'!$A$4:$C$170,3,0))</f>
        <v>Poyatos 2</v>
      </c>
      <c r="E1234" s="105"/>
      <c r="F1234" s="36" t="s">
        <v>2277</v>
      </c>
      <c r="G1234" s="36" t="s">
        <v>213</v>
      </c>
      <c r="H1234" s="59" t="s">
        <v>2131</v>
      </c>
      <c r="I1234" s="59" t="s">
        <v>13</v>
      </c>
      <c r="J1234" s="201" t="s">
        <v>2130</v>
      </c>
      <c r="K1234" s="202">
        <v>44229</v>
      </c>
      <c r="L1234" s="59"/>
      <c r="M1234" s="204">
        <v>60</v>
      </c>
      <c r="N1234" s="198">
        <f>MONTH(Tableau13[[#This Row],[Date fin intervention]])</f>
        <v>2</v>
      </c>
      <c r="O1234" s="204">
        <f>YEAR(Tableau13[[#This Row],[Date fin intervention]])</f>
        <v>2021</v>
      </c>
      <c r="P1234" s="59"/>
    </row>
    <row r="1235" spans="1:16">
      <c r="A1235" s="206">
        <v>44229</v>
      </c>
      <c r="B1235" s="200">
        <v>565</v>
      </c>
      <c r="C1235" s="201" t="str">
        <f>IF(ISNA(VLOOKUP(Tableau13[[#This Row],[Code machine]],'CODE mchn'!$A$4:$C$170,2,0)),"",VLOOKUP(Tableau13[[#This Row],[Code machine]],'CODE mchn'!$A$4:$C$170,2,0))</f>
        <v>Acier</v>
      </c>
      <c r="D1235" s="36" t="str">
        <f>IF(ISNA(VLOOKUP(Tableau13[[#This Row],[Code machine]],'CODE mchn'!$A$4:$C$170,3,0)),"",VLOOKUP(Tableau13[[#This Row],[Code machine]],'CODE mchn'!$A$4:$C$170,3,0))</f>
        <v>EVG GE12</v>
      </c>
      <c r="E1235" s="105"/>
      <c r="F1235" s="36" t="s">
        <v>2277</v>
      </c>
      <c r="G1235" s="36" t="s">
        <v>104</v>
      </c>
      <c r="H1235" s="59" t="s">
        <v>2132</v>
      </c>
      <c r="I1235" s="59" t="s">
        <v>13</v>
      </c>
      <c r="J1235" s="201" t="s">
        <v>2133</v>
      </c>
      <c r="K1235" s="202">
        <v>44229</v>
      </c>
      <c r="L1235" s="59"/>
      <c r="M1235" s="204">
        <v>45</v>
      </c>
      <c r="N1235" s="204">
        <f>MONTH(Tableau13[[#This Row],[Date fin intervention]])</f>
        <v>2</v>
      </c>
      <c r="O1235" s="204">
        <f>YEAR(Tableau13[[#This Row],[Date fin intervention]])</f>
        <v>2021</v>
      </c>
      <c r="P1235" s="59"/>
    </row>
    <row r="1236" spans="1:16">
      <c r="A1236" s="199">
        <v>44229</v>
      </c>
      <c r="B1236" s="200">
        <v>571</v>
      </c>
      <c r="C1236" s="201" t="str">
        <f>IF(ISNA(VLOOKUP(Tableau13[[#This Row],[Code machine]],'CODE mchn'!$A$4:$C$170,2,0)),"",VLOOKUP(Tableau13[[#This Row],[Code machine]],'CODE mchn'!$A$4:$C$170,2,0))</f>
        <v>Acier</v>
      </c>
      <c r="D1236" s="36" t="str">
        <f>IF(ISNA(VLOOKUP(Tableau13[[#This Row],[Code machine]],'CODE mchn'!$A$4:$C$170,3,0)),"",VLOOKUP(Tableau13[[#This Row],[Code machine]],'CODE mchn'!$A$4:$C$170,3,0))</f>
        <v>EVG PN 1</v>
      </c>
      <c r="E1236" s="105"/>
      <c r="F1236" s="59" t="s">
        <v>2276</v>
      </c>
      <c r="G1236" s="36" t="s">
        <v>104</v>
      </c>
      <c r="H1236" s="36" t="s">
        <v>2241</v>
      </c>
      <c r="I1236" s="59" t="s">
        <v>13</v>
      </c>
      <c r="J1236" s="201" t="s">
        <v>2134</v>
      </c>
      <c r="K1236" s="202">
        <v>44229</v>
      </c>
      <c r="L1236" s="59"/>
      <c r="M1236" s="204">
        <v>15</v>
      </c>
      <c r="N1236" s="204">
        <f>MONTH(Tableau13[[#This Row],[Date fin intervention]])</f>
        <v>2</v>
      </c>
      <c r="O1236" s="204">
        <f>YEAR(Tableau13[[#This Row],[Date fin intervention]])</f>
        <v>2021</v>
      </c>
      <c r="P1236" s="59"/>
    </row>
    <row r="1237" spans="1:16">
      <c r="A1237" s="199">
        <v>44230</v>
      </c>
      <c r="B1237" s="200">
        <v>571</v>
      </c>
      <c r="C1237" s="201" t="str">
        <f>IF(ISNA(VLOOKUP(Tableau13[[#This Row],[Code machine]],'CODE mchn'!$A$4:$C$170,2,0)),"",VLOOKUP(Tableau13[[#This Row],[Code machine]],'CODE mchn'!$A$4:$C$170,2,0))</f>
        <v>Acier</v>
      </c>
      <c r="D1237" s="36" t="str">
        <f>IF(ISNA(VLOOKUP(Tableau13[[#This Row],[Code machine]],'CODE mchn'!$A$4:$C$170,3,0)),"",VLOOKUP(Tableau13[[#This Row],[Code machine]],'CODE mchn'!$A$4:$C$170,3,0))</f>
        <v>EVG PN 1</v>
      </c>
      <c r="E1237" s="105"/>
      <c r="F1237" s="36" t="s">
        <v>2277</v>
      </c>
      <c r="G1237" s="36" t="s">
        <v>104</v>
      </c>
      <c r="H1237" s="59" t="s">
        <v>2132</v>
      </c>
      <c r="I1237" s="59" t="s">
        <v>13</v>
      </c>
      <c r="J1237" s="201" t="s">
        <v>2135</v>
      </c>
      <c r="K1237" s="202">
        <v>44230</v>
      </c>
      <c r="L1237" s="59"/>
      <c r="M1237" s="204">
        <v>60</v>
      </c>
      <c r="N1237" s="198">
        <f>MONTH(Tableau13[[#This Row],[Date fin intervention]])</f>
        <v>2</v>
      </c>
      <c r="O1237" s="198">
        <f>YEAR(Tableau13[[#This Row],[Date fin intervention]])</f>
        <v>2021</v>
      </c>
      <c r="P1237" s="59"/>
    </row>
    <row r="1238" spans="1:16">
      <c r="A1238" s="199">
        <v>44230</v>
      </c>
      <c r="B1238" s="200">
        <v>606</v>
      </c>
      <c r="C1238" s="201" t="str">
        <f>IF(ISNA(VLOOKUP(Tableau13[[#This Row],[Code machine]],'CODE mchn'!$A$4:$C$170,2,0)),"",VLOOKUP(Tableau13[[#This Row],[Code machine]],'CODE mchn'!$A$4:$C$170,2,0))</f>
        <v>Acier</v>
      </c>
      <c r="D1238" s="36" t="str">
        <f>IF(ISNA(VLOOKUP(Tableau13[[#This Row],[Code machine]],'CODE mchn'!$A$4:$C$170,3,0)),"",VLOOKUP(Tableau13[[#This Row],[Code machine]],'CODE mchn'!$A$4:$C$170,3,0))</f>
        <v>Vitari 2</v>
      </c>
      <c r="E1238" s="105"/>
      <c r="F1238" s="36" t="s">
        <v>2276</v>
      </c>
      <c r="G1238" s="36" t="s">
        <v>136</v>
      </c>
      <c r="H1238" s="59" t="s">
        <v>2136</v>
      </c>
      <c r="I1238" s="59" t="s">
        <v>13</v>
      </c>
      <c r="J1238" s="201" t="s">
        <v>2137</v>
      </c>
      <c r="K1238" s="202">
        <v>44230</v>
      </c>
      <c r="L1238" s="59"/>
      <c r="M1238" s="204">
        <v>20</v>
      </c>
      <c r="N1238" s="204">
        <f>MONTH(Tableau13[[#This Row],[Date fin intervention]])</f>
        <v>2</v>
      </c>
      <c r="O1238" s="204">
        <f>YEAR(Tableau13[[#This Row],[Date fin intervention]])</f>
        <v>2021</v>
      </c>
      <c r="P1238" s="59"/>
    </row>
    <row r="1239" spans="1:16">
      <c r="A1239" s="199">
        <v>44230</v>
      </c>
      <c r="B1239" s="200">
        <v>700</v>
      </c>
      <c r="C1239" s="201" t="str">
        <f>IF(ISNA(VLOOKUP(Tableau13[[#This Row],[Code machine]],'CODE mchn'!$A$4:$C$170,2,0)),"",VLOOKUP(Tableau13[[#This Row],[Code machine]],'CODE mchn'!$A$4:$C$170,2,0))</f>
        <v>Béton</v>
      </c>
      <c r="D1239" s="36" t="str">
        <f>IF(ISNA(VLOOKUP(Tableau13[[#This Row],[Code machine]],'CODE mchn'!$A$4:$C$170,3,0)),"",VLOOKUP(Tableau13[[#This Row],[Code machine]],'CODE mchn'!$A$4:$C$170,3,0))</f>
        <v>Poyatos 1</v>
      </c>
      <c r="E1239" s="105"/>
      <c r="F1239" s="36" t="s">
        <v>2277</v>
      </c>
      <c r="G1239" s="36" t="s">
        <v>49</v>
      </c>
      <c r="H1239" s="36" t="s">
        <v>395</v>
      </c>
      <c r="I1239" s="59" t="s">
        <v>13</v>
      </c>
      <c r="J1239" s="201" t="s">
        <v>2138</v>
      </c>
      <c r="K1239" s="202">
        <v>44230</v>
      </c>
      <c r="L1239" s="59"/>
      <c r="M1239" s="204">
        <v>45</v>
      </c>
      <c r="N1239" s="204">
        <f>MONTH(Tableau13[[#This Row],[Date fin intervention]])</f>
        <v>2</v>
      </c>
      <c r="O1239" s="204">
        <f>YEAR(Tableau13[[#This Row],[Date fin intervention]])</f>
        <v>2021</v>
      </c>
      <c r="P1239" s="59"/>
    </row>
    <row r="1240" spans="1:16">
      <c r="A1240" s="199">
        <v>44230</v>
      </c>
      <c r="B1240" s="200">
        <v>582</v>
      </c>
      <c r="C1240" s="201" t="str">
        <f>IF(ISNA(VLOOKUP(Tableau13[[#This Row],[Code machine]],'CODE mchn'!$A$4:$C$170,2,0)),"",VLOOKUP(Tableau13[[#This Row],[Code machine]],'CODE mchn'!$A$4:$C$170,2,0))</f>
        <v>Acier</v>
      </c>
      <c r="D1240" s="36" t="str">
        <f>IF(ISNA(VLOOKUP(Tableau13[[#This Row],[Code machine]],'CODE mchn'!$A$4:$C$170,3,0)),"",VLOOKUP(Tableau13[[#This Row],[Code machine]],'CODE mchn'!$A$4:$C$170,3,0))</f>
        <v>Teurema 2</v>
      </c>
      <c r="E1240" s="105"/>
      <c r="F1240" s="36" t="s">
        <v>2276</v>
      </c>
      <c r="G1240" s="36" t="s">
        <v>2242</v>
      </c>
      <c r="H1240" s="59" t="s">
        <v>2139</v>
      </c>
      <c r="I1240" s="59" t="s">
        <v>13</v>
      </c>
      <c r="J1240" s="201" t="s">
        <v>2140</v>
      </c>
      <c r="K1240" s="202">
        <v>44230</v>
      </c>
      <c r="L1240" s="59"/>
      <c r="M1240" s="204">
        <v>15</v>
      </c>
      <c r="N1240" s="204">
        <f>MONTH(Tableau13[[#This Row],[Date fin intervention]])</f>
        <v>2</v>
      </c>
      <c r="O1240" s="204">
        <f>YEAR(Tableau13[[#This Row],[Date fin intervention]])</f>
        <v>2021</v>
      </c>
      <c r="P1240" s="59"/>
    </row>
    <row r="1241" spans="1:16">
      <c r="A1241" s="199">
        <v>44231</v>
      </c>
      <c r="B1241" s="200">
        <v>620</v>
      </c>
      <c r="C1241" s="201" t="str">
        <f>IF(ISNA(VLOOKUP(Tableau13[[#This Row],[Code machine]],'CODE mchn'!$A$4:$C$170,2,0)),"",VLOOKUP(Tableau13[[#This Row],[Code machine]],'CODE mchn'!$A$4:$C$170,2,0))</f>
        <v>Acier</v>
      </c>
      <c r="D1241" s="36" t="str">
        <f>IF(ISNA(VLOOKUP(Tableau13[[#This Row],[Code machine]],'CODE mchn'!$A$4:$C$170,3,0)),"",VLOOKUP(Tableau13[[#This Row],[Code machine]],'CODE mchn'!$A$4:$C$170,3,0))</f>
        <v>EVG PN 2</v>
      </c>
      <c r="E1241" s="105"/>
      <c r="F1241" s="36" t="s">
        <v>2277</v>
      </c>
      <c r="G1241" s="36" t="s">
        <v>2243</v>
      </c>
      <c r="H1241" s="59" t="s">
        <v>2141</v>
      </c>
      <c r="I1241" s="59" t="s">
        <v>13</v>
      </c>
      <c r="J1241" s="201" t="s">
        <v>2142</v>
      </c>
      <c r="K1241" s="202">
        <v>44231</v>
      </c>
      <c r="L1241" s="59"/>
      <c r="M1241" s="204">
        <v>30</v>
      </c>
      <c r="N1241" s="204">
        <f>MONTH(Tableau13[[#This Row],[Date fin intervention]])</f>
        <v>2</v>
      </c>
      <c r="O1241" s="204">
        <f>YEAR(Tableau13[[#This Row],[Date fin intervention]])</f>
        <v>2021</v>
      </c>
      <c r="P1241" s="59"/>
    </row>
    <row r="1242" spans="1:16">
      <c r="A1242" s="199">
        <v>44232</v>
      </c>
      <c r="B1242" s="200">
        <v>700</v>
      </c>
      <c r="C1242" s="201" t="str">
        <f>IF(ISNA(VLOOKUP(Tableau13[[#This Row],[Code machine]],'CODE mchn'!$A$4:$C$170,2,0)),"",VLOOKUP(Tableau13[[#This Row],[Code machine]],'CODE mchn'!$A$4:$C$170,2,0))</f>
        <v>Béton</v>
      </c>
      <c r="D1242" s="36" t="str">
        <f>IF(ISNA(VLOOKUP(Tableau13[[#This Row],[Code machine]],'CODE mchn'!$A$4:$C$170,3,0)),"",VLOOKUP(Tableau13[[#This Row],[Code machine]],'CODE mchn'!$A$4:$C$170,3,0))</f>
        <v>Poyatos 1</v>
      </c>
      <c r="E1242" s="105"/>
      <c r="F1242" s="36" t="s">
        <v>2277</v>
      </c>
      <c r="G1242" s="59" t="s">
        <v>2143</v>
      </c>
      <c r="H1242" s="36" t="s">
        <v>2244</v>
      </c>
      <c r="I1242" s="59" t="s">
        <v>13</v>
      </c>
      <c r="J1242" s="201" t="s">
        <v>2144</v>
      </c>
      <c r="K1242" s="202">
        <v>44232</v>
      </c>
      <c r="L1242" s="59"/>
      <c r="M1242" s="204">
        <v>15</v>
      </c>
      <c r="N1242" s="204">
        <f>MONTH(Tableau13[[#This Row],[Date fin intervention]])</f>
        <v>2</v>
      </c>
      <c r="O1242" s="204">
        <f>YEAR(Tableau13[[#This Row],[Date fin intervention]])</f>
        <v>2021</v>
      </c>
      <c r="P1242" s="59"/>
    </row>
    <row r="1243" spans="1:16">
      <c r="A1243" s="199">
        <v>44232</v>
      </c>
      <c r="B1243" s="200">
        <v>700</v>
      </c>
      <c r="C1243" s="201" t="str">
        <f>IF(ISNA(VLOOKUP(Tableau13[[#This Row],[Code machine]],'CODE mchn'!$A$4:$C$170,2,0)),"",VLOOKUP(Tableau13[[#This Row],[Code machine]],'CODE mchn'!$A$4:$C$170,2,0))</f>
        <v>Béton</v>
      </c>
      <c r="D1243" s="36" t="str">
        <f>IF(ISNA(VLOOKUP(Tableau13[[#This Row],[Code machine]],'CODE mchn'!$A$4:$C$170,3,0)),"",VLOOKUP(Tableau13[[#This Row],[Code machine]],'CODE mchn'!$A$4:$C$170,3,0))</f>
        <v>Poyatos 1</v>
      </c>
      <c r="E1243" s="105"/>
      <c r="F1243" s="36" t="s">
        <v>2276</v>
      </c>
      <c r="G1243" s="36" t="s">
        <v>43</v>
      </c>
      <c r="H1243" s="59" t="s">
        <v>776</v>
      </c>
      <c r="I1243" s="59" t="s">
        <v>13</v>
      </c>
      <c r="J1243" s="201" t="s">
        <v>2145</v>
      </c>
      <c r="K1243" s="202">
        <v>44232</v>
      </c>
      <c r="L1243" s="59"/>
      <c r="M1243" s="204">
        <v>15</v>
      </c>
      <c r="N1243" s="204">
        <f>MONTH(Tableau13[[#This Row],[Date fin intervention]])</f>
        <v>2</v>
      </c>
      <c r="O1243" s="204">
        <f>YEAR(Tableau13[[#This Row],[Date fin intervention]])</f>
        <v>2021</v>
      </c>
      <c r="P1243" s="59"/>
    </row>
    <row r="1244" spans="1:16" ht="28.5">
      <c r="A1244" s="199">
        <v>44232</v>
      </c>
      <c r="B1244" s="200">
        <v>583</v>
      </c>
      <c r="C1244" s="201" t="str">
        <f>IF(ISNA(VLOOKUP(Tableau13[[#This Row],[Code machine]],'CODE mchn'!$A$4:$C$170,2,0)),"",VLOOKUP(Tableau13[[#This Row],[Code machine]],'CODE mchn'!$A$4:$C$170,2,0))</f>
        <v>Ponts roulants</v>
      </c>
      <c r="D1244" s="36" t="str">
        <f>IF(ISNA(VLOOKUP(Tableau13[[#This Row],[Code machine]],'CODE mchn'!$A$4:$C$170,3,0)),"",VLOOKUP(Tableau13[[#This Row],[Code machine]],'CODE mchn'!$A$4:$C$170,3,0))</f>
        <v>Pont roulant Abus 5T (teurema1)</v>
      </c>
      <c r="E1244" s="105"/>
      <c r="F1244" s="36" t="s">
        <v>2277</v>
      </c>
      <c r="G1244" s="36" t="s">
        <v>80</v>
      </c>
      <c r="H1244" s="36" t="s">
        <v>863</v>
      </c>
      <c r="I1244" s="59" t="s">
        <v>13</v>
      </c>
      <c r="J1244" s="201" t="s">
        <v>2146</v>
      </c>
      <c r="K1244" s="202">
        <v>44232</v>
      </c>
      <c r="L1244" s="59"/>
      <c r="M1244" s="204">
        <v>30</v>
      </c>
      <c r="N1244" s="204">
        <f>MONTH(Tableau13[[#This Row],[Date fin intervention]])</f>
        <v>2</v>
      </c>
      <c r="O1244" s="204">
        <f>YEAR(Tableau13[[#This Row],[Date fin intervention]])</f>
        <v>2021</v>
      </c>
      <c r="P1244" s="59"/>
    </row>
    <row r="1245" spans="1:16">
      <c r="A1245" s="199">
        <v>44232</v>
      </c>
      <c r="B1245" s="200">
        <v>582</v>
      </c>
      <c r="C1245" s="201" t="str">
        <f>IF(ISNA(VLOOKUP(Tableau13[[#This Row],[Code machine]],'CODE mchn'!$A$4:$C$170,2,0)),"",VLOOKUP(Tableau13[[#This Row],[Code machine]],'CODE mchn'!$A$4:$C$170,2,0))</f>
        <v>Acier</v>
      </c>
      <c r="D1245" s="36" t="str">
        <f>IF(ISNA(VLOOKUP(Tableau13[[#This Row],[Code machine]],'CODE mchn'!$A$4:$C$170,3,0)),"",VLOOKUP(Tableau13[[#This Row],[Code machine]],'CODE mchn'!$A$4:$C$170,3,0))</f>
        <v>Teurema 2</v>
      </c>
      <c r="E1245" s="105"/>
      <c r="F1245" s="59"/>
      <c r="G1245" s="36" t="s">
        <v>2245</v>
      </c>
      <c r="H1245" s="59"/>
      <c r="I1245" s="59" t="s">
        <v>13</v>
      </c>
      <c r="J1245" s="201" t="s">
        <v>2147</v>
      </c>
      <c r="K1245" s="202">
        <v>44232</v>
      </c>
      <c r="L1245" s="59"/>
      <c r="M1245" s="204"/>
      <c r="N1245" s="204">
        <f>MONTH(Tableau13[[#This Row],[Date fin intervention]])</f>
        <v>2</v>
      </c>
      <c r="O1245" s="204">
        <f>YEAR(Tableau13[[#This Row],[Date fin intervention]])</f>
        <v>2021</v>
      </c>
      <c r="P1245" s="59"/>
    </row>
    <row r="1246" spans="1:16">
      <c r="A1246" s="199">
        <v>44235</v>
      </c>
      <c r="B1246" s="200">
        <v>581</v>
      </c>
      <c r="C1246" s="201" t="str">
        <f>IF(ISNA(VLOOKUP(Tableau13[[#This Row],[Code machine]],'CODE mchn'!$A$4:$C$170,2,0)),"",VLOOKUP(Tableau13[[#This Row],[Code machine]],'CODE mchn'!$A$4:$C$170,2,0))</f>
        <v>Acier</v>
      </c>
      <c r="D1246" s="36" t="str">
        <f>IF(ISNA(VLOOKUP(Tableau13[[#This Row],[Code machine]],'CODE mchn'!$A$4:$C$170,3,0)),"",VLOOKUP(Tableau13[[#This Row],[Code machine]],'CODE mchn'!$A$4:$C$170,3,0))</f>
        <v>Teurema 1</v>
      </c>
      <c r="E1246" s="105"/>
      <c r="F1246" s="36" t="s">
        <v>2276</v>
      </c>
      <c r="G1246" s="36" t="s">
        <v>1948</v>
      </c>
      <c r="H1246" s="59" t="s">
        <v>2148</v>
      </c>
      <c r="I1246" s="59" t="s">
        <v>13</v>
      </c>
      <c r="J1246" s="201" t="s">
        <v>2127</v>
      </c>
      <c r="K1246" s="202">
        <v>44235</v>
      </c>
      <c r="L1246" s="59"/>
      <c r="M1246" s="204">
        <v>25</v>
      </c>
      <c r="N1246" s="204">
        <f>MONTH(Tableau13[[#This Row],[Date fin intervention]])</f>
        <v>2</v>
      </c>
      <c r="O1246" s="204">
        <f>YEAR(Tableau13[[#This Row],[Date fin intervention]])</f>
        <v>2021</v>
      </c>
      <c r="P1246" s="59"/>
    </row>
    <row r="1247" spans="1:16">
      <c r="A1247" s="199">
        <v>44236</v>
      </c>
      <c r="B1247" s="200">
        <v>604</v>
      </c>
      <c r="C1247" s="201" t="str">
        <f>IF(ISNA(VLOOKUP(Tableau13[[#This Row],[Code machine]],'CODE mchn'!$A$4:$C$170,2,0)),"",VLOOKUP(Tableau13[[#This Row],[Code machine]],'CODE mchn'!$A$4:$C$170,2,0))</f>
        <v>Acier</v>
      </c>
      <c r="D1247" s="36" t="str">
        <f>IF(ISNA(VLOOKUP(Tableau13[[#This Row],[Code machine]],'CODE mchn'!$A$4:$C$170,3,0)),"",VLOOKUP(Tableau13[[#This Row],[Code machine]],'CODE mchn'!$A$4:$C$170,3,0))</f>
        <v>TI</v>
      </c>
      <c r="E1247" s="105"/>
      <c r="F1247" s="36" t="s">
        <v>2277</v>
      </c>
      <c r="G1247" s="36" t="s">
        <v>10</v>
      </c>
      <c r="H1247" s="36" t="s">
        <v>2246</v>
      </c>
      <c r="I1247" s="59" t="s">
        <v>13</v>
      </c>
      <c r="J1247" s="201" t="s">
        <v>2149</v>
      </c>
      <c r="K1247" s="202">
        <v>44236</v>
      </c>
      <c r="L1247" s="59"/>
      <c r="M1247" s="204">
        <v>30</v>
      </c>
      <c r="N1247" s="204">
        <f>MONTH(Tableau13[[#This Row],[Date fin intervention]])</f>
        <v>2</v>
      </c>
      <c r="O1247" s="204">
        <f>YEAR(Tableau13[[#This Row],[Date fin intervention]])</f>
        <v>2021</v>
      </c>
      <c r="P1247" s="59"/>
    </row>
    <row r="1248" spans="1:16">
      <c r="A1248" s="199">
        <v>44237</v>
      </c>
      <c r="B1248" s="200">
        <v>582</v>
      </c>
      <c r="C1248" s="201" t="str">
        <f>IF(ISNA(VLOOKUP(Tableau13[[#This Row],[Code machine]],'CODE mchn'!$A$4:$C$170,2,0)),"",VLOOKUP(Tableau13[[#This Row],[Code machine]],'CODE mchn'!$A$4:$C$170,2,0))</f>
        <v>Acier</v>
      </c>
      <c r="D1248" s="36" t="str">
        <f>IF(ISNA(VLOOKUP(Tableau13[[#This Row],[Code machine]],'CODE mchn'!$A$4:$C$170,3,0)),"",VLOOKUP(Tableau13[[#This Row],[Code machine]],'CODE mchn'!$A$4:$C$170,3,0))</f>
        <v>Teurema 2</v>
      </c>
      <c r="E1248" s="105"/>
      <c r="F1248" s="36" t="s">
        <v>2276</v>
      </c>
      <c r="G1248" s="36" t="s">
        <v>161</v>
      </c>
      <c r="H1248" s="36" t="s">
        <v>2247</v>
      </c>
      <c r="I1248" s="59" t="s">
        <v>13</v>
      </c>
      <c r="J1248" s="201" t="s">
        <v>2150</v>
      </c>
      <c r="K1248" s="202">
        <v>44237</v>
      </c>
      <c r="L1248" s="59"/>
      <c r="M1248" s="204">
        <v>15</v>
      </c>
      <c r="N1248" s="204">
        <f>MONTH(Tableau13[[#This Row],[Date fin intervention]])</f>
        <v>2</v>
      </c>
      <c r="O1248" s="204">
        <f>YEAR(Tableau13[[#This Row],[Date fin intervention]])</f>
        <v>2021</v>
      </c>
      <c r="P1248" s="59"/>
    </row>
    <row r="1249" spans="1:16">
      <c r="A1249" s="199">
        <v>44237</v>
      </c>
      <c r="B1249" s="200">
        <v>580</v>
      </c>
      <c r="C1249" s="201" t="str">
        <f>IF(ISNA(VLOOKUP(Tableau13[[#This Row],[Code machine]],'CODE mchn'!$A$4:$C$170,2,0)),"",VLOOKUP(Tableau13[[#This Row],[Code machine]],'CODE mchn'!$A$4:$C$170,2,0))</f>
        <v>Acier</v>
      </c>
      <c r="D1249" s="36" t="str">
        <f>IF(ISNA(VLOOKUP(Tableau13[[#This Row],[Code machine]],'CODE mchn'!$A$4:$C$170,3,0)),"",VLOOKUP(Tableau13[[#This Row],[Code machine]],'CODE mchn'!$A$4:$C$170,3,0))</f>
        <v>Techno Impiante</v>
      </c>
      <c r="E1249" s="105"/>
      <c r="F1249" s="36" t="s">
        <v>2276</v>
      </c>
      <c r="G1249" s="59" t="s">
        <v>612</v>
      </c>
      <c r="H1249" s="36" t="s">
        <v>2248</v>
      </c>
      <c r="I1249" s="59" t="s">
        <v>13</v>
      </c>
      <c r="J1249" s="201" t="s">
        <v>2151</v>
      </c>
      <c r="K1249" s="202">
        <v>44237</v>
      </c>
      <c r="L1249" s="59"/>
      <c r="M1249" s="204">
        <v>240</v>
      </c>
      <c r="N1249" s="198">
        <f>MONTH(Tableau13[[#This Row],[Date fin intervention]])</f>
        <v>2</v>
      </c>
      <c r="O1249" s="198">
        <f>YEAR(Tableau13[[#This Row],[Date fin intervention]])</f>
        <v>2021</v>
      </c>
      <c r="P1249" s="59"/>
    </row>
    <row r="1250" spans="1:16" ht="28.5">
      <c r="A1250" s="199">
        <v>44238</v>
      </c>
      <c r="B1250" s="200">
        <v>582</v>
      </c>
      <c r="C1250" s="201" t="str">
        <f>IF(ISNA(VLOOKUP(Tableau13[[#This Row],[Code machine]],'CODE mchn'!$A$4:$C$170,2,0)),"",VLOOKUP(Tableau13[[#This Row],[Code machine]],'CODE mchn'!$A$4:$C$170,2,0))</f>
        <v>Acier</v>
      </c>
      <c r="D1250" s="36" t="str">
        <f>IF(ISNA(VLOOKUP(Tableau13[[#This Row],[Code machine]],'CODE mchn'!$A$4:$C$170,3,0)),"",VLOOKUP(Tableau13[[#This Row],[Code machine]],'CODE mchn'!$A$4:$C$170,3,0))</f>
        <v>Teurema 2</v>
      </c>
      <c r="E1250" s="105"/>
      <c r="F1250" s="36" t="s">
        <v>2276</v>
      </c>
      <c r="G1250" s="36" t="s">
        <v>2249</v>
      </c>
      <c r="H1250" s="36" t="s">
        <v>613</v>
      </c>
      <c r="I1250" s="59" t="s">
        <v>8</v>
      </c>
      <c r="J1250" s="201" t="s">
        <v>2152</v>
      </c>
      <c r="K1250" s="202">
        <v>44238</v>
      </c>
      <c r="L1250" s="59"/>
      <c r="M1250" s="204">
        <v>15</v>
      </c>
      <c r="N1250" s="204">
        <f>MONTH(Tableau13[[#This Row],[Date fin intervention]])</f>
        <v>2</v>
      </c>
      <c r="O1250" s="204">
        <f>YEAR(Tableau13[[#This Row],[Date fin intervention]])</f>
        <v>2021</v>
      </c>
      <c r="P1250" s="59"/>
    </row>
    <row r="1251" spans="1:16" ht="28.5">
      <c r="A1251" s="199">
        <v>44238</v>
      </c>
      <c r="B1251" s="200">
        <v>584</v>
      </c>
      <c r="C1251" s="201" t="str">
        <f>IF(ISNA(VLOOKUP(Tableau13[[#This Row],[Code machine]],'CODE mchn'!$A$4:$C$170,2,0)),"",VLOOKUP(Tableau13[[#This Row],[Code machine]],'CODE mchn'!$A$4:$C$170,2,0))</f>
        <v>Ponts roulants</v>
      </c>
      <c r="D1251" s="36" t="str">
        <f>IF(ISNA(VLOOKUP(Tableau13[[#This Row],[Code machine]],'CODE mchn'!$A$4:$C$170,3,0)),"",VLOOKUP(Tableau13[[#This Row],[Code machine]],'CODE mchn'!$A$4:$C$170,3,0))</f>
        <v>Pont roulant Demag 3,2T (teurema2)</v>
      </c>
      <c r="E1251" s="105"/>
      <c r="F1251" s="36" t="s">
        <v>2277</v>
      </c>
      <c r="G1251" s="36" t="s">
        <v>2210</v>
      </c>
      <c r="H1251" s="59" t="s">
        <v>2154</v>
      </c>
      <c r="I1251" s="59" t="s">
        <v>13</v>
      </c>
      <c r="J1251" s="201" t="s">
        <v>2155</v>
      </c>
      <c r="K1251" s="202">
        <v>44238</v>
      </c>
      <c r="L1251" s="59"/>
      <c r="M1251" s="204">
        <v>45</v>
      </c>
      <c r="N1251" s="204">
        <f>MONTH(Tableau13[[#This Row],[Date fin intervention]])</f>
        <v>2</v>
      </c>
      <c r="O1251" s="204">
        <f>YEAR(Tableau13[[#This Row],[Date fin intervention]])</f>
        <v>2021</v>
      </c>
      <c r="P1251" s="59"/>
    </row>
    <row r="1252" spans="1:16">
      <c r="A1252" s="199">
        <v>44238</v>
      </c>
      <c r="B1252" s="200">
        <v>580</v>
      </c>
      <c r="C1252" s="201" t="str">
        <f>IF(ISNA(VLOOKUP(Tableau13[[#This Row],[Code machine]],'CODE mchn'!$A$4:$C$170,2,0)),"",VLOOKUP(Tableau13[[#This Row],[Code machine]],'CODE mchn'!$A$4:$C$170,2,0))</f>
        <v>Acier</v>
      </c>
      <c r="D1252" s="36" t="str">
        <f>IF(ISNA(VLOOKUP(Tableau13[[#This Row],[Code machine]],'CODE mchn'!$A$4:$C$170,3,0)),"",VLOOKUP(Tableau13[[#This Row],[Code machine]],'CODE mchn'!$A$4:$C$170,3,0))</f>
        <v>Techno Impiante</v>
      </c>
      <c r="E1252" s="105"/>
      <c r="F1252" s="36" t="s">
        <v>2276</v>
      </c>
      <c r="G1252" s="36" t="s">
        <v>612</v>
      </c>
      <c r="H1252" s="36" t="s">
        <v>2248</v>
      </c>
      <c r="I1252" s="59" t="s">
        <v>13</v>
      </c>
      <c r="J1252" s="201" t="s">
        <v>2153</v>
      </c>
      <c r="K1252" s="202">
        <v>44238</v>
      </c>
      <c r="L1252" s="59"/>
      <c r="M1252" s="204">
        <v>240</v>
      </c>
      <c r="N1252" s="198">
        <f>MONTH(Tableau13[[#This Row],[Date fin intervention]])</f>
        <v>2</v>
      </c>
      <c r="O1252" s="198">
        <f>YEAR(Tableau13[[#This Row],[Date fin intervention]])</f>
        <v>2021</v>
      </c>
      <c r="P1252" s="59"/>
    </row>
    <row r="1253" spans="1:16">
      <c r="A1253" s="199">
        <v>44239</v>
      </c>
      <c r="B1253" s="200">
        <v>571</v>
      </c>
      <c r="C1253" s="201" t="str">
        <f>IF(ISNA(VLOOKUP(Tableau13[[#This Row],[Code machine]],'CODE mchn'!$A$4:$C$170,2,0)),"",VLOOKUP(Tableau13[[#This Row],[Code machine]],'CODE mchn'!$A$4:$C$170,2,0))</f>
        <v>Acier</v>
      </c>
      <c r="D1253" s="36" t="str">
        <f>IF(ISNA(VLOOKUP(Tableau13[[#This Row],[Code machine]],'CODE mchn'!$A$4:$C$170,3,0)),"",VLOOKUP(Tableau13[[#This Row],[Code machine]],'CODE mchn'!$A$4:$C$170,3,0))</f>
        <v>EVG PN 1</v>
      </c>
      <c r="E1253" s="105"/>
      <c r="F1253" s="36" t="s">
        <v>2276</v>
      </c>
      <c r="G1253" s="36" t="s">
        <v>20</v>
      </c>
      <c r="H1253" s="36" t="s">
        <v>30</v>
      </c>
      <c r="I1253" s="36" t="s">
        <v>13</v>
      </c>
      <c r="J1253" s="201" t="s">
        <v>2157</v>
      </c>
      <c r="K1253" s="202">
        <v>44239</v>
      </c>
      <c r="L1253" s="59"/>
      <c r="M1253" s="204">
        <v>30</v>
      </c>
      <c r="N1253" s="204">
        <f>MONTH(Tableau13[[#This Row],[Date fin intervention]])</f>
        <v>2</v>
      </c>
      <c r="O1253" s="204">
        <f>YEAR(Tableau13[[#This Row],[Date fin intervention]])</f>
        <v>2021</v>
      </c>
      <c r="P1253" s="59"/>
    </row>
    <row r="1254" spans="1:16">
      <c r="A1254" s="199">
        <v>44239</v>
      </c>
      <c r="B1254" s="200">
        <v>620</v>
      </c>
      <c r="C1254" s="201" t="str">
        <f>IF(ISNA(VLOOKUP(Tableau13[[#This Row],[Code machine]],'CODE mchn'!$A$4:$C$170,2,0)),"",VLOOKUP(Tableau13[[#This Row],[Code machine]],'CODE mchn'!$A$4:$C$170,2,0))</f>
        <v>Acier</v>
      </c>
      <c r="D1254" s="36" t="str">
        <f>IF(ISNA(VLOOKUP(Tableau13[[#This Row],[Code machine]],'CODE mchn'!$A$4:$C$170,3,0)),"",VLOOKUP(Tableau13[[#This Row],[Code machine]],'CODE mchn'!$A$4:$C$170,3,0))</f>
        <v>EVG PN 2</v>
      </c>
      <c r="E1254" s="105"/>
      <c r="F1254" s="36" t="s">
        <v>2276</v>
      </c>
      <c r="G1254" s="36" t="s">
        <v>55</v>
      </c>
      <c r="H1254" s="36" t="s">
        <v>1224</v>
      </c>
      <c r="I1254" s="59" t="s">
        <v>13</v>
      </c>
      <c r="J1254" s="201" t="s">
        <v>2156</v>
      </c>
      <c r="K1254" s="202">
        <v>44239</v>
      </c>
      <c r="L1254" s="59"/>
      <c r="M1254" s="204">
        <v>240</v>
      </c>
      <c r="N1254" s="198">
        <f>MONTH(Tableau13[[#This Row],[Date fin intervention]])</f>
        <v>2</v>
      </c>
      <c r="O1254" s="198">
        <f>YEAR(Tableau13[[#This Row],[Date fin intervention]])</f>
        <v>2021</v>
      </c>
      <c r="P1254" s="59"/>
    </row>
    <row r="1255" spans="1:16">
      <c r="A1255" s="199">
        <v>44240</v>
      </c>
      <c r="B1255" s="200">
        <v>590</v>
      </c>
      <c r="C1255" s="201" t="str">
        <f>IF(ISNA(VLOOKUP(Tableau13[[#This Row],[Code machine]],'CODE mchn'!$A$4:$C$170,2,0)),"",VLOOKUP(Tableau13[[#This Row],[Code machine]],'CODE mchn'!$A$4:$C$170,2,0))</f>
        <v>Acier</v>
      </c>
      <c r="D1255" s="36" t="str">
        <f>IF(ISNA(VLOOKUP(Tableau13[[#This Row],[Code machine]],'CODE mchn'!$A$4:$C$170,3,0)),"",VLOOKUP(Tableau13[[#This Row],[Code machine]],'CODE mchn'!$A$4:$C$170,3,0))</f>
        <v>Teurema 3</v>
      </c>
      <c r="E1255" s="105"/>
      <c r="F1255" s="36" t="s">
        <v>2277</v>
      </c>
      <c r="G1255" s="36" t="s">
        <v>2245</v>
      </c>
      <c r="H1255" s="59" t="s">
        <v>2161</v>
      </c>
      <c r="I1255" s="59" t="s">
        <v>13</v>
      </c>
      <c r="J1255" s="201" t="s">
        <v>2120</v>
      </c>
      <c r="K1255" s="202">
        <v>44240</v>
      </c>
      <c r="L1255" s="59"/>
      <c r="M1255" s="204">
        <v>60</v>
      </c>
      <c r="N1255" s="198">
        <f>MONTH(Tableau13[[#This Row],[Date fin intervention]])</f>
        <v>2</v>
      </c>
      <c r="O1255" s="198">
        <f>YEAR(Tableau13[[#This Row],[Date fin intervention]])</f>
        <v>2021</v>
      </c>
      <c r="P1255" s="59"/>
    </row>
    <row r="1256" spans="1:16">
      <c r="A1256" s="199">
        <v>44240</v>
      </c>
      <c r="B1256" s="200">
        <v>605</v>
      </c>
      <c r="C1256" s="201" t="str">
        <f>IF(ISNA(VLOOKUP(Tableau13[[#This Row],[Code machine]],'CODE mchn'!$A$4:$C$170,2,0)),"",VLOOKUP(Tableau13[[#This Row],[Code machine]],'CODE mchn'!$A$4:$C$170,2,0))</f>
        <v>Acier</v>
      </c>
      <c r="D1256" s="36" t="str">
        <f>IF(ISNA(VLOOKUP(Tableau13[[#This Row],[Code machine]],'CODE mchn'!$A$4:$C$170,3,0)),"",VLOOKUP(Tableau13[[#This Row],[Code machine]],'CODE mchn'!$A$4:$C$170,3,0))</f>
        <v>Vitari 1</v>
      </c>
      <c r="E1256" s="105"/>
      <c r="F1256" s="36" t="s">
        <v>2277</v>
      </c>
      <c r="G1256" s="36" t="s">
        <v>10</v>
      </c>
      <c r="H1256" s="36" t="s">
        <v>2158</v>
      </c>
      <c r="I1256" s="59" t="s">
        <v>13</v>
      </c>
      <c r="J1256" s="201" t="s">
        <v>2159</v>
      </c>
      <c r="K1256" s="202">
        <v>44240</v>
      </c>
      <c r="L1256" s="59"/>
      <c r="M1256" s="204">
        <v>30</v>
      </c>
      <c r="N1256" s="204">
        <f>MONTH(Tableau13[[#This Row],[Date fin intervention]])</f>
        <v>2</v>
      </c>
      <c r="O1256" s="204">
        <f>YEAR(Tableau13[[#This Row],[Date fin intervention]])</f>
        <v>2021</v>
      </c>
      <c r="P1256" s="59"/>
    </row>
    <row r="1257" spans="1:16">
      <c r="A1257" s="199">
        <v>44240</v>
      </c>
      <c r="B1257" s="200">
        <v>560</v>
      </c>
      <c r="C1257" s="201" t="str">
        <f>IF(ISNA(VLOOKUP(Tableau13[[#This Row],[Code machine]],'CODE mchn'!$A$4:$C$170,2,0)),"",VLOOKUP(Tableau13[[#This Row],[Code machine]],'CODE mchn'!$A$4:$C$170,2,0))</f>
        <v>Acier</v>
      </c>
      <c r="D1257" s="36" t="str">
        <f>IF(ISNA(VLOOKUP(Tableau13[[#This Row],[Code machine]],'CODE mchn'!$A$4:$C$170,3,0)),"",VLOOKUP(Tableau13[[#This Row],[Code machine]],'CODE mchn'!$A$4:$C$170,3,0))</f>
        <v>Schlatter</v>
      </c>
      <c r="E1257" s="105"/>
      <c r="F1257" s="36" t="s">
        <v>2277</v>
      </c>
      <c r="G1257" s="36" t="s">
        <v>2243</v>
      </c>
      <c r="H1257" s="59" t="s">
        <v>2132</v>
      </c>
      <c r="I1257" s="59" t="s">
        <v>13</v>
      </c>
      <c r="J1257" s="201" t="s">
        <v>2160</v>
      </c>
      <c r="K1257" s="202">
        <v>44240</v>
      </c>
      <c r="L1257" s="59"/>
      <c r="M1257" s="204">
        <v>30</v>
      </c>
      <c r="N1257" s="204">
        <f>MONTH(Tableau13[[#This Row],[Date fin intervention]])</f>
        <v>2</v>
      </c>
      <c r="O1257" s="204">
        <f>YEAR(Tableau13[[#This Row],[Date fin intervention]])</f>
        <v>2021</v>
      </c>
      <c r="P1257" s="59"/>
    </row>
    <row r="1258" spans="1:16">
      <c r="A1258" s="104">
        <v>44242</v>
      </c>
      <c r="B1258" s="105">
        <v>590</v>
      </c>
      <c r="C1258" s="106" t="str">
        <f>IF(ISNA(VLOOKUP(Tableau13[[#This Row],[Code machine]],'CODE mchn'!$A$4:$C$170,2,0)),"",VLOOKUP(Tableau13[[#This Row],[Code machine]],'CODE mchn'!$A$4:$C$170,2,0))</f>
        <v>Acier</v>
      </c>
      <c r="D1258" s="36" t="str">
        <f>IF(ISNA(VLOOKUP(Tableau13[[#This Row],[Code machine]],'CODE mchn'!$A$4:$C$170,3,0)),"",VLOOKUP(Tableau13[[#This Row],[Code machine]],'CODE mchn'!$A$4:$C$170,3,0))</f>
        <v>Teurema 3</v>
      </c>
      <c r="E1258" s="105"/>
      <c r="F1258" s="36" t="s">
        <v>2276</v>
      </c>
      <c r="G1258" s="36" t="s">
        <v>2252</v>
      </c>
      <c r="H1258" s="36" t="s">
        <v>2250</v>
      </c>
      <c r="I1258" s="36" t="s">
        <v>13</v>
      </c>
      <c r="J1258" s="106" t="s">
        <v>2167</v>
      </c>
      <c r="K1258" s="71">
        <v>44242</v>
      </c>
      <c r="L1258" s="36"/>
      <c r="M1258" s="204">
        <v>60</v>
      </c>
      <c r="N1258" s="198">
        <f>MONTH(Tableau13[[#This Row],[Date fin intervention]])</f>
        <v>2</v>
      </c>
      <c r="O1258" s="198">
        <f>YEAR(Tableau13[[#This Row],[Date fin intervention]])</f>
        <v>2021</v>
      </c>
      <c r="P1258" s="36"/>
    </row>
    <row r="1259" spans="1:16">
      <c r="A1259" s="104">
        <v>44242</v>
      </c>
      <c r="B1259" s="105">
        <v>590</v>
      </c>
      <c r="C1259" s="106" t="str">
        <f>IF(ISNA(VLOOKUP(Tableau13[[#This Row],[Code machine]],'CODE mchn'!$A$4:$C$170,2,0)),"",VLOOKUP(Tableau13[[#This Row],[Code machine]],'CODE mchn'!$A$4:$C$170,2,0))</f>
        <v>Acier</v>
      </c>
      <c r="D1259" s="36" t="str">
        <f>IF(ISNA(VLOOKUP(Tableau13[[#This Row],[Code machine]],'CODE mchn'!$A$4:$C$170,3,0)),"",VLOOKUP(Tableau13[[#This Row],[Code machine]],'CODE mchn'!$A$4:$C$170,3,0))</f>
        <v>Teurema 3</v>
      </c>
      <c r="E1259" s="105"/>
      <c r="F1259" s="36" t="s">
        <v>2276</v>
      </c>
      <c r="G1259" s="36" t="s">
        <v>2251</v>
      </c>
      <c r="H1259" s="36" t="s">
        <v>2168</v>
      </c>
      <c r="I1259" s="36" t="s">
        <v>13</v>
      </c>
      <c r="J1259" s="106" t="s">
        <v>2166</v>
      </c>
      <c r="K1259" s="71">
        <v>44242</v>
      </c>
      <c r="L1259" s="36"/>
      <c r="M1259" s="204">
        <v>60</v>
      </c>
      <c r="N1259" s="198">
        <f>MONTH(Tableau13[[#This Row],[Date fin intervention]])</f>
        <v>2</v>
      </c>
      <c r="O1259" s="198">
        <f>YEAR(Tableau13[[#This Row],[Date fin intervention]])</f>
        <v>2021</v>
      </c>
      <c r="P1259" s="36"/>
    </row>
    <row r="1260" spans="1:16">
      <c r="A1260" s="104">
        <v>44242</v>
      </c>
      <c r="B1260" s="105">
        <v>607</v>
      </c>
      <c r="C1260" s="201" t="str">
        <f>IF(ISNA(VLOOKUP(Tableau13[[#This Row],[Code machine]],'CODE mchn'!$A$4:$C$170,2,0)),"",VLOOKUP(Tableau13[[#This Row],[Code machine]],'CODE mchn'!$A$4:$C$170,2,0))</f>
        <v>Acier</v>
      </c>
      <c r="D1260" s="36" t="str">
        <f>IF(ISNA(VLOOKUP(Tableau13[[#This Row],[Code machine]],'CODE mchn'!$A$4:$C$170,3,0)),"",VLOOKUP(Tableau13[[#This Row],[Code machine]],'CODE mchn'!$A$4:$C$170,3,0))</f>
        <v>Vitari 3</v>
      </c>
      <c r="E1260" s="105"/>
      <c r="F1260" s="36" t="s">
        <v>2277</v>
      </c>
      <c r="G1260" s="36" t="s">
        <v>2162</v>
      </c>
      <c r="H1260" s="36" t="s">
        <v>689</v>
      </c>
      <c r="I1260" s="36" t="s">
        <v>13</v>
      </c>
      <c r="J1260" s="106" t="s">
        <v>2163</v>
      </c>
      <c r="K1260" s="71">
        <v>44242</v>
      </c>
      <c r="L1260" s="36"/>
      <c r="M1260" s="108">
        <v>30</v>
      </c>
      <c r="N1260" s="108">
        <f>MONTH(Tableau13[[#This Row],[Date fin intervention]])</f>
        <v>2</v>
      </c>
      <c r="O1260" s="108">
        <f>YEAR(Tableau13[[#This Row],[Date fin intervention]])</f>
        <v>2021</v>
      </c>
      <c r="P1260" s="36"/>
    </row>
    <row r="1261" spans="1:16">
      <c r="A1261" s="104">
        <v>44242</v>
      </c>
      <c r="B1261" s="105">
        <v>620</v>
      </c>
      <c r="C1261" s="106" t="str">
        <f>IF(ISNA(VLOOKUP(Tableau13[[#This Row],[Code machine]],'CODE mchn'!$A$4:$C$170,2,0)),"",VLOOKUP(Tableau13[[#This Row],[Code machine]],'CODE mchn'!$A$4:$C$170,2,0))</f>
        <v>Acier</v>
      </c>
      <c r="D1261" s="36" t="str">
        <f>IF(ISNA(VLOOKUP(Tableau13[[#This Row],[Code machine]],'CODE mchn'!$A$4:$C$170,3,0)),"",VLOOKUP(Tableau13[[#This Row],[Code machine]],'CODE mchn'!$A$4:$C$170,3,0))</f>
        <v>EVG PN 2</v>
      </c>
      <c r="E1261" s="105"/>
      <c r="F1261" s="59" t="s">
        <v>2276</v>
      </c>
      <c r="G1261" s="36" t="s">
        <v>2243</v>
      </c>
      <c r="H1261" s="36" t="s">
        <v>2241</v>
      </c>
      <c r="I1261" s="36" t="s">
        <v>13</v>
      </c>
      <c r="J1261" s="106" t="s">
        <v>2164</v>
      </c>
      <c r="K1261" s="71">
        <v>44242</v>
      </c>
      <c r="L1261" s="36"/>
      <c r="M1261" s="108">
        <v>15</v>
      </c>
      <c r="N1261" s="108">
        <f>MONTH(Tableau13[[#This Row],[Date fin intervention]])</f>
        <v>2</v>
      </c>
      <c r="O1261" s="108">
        <f>YEAR(Tableau13[[#This Row],[Date fin intervention]])</f>
        <v>2021</v>
      </c>
      <c r="P1261" s="36"/>
    </row>
    <row r="1262" spans="1:16">
      <c r="A1262" s="104">
        <v>44242</v>
      </c>
      <c r="B1262" s="105">
        <v>582</v>
      </c>
      <c r="C1262" s="106" t="str">
        <f>IF(ISNA(VLOOKUP(Tableau13[[#This Row],[Code machine]],'CODE mchn'!$A$4:$C$170,2,0)),"",VLOOKUP(Tableau13[[#This Row],[Code machine]],'CODE mchn'!$A$4:$C$170,2,0))</f>
        <v>Acier</v>
      </c>
      <c r="D1262" s="36" t="str">
        <f>IF(ISNA(VLOOKUP(Tableau13[[#This Row],[Code machine]],'CODE mchn'!$A$4:$C$170,3,0)),"",VLOOKUP(Tableau13[[#This Row],[Code machine]],'CODE mchn'!$A$4:$C$170,3,0))</f>
        <v>Teurema 2</v>
      </c>
      <c r="E1262" s="105"/>
      <c r="F1262" s="36" t="s">
        <v>2276</v>
      </c>
      <c r="G1262" s="36" t="s">
        <v>880</v>
      </c>
      <c r="H1262" s="36" t="s">
        <v>2165</v>
      </c>
      <c r="I1262" s="36" t="s">
        <v>13</v>
      </c>
      <c r="J1262" s="106" t="s">
        <v>2166</v>
      </c>
      <c r="K1262" s="71">
        <v>44242</v>
      </c>
      <c r="L1262" s="36"/>
      <c r="M1262" s="108">
        <v>30</v>
      </c>
      <c r="N1262" s="108">
        <f>MONTH(Tableau13[[#This Row],[Date fin intervention]])</f>
        <v>2</v>
      </c>
      <c r="O1262" s="108">
        <f>YEAR(Tableau13[[#This Row],[Date fin intervention]])</f>
        <v>2021</v>
      </c>
      <c r="P1262" s="36"/>
    </row>
    <row r="1263" spans="1:16">
      <c r="A1263" s="104">
        <v>44242</v>
      </c>
      <c r="B1263" s="105">
        <v>700</v>
      </c>
      <c r="C1263" s="106" t="str">
        <f>IF(ISNA(VLOOKUP(Tableau13[[#This Row],[Code machine]],'CODE mchn'!$A$4:$C$170,2,0)),"",VLOOKUP(Tableau13[[#This Row],[Code machine]],'CODE mchn'!$A$4:$C$170,2,0))</f>
        <v>Béton</v>
      </c>
      <c r="D1263" s="36" t="str">
        <f>IF(ISNA(VLOOKUP(Tableau13[[#This Row],[Code machine]],'CODE mchn'!$A$4:$C$170,3,0)),"",VLOOKUP(Tableau13[[#This Row],[Code machine]],'CODE mchn'!$A$4:$C$170,3,0))</f>
        <v>Poyatos 1</v>
      </c>
      <c r="E1263" s="105"/>
      <c r="F1263" s="36" t="s">
        <v>2276</v>
      </c>
      <c r="G1263" s="36" t="s">
        <v>1132</v>
      </c>
      <c r="H1263" s="36" t="s">
        <v>2175</v>
      </c>
      <c r="I1263" s="36" t="s">
        <v>13</v>
      </c>
      <c r="J1263" s="106" t="s">
        <v>2145</v>
      </c>
      <c r="K1263" s="71">
        <v>44242</v>
      </c>
      <c r="L1263" s="36"/>
      <c r="M1263" s="108">
        <v>15</v>
      </c>
      <c r="N1263" s="108">
        <f>MONTH(Tableau13[[#This Row],[Date fin intervention]])</f>
        <v>2</v>
      </c>
      <c r="O1263" s="108">
        <f>YEAR(Tableau13[[#This Row],[Date fin intervention]])</f>
        <v>2021</v>
      </c>
      <c r="P1263" s="36"/>
    </row>
    <row r="1264" spans="1:16">
      <c r="A1264" s="104">
        <v>44242</v>
      </c>
      <c r="B1264" s="105">
        <v>582</v>
      </c>
      <c r="C1264" s="106" t="str">
        <f>IF(ISNA(VLOOKUP(Tableau13[[#This Row],[Code machine]],'CODE mchn'!$A$4:$C$170,2,0)),"",VLOOKUP(Tableau13[[#This Row],[Code machine]],'CODE mchn'!$A$4:$C$170,2,0))</f>
        <v>Acier</v>
      </c>
      <c r="D1264" s="36" t="str">
        <f>IF(ISNA(VLOOKUP(Tableau13[[#This Row],[Code machine]],'CODE mchn'!$A$4:$C$170,3,0)),"",VLOOKUP(Tableau13[[#This Row],[Code machine]],'CODE mchn'!$A$4:$C$170,3,0))</f>
        <v>Teurema 2</v>
      </c>
      <c r="E1264" s="105"/>
      <c r="F1264" s="36" t="s">
        <v>2276</v>
      </c>
      <c r="G1264" s="36" t="s">
        <v>1473</v>
      </c>
      <c r="H1264" s="36" t="s">
        <v>2169</v>
      </c>
      <c r="I1264" s="36" t="s">
        <v>13</v>
      </c>
      <c r="J1264" s="106" t="s">
        <v>2170</v>
      </c>
      <c r="K1264" s="71">
        <v>44242</v>
      </c>
      <c r="L1264" s="36"/>
      <c r="M1264" s="108">
        <v>30</v>
      </c>
      <c r="N1264" s="108">
        <f>MONTH(Tableau13[[#This Row],[Date fin intervention]])</f>
        <v>2</v>
      </c>
      <c r="O1264" s="108">
        <f>YEAR(Tableau13[[#This Row],[Date fin intervention]])</f>
        <v>2021</v>
      </c>
      <c r="P1264" s="36"/>
    </row>
    <row r="1265" spans="1:16">
      <c r="A1265" s="104">
        <v>44243</v>
      </c>
      <c r="B1265" s="105">
        <v>582</v>
      </c>
      <c r="C1265" s="106" t="str">
        <f>IF(ISNA(VLOOKUP(Tableau13[[#This Row],[Code machine]],'CODE mchn'!$A$4:$C$170,2,0)),"",VLOOKUP(Tableau13[[#This Row],[Code machine]],'CODE mchn'!$A$4:$C$170,2,0))</f>
        <v>Acier</v>
      </c>
      <c r="D1265" s="36" t="str">
        <f>IF(ISNA(VLOOKUP(Tableau13[[#This Row],[Code machine]],'CODE mchn'!$A$4:$C$170,3,0)),"",VLOOKUP(Tableau13[[#This Row],[Code machine]],'CODE mchn'!$A$4:$C$170,3,0))</f>
        <v>Teurema 2</v>
      </c>
      <c r="E1265" s="105"/>
      <c r="F1265" s="36" t="s">
        <v>2276</v>
      </c>
      <c r="G1265" s="36" t="s">
        <v>161</v>
      </c>
      <c r="H1265" s="36" t="s">
        <v>2171</v>
      </c>
      <c r="I1265" s="36" t="s">
        <v>13</v>
      </c>
      <c r="J1265" s="106" t="s">
        <v>2120</v>
      </c>
      <c r="K1265" s="71">
        <v>44243</v>
      </c>
      <c r="L1265" s="36"/>
      <c r="M1265" s="108">
        <v>45</v>
      </c>
      <c r="N1265" s="108">
        <f>MONTH(Tableau13[[#This Row],[Date fin intervention]])</f>
        <v>2</v>
      </c>
      <c r="O1265" s="108">
        <f>YEAR(Tableau13[[#This Row],[Date fin intervention]])</f>
        <v>2021</v>
      </c>
      <c r="P1265" s="36"/>
    </row>
    <row r="1266" spans="1:16">
      <c r="A1266" s="104">
        <v>44243</v>
      </c>
      <c r="B1266" s="105">
        <v>571</v>
      </c>
      <c r="C1266" s="106" t="str">
        <f>IF(ISNA(VLOOKUP(Tableau13[[#This Row],[Code machine]],'CODE mchn'!$A$4:$C$170,2,0)),"",VLOOKUP(Tableau13[[#This Row],[Code machine]],'CODE mchn'!$A$4:$C$170,2,0))</f>
        <v>Acier</v>
      </c>
      <c r="D1266" s="36" t="str">
        <f>IF(ISNA(VLOOKUP(Tableau13[[#This Row],[Code machine]],'CODE mchn'!$A$4:$C$170,3,0)),"",VLOOKUP(Tableau13[[#This Row],[Code machine]],'CODE mchn'!$A$4:$C$170,3,0))</f>
        <v>EVG PN 1</v>
      </c>
      <c r="E1266" s="105"/>
      <c r="F1266" s="36" t="s">
        <v>2277</v>
      </c>
      <c r="G1266" s="36" t="s">
        <v>10</v>
      </c>
      <c r="H1266" s="36" t="s">
        <v>2172</v>
      </c>
      <c r="I1266" s="36" t="s">
        <v>13</v>
      </c>
      <c r="J1266" s="106" t="s">
        <v>2173</v>
      </c>
      <c r="K1266" s="71">
        <v>44243</v>
      </c>
      <c r="L1266" s="36"/>
      <c r="M1266" s="108">
        <v>30</v>
      </c>
      <c r="N1266" s="108">
        <f>MONTH(Tableau13[[#This Row],[Date fin intervention]])</f>
        <v>2</v>
      </c>
      <c r="O1266" s="108">
        <f>YEAR(Tableau13[[#This Row],[Date fin intervention]])</f>
        <v>2021</v>
      </c>
      <c r="P1266" s="36"/>
    </row>
    <row r="1267" spans="1:16" ht="28.5">
      <c r="A1267" s="104">
        <v>44243</v>
      </c>
      <c r="B1267" s="105">
        <v>562</v>
      </c>
      <c r="C1267" s="106" t="str">
        <f>IF(ISNA(VLOOKUP(Tableau13[[#This Row],[Code machine]],'CODE mchn'!$A$4:$C$170,2,0)),"",VLOOKUP(Tableau13[[#This Row],[Code machine]],'CODE mchn'!$A$4:$C$170,2,0))</f>
        <v>Ponts roulants</v>
      </c>
      <c r="D1267" s="36" t="str">
        <f>IF(ISNA(VLOOKUP(Tableau13[[#This Row],[Code machine]],'CODE mchn'!$A$4:$C$170,3,0)),"",VLOOKUP(Tableau13[[#This Row],[Code machine]],'CODE mchn'!$A$4:$C$170,3,0))</f>
        <v>Pont roulant GH Beasain 12T</v>
      </c>
      <c r="E1267" s="105"/>
      <c r="F1267" s="36" t="s">
        <v>2277</v>
      </c>
      <c r="G1267" s="36" t="s">
        <v>1351</v>
      </c>
      <c r="H1267" s="36" t="s">
        <v>2290</v>
      </c>
      <c r="I1267" s="36" t="s">
        <v>13</v>
      </c>
      <c r="J1267" s="106" t="s">
        <v>2174</v>
      </c>
      <c r="K1267" s="71">
        <v>44243</v>
      </c>
      <c r="L1267" s="36"/>
      <c r="M1267" s="204">
        <v>180</v>
      </c>
      <c r="N1267" s="198">
        <f>MONTH(Tableau13[[#This Row],[Date fin intervention]])</f>
        <v>2</v>
      </c>
      <c r="O1267" s="198">
        <f>YEAR(Tableau13[[#This Row],[Date fin intervention]])</f>
        <v>2021</v>
      </c>
      <c r="P1267" s="36"/>
    </row>
    <row r="1268" spans="1:16">
      <c r="A1268" s="104">
        <v>44244</v>
      </c>
      <c r="B1268" s="105">
        <v>700</v>
      </c>
      <c r="C1268" s="106" t="str">
        <f>IF(ISNA(VLOOKUP(Tableau13[[#This Row],[Code machine]],'CODE mchn'!$A$4:$C$170,2,0)),"",VLOOKUP(Tableau13[[#This Row],[Code machine]],'CODE mchn'!$A$4:$C$170,2,0))</f>
        <v>Béton</v>
      </c>
      <c r="D1268" s="36" t="str">
        <f>IF(ISNA(VLOOKUP(Tableau13[[#This Row],[Code machine]],'CODE mchn'!$A$4:$C$170,3,0)),"",VLOOKUP(Tableau13[[#This Row],[Code machine]],'CODE mchn'!$A$4:$C$170,3,0))</f>
        <v>Poyatos 1</v>
      </c>
      <c r="E1268" s="105"/>
      <c r="F1268" s="36" t="s">
        <v>2277</v>
      </c>
      <c r="G1268" s="36" t="s">
        <v>2253</v>
      </c>
      <c r="H1268" s="36" t="s">
        <v>2176</v>
      </c>
      <c r="I1268" s="36" t="s">
        <v>13</v>
      </c>
      <c r="J1268" s="106" t="s">
        <v>2177</v>
      </c>
      <c r="K1268" s="71">
        <v>44244</v>
      </c>
      <c r="L1268" s="36"/>
      <c r="M1268" s="204">
        <v>60</v>
      </c>
      <c r="N1268" s="198">
        <f>MONTH(Tableau13[[#This Row],[Date fin intervention]])</f>
        <v>2</v>
      </c>
      <c r="O1268" s="198">
        <f>YEAR(Tableau13[[#This Row],[Date fin intervention]])</f>
        <v>2021</v>
      </c>
      <c r="P1268" s="36"/>
    </row>
    <row r="1269" spans="1:16">
      <c r="A1269" s="104">
        <v>44244</v>
      </c>
      <c r="B1269" s="105">
        <v>700</v>
      </c>
      <c r="C1269" s="106" t="str">
        <f>IF(ISNA(VLOOKUP(Tableau13[[#This Row],[Code machine]],'CODE mchn'!$A$4:$C$170,2,0)),"",VLOOKUP(Tableau13[[#This Row],[Code machine]],'CODE mchn'!$A$4:$C$170,2,0))</f>
        <v>Béton</v>
      </c>
      <c r="D1269" s="36" t="str">
        <f>IF(ISNA(VLOOKUP(Tableau13[[#This Row],[Code machine]],'CODE mchn'!$A$4:$C$170,3,0)),"",VLOOKUP(Tableau13[[#This Row],[Code machine]],'CODE mchn'!$A$4:$C$170,3,0))</f>
        <v>Poyatos 1</v>
      </c>
      <c r="E1269" s="105"/>
      <c r="F1269" s="36" t="s">
        <v>2277</v>
      </c>
      <c r="G1269" s="36" t="s">
        <v>289</v>
      </c>
      <c r="H1269" s="36" t="s">
        <v>2178</v>
      </c>
      <c r="I1269" s="36" t="s">
        <v>13</v>
      </c>
      <c r="J1269" s="106" t="s">
        <v>2179</v>
      </c>
      <c r="K1269" s="71">
        <v>44244</v>
      </c>
      <c r="L1269" s="36"/>
      <c r="M1269" s="108">
        <v>30</v>
      </c>
      <c r="N1269" s="108">
        <f>MONTH(Tableau13[[#This Row],[Date fin intervention]])</f>
        <v>2</v>
      </c>
      <c r="O1269" s="108">
        <f>YEAR(Tableau13[[#This Row],[Date fin intervention]])</f>
        <v>2021</v>
      </c>
      <c r="P1269" s="36"/>
    </row>
    <row r="1270" spans="1:16">
      <c r="A1270" s="104">
        <v>44244</v>
      </c>
      <c r="B1270" s="105">
        <v>700</v>
      </c>
      <c r="C1270" s="106" t="str">
        <f>IF(ISNA(VLOOKUP(Tableau13[[#This Row],[Code machine]],'CODE mchn'!$A$4:$C$170,2,0)),"",VLOOKUP(Tableau13[[#This Row],[Code machine]],'CODE mchn'!$A$4:$C$170,2,0))</f>
        <v>Béton</v>
      </c>
      <c r="D1270" s="36" t="str">
        <f>IF(ISNA(VLOOKUP(Tableau13[[#This Row],[Code machine]],'CODE mchn'!$A$4:$C$170,3,0)),"",VLOOKUP(Tableau13[[#This Row],[Code machine]],'CODE mchn'!$A$4:$C$170,3,0))</f>
        <v>Poyatos 1</v>
      </c>
      <c r="E1270" s="105"/>
      <c r="F1270" s="36" t="s">
        <v>2276</v>
      </c>
      <c r="G1270" s="36" t="s">
        <v>118</v>
      </c>
      <c r="H1270" s="36" t="s">
        <v>2254</v>
      </c>
      <c r="I1270" s="36" t="s">
        <v>13</v>
      </c>
      <c r="J1270" s="106" t="s">
        <v>2180</v>
      </c>
      <c r="K1270" s="71">
        <v>44244</v>
      </c>
      <c r="L1270" s="36"/>
      <c r="M1270" s="108">
        <v>30</v>
      </c>
      <c r="N1270" s="108">
        <f>MONTH(Tableau13[[#This Row],[Date fin intervention]])</f>
        <v>2</v>
      </c>
      <c r="O1270" s="108">
        <f>YEAR(Tableau13[[#This Row],[Date fin intervention]])</f>
        <v>2021</v>
      </c>
      <c r="P1270" s="36"/>
    </row>
    <row r="1271" spans="1:16">
      <c r="A1271" s="104">
        <v>44244</v>
      </c>
      <c r="B1271" s="105">
        <v>565</v>
      </c>
      <c r="C1271" s="106" t="str">
        <f>IF(ISNA(VLOOKUP(Tableau13[[#This Row],[Code machine]],'CODE mchn'!$A$4:$C$170,2,0)),"",VLOOKUP(Tableau13[[#This Row],[Code machine]],'CODE mchn'!$A$4:$C$170,2,0))</f>
        <v>Acier</v>
      </c>
      <c r="D1271" s="36" t="str">
        <f>IF(ISNA(VLOOKUP(Tableau13[[#This Row],[Code machine]],'CODE mchn'!$A$4:$C$170,3,0)),"",VLOOKUP(Tableau13[[#This Row],[Code machine]],'CODE mchn'!$A$4:$C$170,3,0))</f>
        <v>EVG GE12</v>
      </c>
      <c r="E1271" s="105"/>
      <c r="F1271" s="36" t="s">
        <v>2276</v>
      </c>
      <c r="G1271" s="36" t="s">
        <v>726</v>
      </c>
      <c r="H1271" s="36" t="s">
        <v>2183</v>
      </c>
      <c r="I1271" s="36" t="s">
        <v>13</v>
      </c>
      <c r="J1271" s="106" t="s">
        <v>1943</v>
      </c>
      <c r="K1271" s="71">
        <v>44244</v>
      </c>
      <c r="L1271" s="36"/>
      <c r="M1271" s="108">
        <v>30</v>
      </c>
      <c r="N1271" s="108">
        <f>MONTH(Tableau13[[#This Row],[Date fin intervention]])</f>
        <v>2</v>
      </c>
      <c r="O1271" s="108">
        <f>YEAR(Tableau13[[#This Row],[Date fin intervention]])</f>
        <v>2021</v>
      </c>
      <c r="P1271" s="36"/>
    </row>
    <row r="1272" spans="1:16">
      <c r="A1272" s="104">
        <v>44244</v>
      </c>
      <c r="B1272" s="105">
        <v>571</v>
      </c>
      <c r="C1272" s="106" t="str">
        <f>IF(ISNA(VLOOKUP(Tableau13[[#This Row],[Code machine]],'CODE mchn'!$A$4:$C$170,2,0)),"",VLOOKUP(Tableau13[[#This Row],[Code machine]],'CODE mchn'!$A$4:$C$170,2,0))</f>
        <v>Acier</v>
      </c>
      <c r="D1272" s="36" t="str">
        <f>IF(ISNA(VLOOKUP(Tableau13[[#This Row],[Code machine]],'CODE mchn'!$A$4:$C$170,3,0)),"",VLOOKUP(Tableau13[[#This Row],[Code machine]],'CODE mchn'!$A$4:$C$170,3,0))</f>
        <v>EVG PN 1</v>
      </c>
      <c r="E1272" s="105"/>
      <c r="F1272" s="36" t="s">
        <v>2277</v>
      </c>
      <c r="G1272" s="36" t="s">
        <v>10</v>
      </c>
      <c r="H1272" s="36" t="s">
        <v>2182</v>
      </c>
      <c r="I1272" s="36" t="s">
        <v>13</v>
      </c>
      <c r="J1272" s="106" t="s">
        <v>2184</v>
      </c>
      <c r="K1272" s="71">
        <v>44244</v>
      </c>
      <c r="L1272" s="36"/>
      <c r="M1272" s="108">
        <v>30</v>
      </c>
      <c r="N1272" s="108">
        <f>MONTH(Tableau13[[#This Row],[Date fin intervention]])</f>
        <v>2</v>
      </c>
      <c r="O1272" s="108">
        <f>YEAR(Tableau13[[#This Row],[Date fin intervention]])</f>
        <v>2021</v>
      </c>
      <c r="P1272" s="36"/>
    </row>
    <row r="1273" spans="1:16">
      <c r="A1273" s="104">
        <v>44244</v>
      </c>
      <c r="B1273" s="105">
        <v>571</v>
      </c>
      <c r="C1273" s="106" t="str">
        <f>IF(ISNA(VLOOKUP(Tableau13[[#This Row],[Code machine]],'CODE mchn'!$A$4:$C$170,2,0)),"",VLOOKUP(Tableau13[[#This Row],[Code machine]],'CODE mchn'!$A$4:$C$170,2,0))</f>
        <v>Acier</v>
      </c>
      <c r="D1273" s="36" t="str">
        <f>IF(ISNA(VLOOKUP(Tableau13[[#This Row],[Code machine]],'CODE mchn'!$A$4:$C$170,3,0)),"",VLOOKUP(Tableau13[[#This Row],[Code machine]],'CODE mchn'!$A$4:$C$170,3,0))</f>
        <v>EVG PN 1</v>
      </c>
      <c r="E1273" s="105"/>
      <c r="F1273" s="59" t="s">
        <v>2276</v>
      </c>
      <c r="G1273" s="36" t="s">
        <v>104</v>
      </c>
      <c r="H1273" s="36" t="s">
        <v>2241</v>
      </c>
      <c r="I1273" s="36" t="s">
        <v>13</v>
      </c>
      <c r="J1273" s="106" t="s">
        <v>2181</v>
      </c>
      <c r="K1273" s="71">
        <v>44244</v>
      </c>
      <c r="L1273" s="36"/>
      <c r="M1273" s="204">
        <v>240</v>
      </c>
      <c r="N1273" s="198">
        <f>MONTH(Tableau13[[#This Row],[Date fin intervention]])</f>
        <v>2</v>
      </c>
      <c r="O1273" s="198">
        <f>YEAR(Tableau13[[#This Row],[Date fin intervention]])</f>
        <v>2021</v>
      </c>
      <c r="P1273" s="36"/>
    </row>
    <row r="1274" spans="1:16" ht="28.5">
      <c r="A1274" s="207">
        <v>44245</v>
      </c>
      <c r="B1274" s="208">
        <v>590</v>
      </c>
      <c r="C1274" s="209" t="str">
        <f>IF(ISNA(VLOOKUP(Tableau13[[#This Row],[Code machine]],'CODE mchn'!$A$4:$C$170,2,0)),"",VLOOKUP(Tableau13[[#This Row],[Code machine]],'CODE mchn'!$A$4:$C$170,2,0))</f>
        <v>Acier</v>
      </c>
      <c r="D1274" s="36" t="str">
        <f>IF(ISNA(VLOOKUP(Tableau13[[#This Row],[Code machine]],'CODE mchn'!$A$4:$C$170,3,0)),"",VLOOKUP(Tableau13[[#This Row],[Code machine]],'CODE mchn'!$A$4:$C$170,3,0))</f>
        <v>Teurema 3</v>
      </c>
      <c r="E1274" s="105"/>
      <c r="F1274" s="36" t="s">
        <v>2276</v>
      </c>
      <c r="G1274" s="60" t="s">
        <v>2193</v>
      </c>
      <c r="H1274" s="60" t="s">
        <v>2193</v>
      </c>
      <c r="I1274" s="60" t="s">
        <v>13</v>
      </c>
      <c r="J1274" s="209" t="s">
        <v>2194</v>
      </c>
      <c r="K1274" s="210">
        <v>44245</v>
      </c>
      <c r="L1274" s="60"/>
      <c r="M1274" s="211">
        <v>20</v>
      </c>
      <c r="N1274" s="211">
        <f>MONTH(Tableau13[[#This Row],[Date fin intervention]])</f>
        <v>2</v>
      </c>
      <c r="O1274" s="211">
        <f>YEAR(Tableau13[[#This Row],[Date fin intervention]])</f>
        <v>2021</v>
      </c>
      <c r="P1274" s="60"/>
    </row>
    <row r="1275" spans="1:16" ht="28.5">
      <c r="A1275" s="207">
        <v>44245</v>
      </c>
      <c r="B1275" s="208">
        <v>571</v>
      </c>
      <c r="C1275" s="209" t="str">
        <f>IF(ISNA(VLOOKUP(Tableau13[[#This Row],[Code machine]],'CODE mchn'!$A$4:$C$170,2,0)),"",VLOOKUP(Tableau13[[#This Row],[Code machine]],'CODE mchn'!$A$4:$C$170,2,0))</f>
        <v>Acier</v>
      </c>
      <c r="D1275" s="36" t="str">
        <f>IF(ISNA(VLOOKUP(Tableau13[[#This Row],[Code machine]],'CODE mchn'!$A$4:$C$170,3,0)),"",VLOOKUP(Tableau13[[#This Row],[Code machine]],'CODE mchn'!$A$4:$C$170,3,0))</f>
        <v>EVG PN 1</v>
      </c>
      <c r="E1275" s="105"/>
      <c r="F1275" s="36" t="s">
        <v>2277</v>
      </c>
      <c r="G1275" s="36" t="s">
        <v>10</v>
      </c>
      <c r="H1275" s="60" t="s">
        <v>2195</v>
      </c>
      <c r="I1275" s="60" t="s">
        <v>13</v>
      </c>
      <c r="J1275" s="209" t="s">
        <v>2196</v>
      </c>
      <c r="K1275" s="210">
        <v>44245</v>
      </c>
      <c r="L1275" s="60"/>
      <c r="M1275" s="211">
        <v>30</v>
      </c>
      <c r="N1275" s="211">
        <f>MONTH(Tableau13[[#This Row],[Date fin intervention]])</f>
        <v>2</v>
      </c>
      <c r="O1275" s="211">
        <f>YEAR(Tableau13[[#This Row],[Date fin intervention]])</f>
        <v>2021</v>
      </c>
      <c r="P1275" s="60"/>
    </row>
    <row r="1276" spans="1:16">
      <c r="A1276" s="207">
        <v>44245</v>
      </c>
      <c r="B1276" s="208">
        <v>565</v>
      </c>
      <c r="C1276" s="209" t="str">
        <f>IF(ISNA(VLOOKUP(Tableau13[[#This Row],[Code machine]],'CODE mchn'!$A$4:$C$170,2,0)),"",VLOOKUP(Tableau13[[#This Row],[Code machine]],'CODE mchn'!$A$4:$C$170,2,0))</f>
        <v>Acier</v>
      </c>
      <c r="D1276" s="36" t="str">
        <f>IF(ISNA(VLOOKUP(Tableau13[[#This Row],[Code machine]],'CODE mchn'!$A$4:$C$170,3,0)),"",VLOOKUP(Tableau13[[#This Row],[Code machine]],'CODE mchn'!$A$4:$C$170,3,0))</f>
        <v>EVG GE12</v>
      </c>
      <c r="E1276" s="105"/>
      <c r="F1276" s="36" t="s">
        <v>2277</v>
      </c>
      <c r="G1276" s="36" t="s">
        <v>503</v>
      </c>
      <c r="H1276" s="60" t="s">
        <v>2197</v>
      </c>
      <c r="I1276" s="60" t="s">
        <v>13</v>
      </c>
      <c r="J1276" s="209" t="s">
        <v>2198</v>
      </c>
      <c r="K1276" s="210">
        <v>44245</v>
      </c>
      <c r="L1276" s="60"/>
      <c r="M1276" s="211">
        <v>30</v>
      </c>
      <c r="N1276" s="211">
        <f>MONTH(Tableau13[[#This Row],[Date fin intervention]])</f>
        <v>2</v>
      </c>
      <c r="O1276" s="211">
        <f>YEAR(Tableau13[[#This Row],[Date fin intervention]])</f>
        <v>2021</v>
      </c>
      <c r="P1276" s="60"/>
    </row>
    <row r="1277" spans="1:16">
      <c r="A1277" s="207">
        <v>44245</v>
      </c>
      <c r="B1277" s="208">
        <v>581</v>
      </c>
      <c r="C1277" s="209" t="str">
        <f>IF(ISNA(VLOOKUP(Tableau13[[#This Row],[Code machine]],'CODE mchn'!$A$4:$C$170,2,0)),"",VLOOKUP(Tableau13[[#This Row],[Code machine]],'CODE mchn'!$A$4:$C$170,2,0))</f>
        <v>Acier</v>
      </c>
      <c r="D1277" s="36" t="str">
        <f>IF(ISNA(VLOOKUP(Tableau13[[#This Row],[Code machine]],'CODE mchn'!$A$4:$C$170,3,0)),"",VLOOKUP(Tableau13[[#This Row],[Code machine]],'CODE mchn'!$A$4:$C$170,3,0))</f>
        <v>Teurema 1</v>
      </c>
      <c r="E1277" s="105"/>
      <c r="F1277" s="36" t="s">
        <v>2276</v>
      </c>
      <c r="G1277" s="36" t="s">
        <v>2255</v>
      </c>
      <c r="H1277" s="60" t="s">
        <v>2199</v>
      </c>
      <c r="I1277" s="60" t="s">
        <v>13</v>
      </c>
      <c r="J1277" s="209" t="s">
        <v>2200</v>
      </c>
      <c r="K1277" s="210">
        <v>44245</v>
      </c>
      <c r="L1277" s="60"/>
      <c r="M1277" s="211">
        <v>30</v>
      </c>
      <c r="N1277" s="211">
        <f>MONTH(Tableau13[[#This Row],[Date fin intervention]])</f>
        <v>2</v>
      </c>
      <c r="O1277" s="211">
        <f>YEAR(Tableau13[[#This Row],[Date fin intervention]])</f>
        <v>2021</v>
      </c>
      <c r="P1277" s="60"/>
    </row>
    <row r="1278" spans="1:16">
      <c r="A1278" s="207">
        <v>44246</v>
      </c>
      <c r="B1278" s="208">
        <v>700</v>
      </c>
      <c r="C1278" s="209" t="str">
        <f>IF(ISNA(VLOOKUP(Tableau13[[#This Row],[Code machine]],'CODE mchn'!$A$4:$C$170,2,0)),"",VLOOKUP(Tableau13[[#This Row],[Code machine]],'CODE mchn'!$A$4:$C$170,2,0))</f>
        <v>Béton</v>
      </c>
      <c r="D1278" s="36" t="str">
        <f>IF(ISNA(VLOOKUP(Tableau13[[#This Row],[Code machine]],'CODE mchn'!$A$4:$C$170,3,0)),"",VLOOKUP(Tableau13[[#This Row],[Code machine]],'CODE mchn'!$A$4:$C$170,3,0))</f>
        <v>Poyatos 1</v>
      </c>
      <c r="E1278" s="105"/>
      <c r="F1278" s="60" t="s">
        <v>2277</v>
      </c>
      <c r="G1278" s="36" t="s">
        <v>52</v>
      </c>
      <c r="H1278" s="60" t="s">
        <v>2185</v>
      </c>
      <c r="I1278" s="60" t="s">
        <v>13</v>
      </c>
      <c r="J1278" s="209" t="s">
        <v>2186</v>
      </c>
      <c r="K1278" s="210">
        <v>44246</v>
      </c>
      <c r="L1278" s="60"/>
      <c r="M1278" s="204">
        <v>60</v>
      </c>
      <c r="N1278" s="198">
        <f>MONTH(Tableau13[[#This Row],[Date fin intervention]])</f>
        <v>2</v>
      </c>
      <c r="O1278" s="198">
        <f>YEAR(Tableau13[[#This Row],[Date fin intervention]])</f>
        <v>2021</v>
      </c>
      <c r="P1278" s="60"/>
    </row>
    <row r="1279" spans="1:16">
      <c r="A1279" s="207">
        <v>44246</v>
      </c>
      <c r="B1279" s="208">
        <v>581</v>
      </c>
      <c r="C1279" s="209" t="str">
        <f>IF(ISNA(VLOOKUP(Tableau13[[#This Row],[Code machine]],'CODE mchn'!$A$4:$C$170,2,0)),"",VLOOKUP(Tableau13[[#This Row],[Code machine]],'CODE mchn'!$A$4:$C$170,2,0))</f>
        <v>Acier</v>
      </c>
      <c r="D1279" s="36" t="str">
        <f>IF(ISNA(VLOOKUP(Tableau13[[#This Row],[Code machine]],'CODE mchn'!$A$4:$C$170,3,0)),"",VLOOKUP(Tableau13[[#This Row],[Code machine]],'CODE mchn'!$A$4:$C$170,3,0))</f>
        <v>Teurema 1</v>
      </c>
      <c r="E1279" s="105"/>
      <c r="F1279" s="36" t="s">
        <v>2277</v>
      </c>
      <c r="G1279" s="36" t="s">
        <v>1640</v>
      </c>
      <c r="H1279" s="60" t="s">
        <v>1640</v>
      </c>
      <c r="I1279" s="60" t="s">
        <v>13</v>
      </c>
      <c r="J1279" s="209" t="s">
        <v>2201</v>
      </c>
      <c r="K1279" s="210">
        <v>44246</v>
      </c>
      <c r="L1279" s="60"/>
      <c r="M1279" s="211">
        <v>15</v>
      </c>
      <c r="N1279" s="211">
        <f>MONTH(Tableau13[[#This Row],[Date fin intervention]])</f>
        <v>2</v>
      </c>
      <c r="O1279" s="211">
        <f>YEAR(Tableau13[[#This Row],[Date fin intervention]])</f>
        <v>2021</v>
      </c>
      <c r="P1279" s="60"/>
    </row>
    <row r="1280" spans="1:16">
      <c r="A1280" s="207">
        <v>44246</v>
      </c>
      <c r="B1280" s="208">
        <v>581</v>
      </c>
      <c r="C1280" s="209" t="str">
        <f>IF(ISNA(VLOOKUP(Tableau13[[#This Row],[Code machine]],'CODE mchn'!$A$4:$C$170,2,0)),"",VLOOKUP(Tableau13[[#This Row],[Code machine]],'CODE mchn'!$A$4:$C$170,2,0))</f>
        <v>Acier</v>
      </c>
      <c r="D1280" s="36" t="str">
        <f>IF(ISNA(VLOOKUP(Tableau13[[#This Row],[Code machine]],'CODE mchn'!$A$4:$C$170,3,0)),"",VLOOKUP(Tableau13[[#This Row],[Code machine]],'CODE mchn'!$A$4:$C$170,3,0))</f>
        <v>Teurema 1</v>
      </c>
      <c r="E1280" s="105"/>
      <c r="F1280" s="36" t="s">
        <v>2277</v>
      </c>
      <c r="G1280" s="36" t="s">
        <v>161</v>
      </c>
      <c r="H1280" s="60" t="s">
        <v>2202</v>
      </c>
      <c r="I1280" s="60" t="s">
        <v>13</v>
      </c>
      <c r="J1280" s="209" t="s">
        <v>2150</v>
      </c>
      <c r="K1280" s="210">
        <v>44246</v>
      </c>
      <c r="L1280" s="60"/>
      <c r="M1280" s="211">
        <v>10</v>
      </c>
      <c r="N1280" s="211">
        <f>MONTH(Tableau13[[#This Row],[Date fin intervention]])</f>
        <v>2</v>
      </c>
      <c r="O1280" s="211">
        <f>YEAR(Tableau13[[#This Row],[Date fin intervention]])</f>
        <v>2021</v>
      </c>
      <c r="P1280" s="60"/>
    </row>
    <row r="1281" spans="1:16">
      <c r="A1281" s="207">
        <v>44246</v>
      </c>
      <c r="B1281" s="208">
        <v>581</v>
      </c>
      <c r="C1281" s="209" t="str">
        <f>IF(ISNA(VLOOKUP(Tableau13[[#This Row],[Code machine]],'CODE mchn'!$A$4:$C$170,2,0)),"",VLOOKUP(Tableau13[[#This Row],[Code machine]],'CODE mchn'!$A$4:$C$170,2,0))</f>
        <v>Acier</v>
      </c>
      <c r="D1281" s="36" t="str">
        <f>IF(ISNA(VLOOKUP(Tableau13[[#This Row],[Code machine]],'CODE mchn'!$A$4:$C$170,3,0)),"",VLOOKUP(Tableau13[[#This Row],[Code machine]],'CODE mchn'!$A$4:$C$170,3,0))</f>
        <v>Teurema 1</v>
      </c>
      <c r="E1281" s="105"/>
      <c r="F1281" s="36" t="s">
        <v>2276</v>
      </c>
      <c r="G1281" s="36" t="s">
        <v>1060</v>
      </c>
      <c r="H1281" s="60" t="s">
        <v>2199</v>
      </c>
      <c r="I1281" s="60" t="s">
        <v>13</v>
      </c>
      <c r="J1281" s="209" t="s">
        <v>2203</v>
      </c>
      <c r="K1281" s="210">
        <v>44246</v>
      </c>
      <c r="L1281" s="60"/>
      <c r="M1281" s="211">
        <v>30</v>
      </c>
      <c r="N1281" s="211">
        <f>MONTH(Tableau13[[#This Row],[Date fin intervention]])</f>
        <v>2</v>
      </c>
      <c r="O1281" s="211">
        <f>YEAR(Tableau13[[#This Row],[Date fin intervention]])</f>
        <v>2021</v>
      </c>
      <c r="P1281" s="60"/>
    </row>
    <row r="1282" spans="1:16">
      <c r="A1282" s="207">
        <v>44246</v>
      </c>
      <c r="B1282" s="208">
        <v>440</v>
      </c>
      <c r="C1282" s="209" t="str">
        <f>IF(ISNA(VLOOKUP(Tableau13[[#This Row],[Code machine]],'CODE mchn'!$A$4:$C$170,2,0)),"",VLOOKUP(Tableau13[[#This Row],[Code machine]],'CODE mchn'!$A$4:$C$170,2,0))</f>
        <v>Compresseurs</v>
      </c>
      <c r="D1282" s="36" t="str">
        <f>IF(ISNA(VLOOKUP(Tableau13[[#This Row],[Code machine]],'CODE mchn'!$A$4:$C$170,3,0)),"",VLOOKUP(Tableau13[[#This Row],[Code machine]],'CODE mchn'!$A$4:$C$170,3,0))</f>
        <v>GA 37 (schlatter)</v>
      </c>
      <c r="E1282" s="105"/>
      <c r="F1282" s="36" t="s">
        <v>2276</v>
      </c>
      <c r="G1282" s="36" t="s">
        <v>1847</v>
      </c>
      <c r="H1282" s="36" t="s">
        <v>30</v>
      </c>
      <c r="I1282" s="60" t="s">
        <v>13</v>
      </c>
      <c r="J1282" s="106" t="s">
        <v>2256</v>
      </c>
      <c r="K1282" s="210">
        <v>44246</v>
      </c>
      <c r="L1282" s="60"/>
      <c r="M1282" s="211">
        <v>15</v>
      </c>
      <c r="N1282" s="211">
        <f>MONTH(Tableau13[[#This Row],[Date fin intervention]])</f>
        <v>2</v>
      </c>
      <c r="O1282" s="211">
        <f>YEAR(Tableau13[[#This Row],[Date fin intervention]])</f>
        <v>2021</v>
      </c>
      <c r="P1282" s="60"/>
    </row>
    <row r="1283" spans="1:16">
      <c r="A1283" s="207">
        <v>44246</v>
      </c>
      <c r="B1283" s="208">
        <v>560</v>
      </c>
      <c r="C1283" s="209" t="str">
        <f>IF(ISNA(VLOOKUP(Tableau13[[#This Row],[Code machine]],'CODE mchn'!$A$4:$C$170,2,0)),"",VLOOKUP(Tableau13[[#This Row],[Code machine]],'CODE mchn'!$A$4:$C$170,2,0))</f>
        <v>Acier</v>
      </c>
      <c r="D1283" s="36" t="str">
        <f>IF(ISNA(VLOOKUP(Tableau13[[#This Row],[Code machine]],'CODE mchn'!$A$4:$C$170,3,0)),"",VLOOKUP(Tableau13[[#This Row],[Code machine]],'CODE mchn'!$A$4:$C$170,3,0))</f>
        <v>Schlatter</v>
      </c>
      <c r="E1283" s="105"/>
      <c r="F1283" s="36" t="s">
        <v>2277</v>
      </c>
      <c r="G1283" s="36" t="s">
        <v>2243</v>
      </c>
      <c r="H1283" s="60" t="s">
        <v>2206</v>
      </c>
      <c r="I1283" s="60" t="s">
        <v>13</v>
      </c>
      <c r="J1283" s="209" t="s">
        <v>2207</v>
      </c>
      <c r="K1283" s="210">
        <v>44246</v>
      </c>
      <c r="L1283" s="60"/>
      <c r="M1283" s="211">
        <v>30</v>
      </c>
      <c r="N1283" s="211">
        <f>MONTH(Tableau13[[#This Row],[Date fin intervention]])</f>
        <v>2</v>
      </c>
      <c r="O1283" s="211">
        <f>YEAR(Tableau13[[#This Row],[Date fin intervention]])</f>
        <v>2021</v>
      </c>
      <c r="P1283" s="60"/>
    </row>
    <row r="1284" spans="1:16">
      <c r="A1284" s="207">
        <v>44246</v>
      </c>
      <c r="B1284" s="208">
        <v>582</v>
      </c>
      <c r="C1284" s="209" t="str">
        <f>IF(ISNA(VLOOKUP(Tableau13[[#This Row],[Code machine]],'CODE mchn'!$A$4:$C$170,2,0)),"",VLOOKUP(Tableau13[[#This Row],[Code machine]],'CODE mchn'!$A$4:$C$170,2,0))</f>
        <v>Acier</v>
      </c>
      <c r="D1284" s="36" t="str">
        <f>IF(ISNA(VLOOKUP(Tableau13[[#This Row],[Code machine]],'CODE mchn'!$A$4:$C$170,3,0)),"",VLOOKUP(Tableau13[[#This Row],[Code machine]],'CODE mchn'!$A$4:$C$170,3,0))</f>
        <v>Teurema 2</v>
      </c>
      <c r="E1284" s="105"/>
      <c r="F1284" s="36" t="s">
        <v>2276</v>
      </c>
      <c r="G1284" s="36" t="s">
        <v>1653</v>
      </c>
      <c r="H1284" s="60" t="s">
        <v>2204</v>
      </c>
      <c r="I1284" s="60" t="s">
        <v>13</v>
      </c>
      <c r="J1284" s="209" t="s">
        <v>2205</v>
      </c>
      <c r="K1284" s="210">
        <v>44246</v>
      </c>
      <c r="L1284" s="60"/>
      <c r="M1284" s="204">
        <v>120</v>
      </c>
      <c r="N1284" s="198">
        <f>MONTH(Tableau13[[#This Row],[Date fin intervention]])</f>
        <v>2</v>
      </c>
      <c r="O1284" s="198">
        <f>YEAR(Tableau13[[#This Row],[Date fin intervention]])</f>
        <v>2021</v>
      </c>
      <c r="P1284" s="60"/>
    </row>
    <row r="1285" spans="1:16">
      <c r="A1285" s="207">
        <v>44247</v>
      </c>
      <c r="B1285" s="208">
        <v>800</v>
      </c>
      <c r="C1285" s="209" t="str">
        <f>IF(ISNA(VLOOKUP(Tableau13[[#This Row],[Code machine]],'CODE mchn'!$A$4:$C$170,2,0)),"",VLOOKUP(Tableau13[[#This Row],[Code machine]],'CODE mchn'!$A$4:$C$170,2,0))</f>
        <v>Béton</v>
      </c>
      <c r="D1285" s="36" t="str">
        <f>IF(ISNA(VLOOKUP(Tableau13[[#This Row],[Code machine]],'CODE mchn'!$A$4:$C$170,3,0)),"",VLOOKUP(Tableau13[[#This Row],[Code machine]],'CODE mchn'!$A$4:$C$170,3,0))</f>
        <v>Poyatos 2</v>
      </c>
      <c r="E1285" s="105"/>
      <c r="F1285" s="36" t="s">
        <v>2277</v>
      </c>
      <c r="G1285" s="36" t="s">
        <v>110</v>
      </c>
      <c r="H1285" s="60" t="s">
        <v>2189</v>
      </c>
      <c r="I1285" s="60" t="s">
        <v>13</v>
      </c>
      <c r="J1285" s="209" t="s">
        <v>2190</v>
      </c>
      <c r="K1285" s="210">
        <v>44247</v>
      </c>
      <c r="L1285" s="60"/>
      <c r="M1285" s="211">
        <v>30</v>
      </c>
      <c r="N1285" s="198">
        <f>MONTH(Tableau13[[#This Row],[Date fin intervention]])</f>
        <v>2</v>
      </c>
      <c r="O1285" s="211">
        <f>YEAR(Tableau13[[#This Row],[Date fin intervention]])</f>
        <v>2021</v>
      </c>
      <c r="P1285" s="60"/>
    </row>
    <row r="1286" spans="1:16">
      <c r="A1286" s="207">
        <v>44247</v>
      </c>
      <c r="B1286" s="208">
        <v>565</v>
      </c>
      <c r="C1286" s="209" t="str">
        <f>IF(ISNA(VLOOKUP(Tableau13[[#This Row],[Code machine]],'CODE mchn'!$A$4:$C$170,2,0)),"",VLOOKUP(Tableau13[[#This Row],[Code machine]],'CODE mchn'!$A$4:$C$170,2,0))</f>
        <v>Acier</v>
      </c>
      <c r="D1286" s="36" t="str">
        <f>IF(ISNA(VLOOKUP(Tableau13[[#This Row],[Code machine]],'CODE mchn'!$A$4:$C$170,3,0)),"",VLOOKUP(Tableau13[[#This Row],[Code machine]],'CODE mchn'!$A$4:$C$170,3,0))</f>
        <v>EVG GE12</v>
      </c>
      <c r="E1286" s="105"/>
      <c r="F1286" s="36" t="s">
        <v>2277</v>
      </c>
      <c r="G1286" s="36" t="s">
        <v>78</v>
      </c>
      <c r="H1286" s="60" t="s">
        <v>78</v>
      </c>
      <c r="I1286" s="60" t="s">
        <v>13</v>
      </c>
      <c r="J1286" s="209" t="s">
        <v>2208</v>
      </c>
      <c r="K1286" s="210">
        <v>44247</v>
      </c>
      <c r="L1286" s="60"/>
      <c r="M1286" s="211">
        <v>30</v>
      </c>
      <c r="N1286" s="211">
        <f>MONTH(Tableau13[[#This Row],[Date fin intervention]])</f>
        <v>2</v>
      </c>
      <c r="O1286" s="211">
        <f>YEAR(Tableau13[[#This Row],[Date fin intervention]])</f>
        <v>2021</v>
      </c>
      <c r="P1286" s="60"/>
    </row>
    <row r="1287" spans="1:16">
      <c r="A1287" s="207">
        <v>44247</v>
      </c>
      <c r="B1287" s="208">
        <v>570</v>
      </c>
      <c r="C1287" s="209" t="str">
        <f>IF(ISNA(VLOOKUP(Tableau13[[#This Row],[Code machine]],'CODE mchn'!$A$4:$C$170,2,0)),"",VLOOKUP(Tableau13[[#This Row],[Code machine]],'CODE mchn'!$A$4:$C$170,2,0))</f>
        <v>Acier</v>
      </c>
      <c r="D1287" s="36" t="str">
        <f>IF(ISNA(VLOOKUP(Tableau13[[#This Row],[Code machine]],'CODE mchn'!$A$4:$C$170,3,0)),"",VLOOKUP(Tableau13[[#This Row],[Code machine]],'CODE mchn'!$A$4:$C$170,3,0))</f>
        <v>Sigmatic</v>
      </c>
      <c r="E1287" s="105"/>
      <c r="F1287" s="36" t="s">
        <v>2276</v>
      </c>
      <c r="G1287" s="36" t="s">
        <v>470</v>
      </c>
      <c r="H1287" s="36" t="s">
        <v>30</v>
      </c>
      <c r="I1287" s="60" t="s">
        <v>13</v>
      </c>
      <c r="J1287" s="209" t="s">
        <v>2209</v>
      </c>
      <c r="K1287" s="210">
        <v>44247</v>
      </c>
      <c r="L1287" s="60"/>
      <c r="M1287" s="211">
        <v>45</v>
      </c>
      <c r="N1287" s="211">
        <f>MONTH(Tableau13[[#This Row],[Date fin intervention]])</f>
        <v>2</v>
      </c>
      <c r="O1287" s="211">
        <f>YEAR(Tableau13[[#This Row],[Date fin intervention]])</f>
        <v>2021</v>
      </c>
      <c r="P1287" s="60"/>
    </row>
    <row r="1288" spans="1:16">
      <c r="A1288" s="207">
        <v>44247</v>
      </c>
      <c r="B1288" s="208">
        <v>700</v>
      </c>
      <c r="C1288" s="209" t="str">
        <f>IF(ISNA(VLOOKUP(Tableau13[[#This Row],[Code machine]],'CODE mchn'!$A$4:$C$170,2,0)),"",VLOOKUP(Tableau13[[#This Row],[Code machine]],'CODE mchn'!$A$4:$C$170,2,0))</f>
        <v>Béton</v>
      </c>
      <c r="D1288" s="36" t="str">
        <f>IF(ISNA(VLOOKUP(Tableau13[[#This Row],[Code machine]],'CODE mchn'!$A$4:$C$170,3,0)),"",VLOOKUP(Tableau13[[#This Row],[Code machine]],'CODE mchn'!$A$4:$C$170,3,0))</f>
        <v>Poyatos 1</v>
      </c>
      <c r="E1288" s="105"/>
      <c r="F1288" s="36" t="s">
        <v>2276</v>
      </c>
      <c r="G1288" s="36" t="s">
        <v>118</v>
      </c>
      <c r="H1288" s="60" t="s">
        <v>2187</v>
      </c>
      <c r="I1288" s="60" t="s">
        <v>13</v>
      </c>
      <c r="J1288" s="209" t="s">
        <v>2188</v>
      </c>
      <c r="K1288" s="210">
        <v>44247</v>
      </c>
      <c r="L1288" s="60"/>
      <c r="M1288" s="204">
        <v>120</v>
      </c>
      <c r="N1288" s="198">
        <f>MONTH(Tableau13[[#This Row],[Date fin intervention]])</f>
        <v>2</v>
      </c>
      <c r="O1288" s="198">
        <f>YEAR(Tableau13[[#This Row],[Date fin intervention]])</f>
        <v>2021</v>
      </c>
      <c r="P1288" s="60"/>
    </row>
    <row r="1289" spans="1:16" ht="28.5">
      <c r="A1289" s="207">
        <v>44248</v>
      </c>
      <c r="B1289" s="208">
        <v>583</v>
      </c>
      <c r="C1289" s="209" t="str">
        <f>IF(ISNA(VLOOKUP(Tableau13[[#This Row],[Code machine]],'CODE mchn'!$A$4:$C$170,2,0)),"",VLOOKUP(Tableau13[[#This Row],[Code machine]],'CODE mchn'!$A$4:$C$170,2,0))</f>
        <v>Ponts roulants</v>
      </c>
      <c r="D1289" s="36" t="str">
        <f>IF(ISNA(VLOOKUP(Tableau13[[#This Row],[Code machine]],'CODE mchn'!$A$4:$C$170,3,0)),"",VLOOKUP(Tableau13[[#This Row],[Code machine]],'CODE mchn'!$A$4:$C$170,3,0))</f>
        <v>Pont roulant Abus 5T (teurema1)</v>
      </c>
      <c r="E1289" s="105"/>
      <c r="F1289" s="36" t="s">
        <v>2277</v>
      </c>
      <c r="G1289" s="36" t="s">
        <v>1869</v>
      </c>
      <c r="H1289" s="36" t="s">
        <v>764</v>
      </c>
      <c r="I1289" s="60" t="s">
        <v>13</v>
      </c>
      <c r="J1289" s="209" t="s">
        <v>2211</v>
      </c>
      <c r="K1289" s="210">
        <v>44248</v>
      </c>
      <c r="L1289" s="60"/>
      <c r="M1289" s="204">
        <v>60</v>
      </c>
      <c r="N1289" s="198">
        <f>MONTH(Tableau13[[#This Row],[Date fin intervention]])</f>
        <v>2</v>
      </c>
      <c r="O1289" s="198">
        <f>YEAR(Tableau13[[#This Row],[Date fin intervention]])</f>
        <v>2021</v>
      </c>
      <c r="P1289" s="60"/>
    </row>
    <row r="1290" spans="1:16">
      <c r="A1290" s="207">
        <v>44248</v>
      </c>
      <c r="B1290" s="208">
        <v>700</v>
      </c>
      <c r="C1290" s="209" t="str">
        <f>IF(ISNA(VLOOKUP(Tableau13[[#This Row],[Code machine]],'CODE mchn'!$A$4:$C$170,2,0)),"",VLOOKUP(Tableau13[[#This Row],[Code machine]],'CODE mchn'!$A$4:$C$170,2,0))</f>
        <v>Béton</v>
      </c>
      <c r="D1290" s="36" t="str">
        <f>IF(ISNA(VLOOKUP(Tableau13[[#This Row],[Code machine]],'CODE mchn'!$A$4:$C$170,3,0)),"",VLOOKUP(Tableau13[[#This Row],[Code machine]],'CODE mchn'!$A$4:$C$170,3,0))</f>
        <v>Poyatos 1</v>
      </c>
      <c r="E1290" s="105"/>
      <c r="F1290" s="36" t="s">
        <v>2277</v>
      </c>
      <c r="G1290" s="36" t="s">
        <v>185</v>
      </c>
      <c r="H1290" s="36" t="s">
        <v>2289</v>
      </c>
      <c r="I1290" s="60" t="s">
        <v>13</v>
      </c>
      <c r="J1290" s="209" t="s">
        <v>2191</v>
      </c>
      <c r="K1290" s="210">
        <v>44249</v>
      </c>
      <c r="L1290" s="60"/>
      <c r="M1290" s="204">
        <f>5*60</f>
        <v>300</v>
      </c>
      <c r="N1290" s="198">
        <f>MONTH(Tableau13[[#This Row],[Date fin intervention]])</f>
        <v>2</v>
      </c>
      <c r="O1290" s="198">
        <f>YEAR(Tableau13[[#This Row],[Date fin intervention]])</f>
        <v>2021</v>
      </c>
      <c r="P1290" s="60"/>
    </row>
    <row r="1291" spans="1:16">
      <c r="A1291" s="207">
        <v>44249</v>
      </c>
      <c r="B1291" s="208">
        <v>582</v>
      </c>
      <c r="C1291" s="209" t="str">
        <f>IF(ISNA(VLOOKUP(Tableau13[[#This Row],[Code machine]],'CODE mchn'!$A$4:$C$170,2,0)),"",VLOOKUP(Tableau13[[#This Row],[Code machine]],'CODE mchn'!$A$4:$C$170,2,0))</f>
        <v>Acier</v>
      </c>
      <c r="D1291" s="36" t="str">
        <f>IF(ISNA(VLOOKUP(Tableau13[[#This Row],[Code machine]],'CODE mchn'!$A$4:$C$170,3,0)),"",VLOOKUP(Tableau13[[#This Row],[Code machine]],'CODE mchn'!$A$4:$C$170,3,0))</f>
        <v>Teurema 2</v>
      </c>
      <c r="E1291" s="105"/>
      <c r="F1291" s="36" t="s">
        <v>2276</v>
      </c>
      <c r="G1291" s="36" t="s">
        <v>880</v>
      </c>
      <c r="H1291" s="60" t="s">
        <v>2213</v>
      </c>
      <c r="I1291" s="60" t="s">
        <v>13</v>
      </c>
      <c r="J1291" s="209" t="s">
        <v>2212</v>
      </c>
      <c r="K1291" s="212">
        <v>44249</v>
      </c>
      <c r="L1291" s="60"/>
      <c r="M1291" s="204">
        <v>60</v>
      </c>
      <c r="N1291" s="198">
        <f>MONTH(Tableau13[[#This Row],[Date fin intervention]])</f>
        <v>2</v>
      </c>
      <c r="O1291" s="198">
        <f>YEAR(Tableau13[[#This Row],[Date fin intervention]])</f>
        <v>2021</v>
      </c>
      <c r="P1291" s="60"/>
    </row>
    <row r="1292" spans="1:16">
      <c r="A1292" s="207">
        <v>44249</v>
      </c>
      <c r="B1292" s="208">
        <v>700</v>
      </c>
      <c r="C1292" s="209" t="str">
        <f>IF(ISNA(VLOOKUP(Tableau13[[#This Row],[Code machine]],'CODE mchn'!$A$4:$C$170,2,0)),"",VLOOKUP(Tableau13[[#This Row],[Code machine]],'CODE mchn'!$A$4:$C$170,2,0))</f>
        <v>Béton</v>
      </c>
      <c r="D1292" s="36" t="str">
        <f>IF(ISNA(VLOOKUP(Tableau13[[#This Row],[Code machine]],'CODE mchn'!$A$4:$C$170,3,0)),"",VLOOKUP(Tableau13[[#This Row],[Code machine]],'CODE mchn'!$A$4:$C$170,3,0))</f>
        <v>Poyatos 1</v>
      </c>
      <c r="E1292" s="105"/>
      <c r="F1292" s="36" t="s">
        <v>2277</v>
      </c>
      <c r="G1292" s="36" t="s">
        <v>1283</v>
      </c>
      <c r="H1292" s="60" t="s">
        <v>2192</v>
      </c>
      <c r="I1292" s="60" t="s">
        <v>13</v>
      </c>
      <c r="J1292" s="209" t="s">
        <v>2190</v>
      </c>
      <c r="K1292" s="210">
        <v>44249</v>
      </c>
      <c r="L1292" s="60"/>
      <c r="M1292" s="211">
        <v>30</v>
      </c>
      <c r="N1292" s="211">
        <f>MONTH(Tableau13[[#This Row],[Date fin intervention]])</f>
        <v>2</v>
      </c>
      <c r="O1292" s="211">
        <f>YEAR(Tableau13[[#This Row],[Date fin intervention]])</f>
        <v>2021</v>
      </c>
      <c r="P1292" s="60"/>
    </row>
    <row r="1293" spans="1:16">
      <c r="A1293" s="207">
        <v>44250</v>
      </c>
      <c r="B1293" s="208">
        <v>534</v>
      </c>
      <c r="C1293" s="209" t="str">
        <f>IF(ISNA(VLOOKUP(Tableau13[[#This Row],[Code machine]],'CODE mchn'!$A$4:$C$170,2,0)),"",VLOOKUP(Tableau13[[#This Row],[Code machine]],'CODE mchn'!$A$4:$C$170,2,0))</f>
        <v>Enrobage</v>
      </c>
      <c r="D1293" s="36" t="str">
        <f>IF(ISNA(VLOOKUP(Tableau13[[#This Row],[Code machine]],'CODE mchn'!$A$4:$C$170,3,0)),"",VLOOKUP(Tableau13[[#This Row],[Code machine]],'CODE mchn'!$A$4:$C$170,3,0))</f>
        <v>ELKON 2</v>
      </c>
      <c r="E1293" s="105"/>
      <c r="F1293" s="36" t="s">
        <v>2277</v>
      </c>
      <c r="G1293" s="36" t="s">
        <v>118</v>
      </c>
      <c r="H1293" s="60" t="s">
        <v>2214</v>
      </c>
      <c r="I1293" s="60" t="s">
        <v>13</v>
      </c>
      <c r="J1293" s="209" t="s">
        <v>2215</v>
      </c>
      <c r="K1293" s="210">
        <v>44250</v>
      </c>
      <c r="L1293" s="60"/>
      <c r="M1293" s="211">
        <v>30</v>
      </c>
      <c r="N1293" s="211">
        <f>MONTH(Tableau13[[#This Row],[Date fin intervention]])</f>
        <v>2</v>
      </c>
      <c r="O1293" s="211">
        <f>YEAR(Tableau13[[#This Row],[Date fin intervention]])</f>
        <v>2021</v>
      </c>
      <c r="P1293" s="60"/>
    </row>
    <row r="1294" spans="1:16">
      <c r="A1294" s="207">
        <v>44250</v>
      </c>
      <c r="B1294" s="208">
        <v>700</v>
      </c>
      <c r="C1294" s="209" t="str">
        <f>IF(ISNA(VLOOKUP(Tableau13[[#This Row],[Code machine]],'CODE mchn'!$A$4:$C$170,2,0)),"",VLOOKUP(Tableau13[[#This Row],[Code machine]],'CODE mchn'!$A$4:$C$170,2,0))</f>
        <v>Béton</v>
      </c>
      <c r="D1294" s="36" t="str">
        <f>IF(ISNA(VLOOKUP(Tableau13[[#This Row],[Code machine]],'CODE mchn'!$A$4:$C$170,3,0)),"",VLOOKUP(Tableau13[[#This Row],[Code machine]],'CODE mchn'!$A$4:$C$170,3,0))</f>
        <v>Poyatos 1</v>
      </c>
      <c r="E1294" s="105"/>
      <c r="F1294" s="36" t="s">
        <v>2277</v>
      </c>
      <c r="G1294" s="36" t="s">
        <v>2257</v>
      </c>
      <c r="H1294" s="36" t="s">
        <v>2258</v>
      </c>
      <c r="I1294" s="60" t="s">
        <v>13</v>
      </c>
      <c r="J1294" s="209" t="s">
        <v>2216</v>
      </c>
      <c r="K1294" s="210">
        <v>44250</v>
      </c>
      <c r="L1294" s="60"/>
      <c r="M1294" s="211">
        <v>15</v>
      </c>
      <c r="N1294" s="211">
        <f>MONTH(Tableau13[[#This Row],[Date fin intervention]])</f>
        <v>2</v>
      </c>
      <c r="O1294" s="211">
        <f>YEAR(Tableau13[[#This Row],[Date fin intervention]])</f>
        <v>2021</v>
      </c>
      <c r="P1294" s="60"/>
    </row>
    <row r="1295" spans="1:16">
      <c r="A1295" s="207">
        <v>44250</v>
      </c>
      <c r="B1295" s="208">
        <v>582</v>
      </c>
      <c r="C1295" s="209" t="str">
        <f>IF(ISNA(VLOOKUP(Tableau13[[#This Row],[Code machine]],'CODE mchn'!$A$4:$C$170,2,0)),"",VLOOKUP(Tableau13[[#This Row],[Code machine]],'CODE mchn'!$A$4:$C$170,2,0))</f>
        <v>Acier</v>
      </c>
      <c r="D1295" s="36" t="str">
        <f>IF(ISNA(VLOOKUP(Tableau13[[#This Row],[Code machine]],'CODE mchn'!$A$4:$C$170,3,0)),"",VLOOKUP(Tableau13[[#This Row],[Code machine]],'CODE mchn'!$A$4:$C$170,3,0))</f>
        <v>Teurema 2</v>
      </c>
      <c r="E1295" s="105"/>
      <c r="F1295" s="36" t="s">
        <v>2276</v>
      </c>
      <c r="G1295" s="36" t="s">
        <v>1473</v>
      </c>
      <c r="H1295" s="60" t="s">
        <v>2217</v>
      </c>
      <c r="I1295" s="60" t="s">
        <v>13</v>
      </c>
      <c r="J1295" s="209" t="s">
        <v>2218</v>
      </c>
      <c r="K1295" s="210">
        <v>44250</v>
      </c>
      <c r="L1295" s="60"/>
      <c r="M1295" s="211">
        <v>30</v>
      </c>
      <c r="N1295" s="211">
        <f>MONTH(Tableau13[[#This Row],[Date fin intervention]])</f>
        <v>2</v>
      </c>
      <c r="O1295" s="211">
        <f>YEAR(Tableau13[[#This Row],[Date fin intervention]])</f>
        <v>2021</v>
      </c>
      <c r="P1295" s="60"/>
    </row>
    <row r="1296" spans="1:16">
      <c r="A1296" s="207">
        <v>44250</v>
      </c>
      <c r="B1296" s="208">
        <v>565</v>
      </c>
      <c r="C1296" s="209" t="str">
        <f>IF(ISNA(VLOOKUP(Tableau13[[#This Row],[Code machine]],'CODE mchn'!$A$4:$C$170,2,0)),"",VLOOKUP(Tableau13[[#This Row],[Code machine]],'CODE mchn'!$A$4:$C$170,2,0))</f>
        <v>Acier</v>
      </c>
      <c r="D1296" s="36" t="str">
        <f>IF(ISNA(VLOOKUP(Tableau13[[#This Row],[Code machine]],'CODE mchn'!$A$4:$C$170,3,0)),"",VLOOKUP(Tableau13[[#This Row],[Code machine]],'CODE mchn'!$A$4:$C$170,3,0))</f>
        <v>EVG GE12</v>
      </c>
      <c r="E1296" s="105"/>
      <c r="F1296" s="36" t="s">
        <v>2277</v>
      </c>
      <c r="G1296" s="36" t="s">
        <v>726</v>
      </c>
      <c r="H1296" s="36" t="s">
        <v>1727</v>
      </c>
      <c r="I1296" s="60" t="s">
        <v>13</v>
      </c>
      <c r="J1296" s="209" t="s">
        <v>2219</v>
      </c>
      <c r="K1296" s="210">
        <v>44250</v>
      </c>
      <c r="L1296" s="60"/>
      <c r="M1296" s="211">
        <v>30</v>
      </c>
      <c r="N1296" s="211">
        <f>MONTH(Tableau13[[#This Row],[Date fin intervention]])</f>
        <v>2</v>
      </c>
      <c r="O1296" s="211">
        <f>YEAR(Tableau13[[#This Row],[Date fin intervention]])</f>
        <v>2021</v>
      </c>
      <c r="P1296" s="60"/>
    </row>
    <row r="1297" spans="1:16">
      <c r="A1297" s="207">
        <v>44250</v>
      </c>
      <c r="B1297" s="208">
        <v>582</v>
      </c>
      <c r="C1297" s="209" t="str">
        <f>IF(ISNA(VLOOKUP(Tableau13[[#This Row],[Code machine]],'CODE mchn'!$A$4:$C$170,2,0)),"",VLOOKUP(Tableau13[[#This Row],[Code machine]],'CODE mchn'!$A$4:$C$170,2,0))</f>
        <v>Acier</v>
      </c>
      <c r="D1297" s="36" t="str">
        <f>IF(ISNA(VLOOKUP(Tableau13[[#This Row],[Code machine]],'CODE mchn'!$A$4:$C$170,3,0)),"",VLOOKUP(Tableau13[[#This Row],[Code machine]],'CODE mchn'!$A$4:$C$170,3,0))</f>
        <v>Teurema 2</v>
      </c>
      <c r="E1297" s="105"/>
      <c r="F1297" s="36" t="s">
        <v>2276</v>
      </c>
      <c r="G1297" s="36" t="s">
        <v>880</v>
      </c>
      <c r="H1297" s="60" t="s">
        <v>2220</v>
      </c>
      <c r="I1297" s="60" t="s">
        <v>13</v>
      </c>
      <c r="J1297" s="209" t="s">
        <v>2221</v>
      </c>
      <c r="K1297" s="210">
        <v>44250</v>
      </c>
      <c r="L1297" s="60"/>
      <c r="M1297" s="211">
        <v>20</v>
      </c>
      <c r="N1297" s="211">
        <f>MONTH(Tableau13[[#This Row],[Date fin intervention]])</f>
        <v>2</v>
      </c>
      <c r="O1297" s="211">
        <f>YEAR(Tableau13[[#This Row],[Date fin intervention]])</f>
        <v>2021</v>
      </c>
      <c r="P1297" s="60"/>
    </row>
    <row r="1298" spans="1:16">
      <c r="A1298" s="207">
        <v>44251</v>
      </c>
      <c r="B1298" s="208">
        <v>700</v>
      </c>
      <c r="C1298" s="209" t="str">
        <f>IF(ISNA(VLOOKUP(Tableau13[[#This Row],[Code machine]],'CODE mchn'!$A$4:$C$170,2,0)),"",VLOOKUP(Tableau13[[#This Row],[Code machine]],'CODE mchn'!$A$4:$C$170,2,0))</f>
        <v>Béton</v>
      </c>
      <c r="D1298" s="36" t="str">
        <f>IF(ISNA(VLOOKUP(Tableau13[[#This Row],[Code machine]],'CODE mchn'!$A$4:$C$170,3,0)),"",VLOOKUP(Tableau13[[#This Row],[Code machine]],'CODE mchn'!$A$4:$C$170,3,0))</f>
        <v>Poyatos 1</v>
      </c>
      <c r="E1298" s="105"/>
      <c r="F1298" s="36" t="s">
        <v>2277</v>
      </c>
      <c r="G1298" s="36" t="s">
        <v>306</v>
      </c>
      <c r="H1298" s="36" t="s">
        <v>1565</v>
      </c>
      <c r="I1298" s="60" t="s">
        <v>13</v>
      </c>
      <c r="J1298" s="106" t="s">
        <v>2389</v>
      </c>
      <c r="K1298" s="210">
        <v>44252</v>
      </c>
      <c r="L1298" s="60"/>
      <c r="M1298" s="204">
        <f>(5+7)*60</f>
        <v>720</v>
      </c>
      <c r="N1298" s="198">
        <f>MONTH(Tableau13[[#This Row],[Date fin intervention]])</f>
        <v>2</v>
      </c>
      <c r="O1298" s="198">
        <f>YEAR(Tableau13[[#This Row],[Date fin intervention]])</f>
        <v>2021</v>
      </c>
      <c r="P1298" s="60"/>
    </row>
    <row r="1299" spans="1:16">
      <c r="A1299" s="207">
        <v>44252</v>
      </c>
      <c r="B1299" s="208">
        <v>581</v>
      </c>
      <c r="C1299" s="209" t="str">
        <f>IF(ISNA(VLOOKUP(Tableau13[[#This Row],[Code machine]],'CODE mchn'!$A$4:$C$170,2,0)),"",VLOOKUP(Tableau13[[#This Row],[Code machine]],'CODE mchn'!$A$4:$C$170,2,0))</f>
        <v>Acier</v>
      </c>
      <c r="D1299" s="36" t="str">
        <f>IF(ISNA(VLOOKUP(Tableau13[[#This Row],[Code machine]],'CODE mchn'!$A$4:$C$170,3,0)),"",VLOOKUP(Tableau13[[#This Row],[Code machine]],'CODE mchn'!$A$4:$C$170,3,0))</f>
        <v>Teurema 1</v>
      </c>
      <c r="E1299" s="105"/>
      <c r="F1299" s="36" t="s">
        <v>2276</v>
      </c>
      <c r="G1299" s="36" t="s">
        <v>921</v>
      </c>
      <c r="H1299" s="60" t="s">
        <v>2225</v>
      </c>
      <c r="I1299" s="60" t="s">
        <v>13</v>
      </c>
      <c r="J1299" s="209" t="s">
        <v>1655</v>
      </c>
      <c r="K1299" s="210">
        <v>44252</v>
      </c>
      <c r="L1299" s="60"/>
      <c r="M1299" s="204">
        <v>60</v>
      </c>
      <c r="N1299" s="198">
        <f>MONTH(Tableau13[[#This Row],[Date fin intervention]])</f>
        <v>2</v>
      </c>
      <c r="O1299" s="198">
        <f>YEAR(Tableau13[[#This Row],[Date fin intervention]])</f>
        <v>2021</v>
      </c>
      <c r="P1299" s="60"/>
    </row>
    <row r="1300" spans="1:16">
      <c r="A1300" s="207">
        <v>44252</v>
      </c>
      <c r="B1300" s="208">
        <v>581</v>
      </c>
      <c r="C1300" s="209" t="str">
        <f>IF(ISNA(VLOOKUP(Tableau13[[#This Row],[Code machine]],'CODE mchn'!$A$4:$C$170,2,0)),"",VLOOKUP(Tableau13[[#This Row],[Code machine]],'CODE mchn'!$A$4:$C$170,2,0))</f>
        <v>Acier</v>
      </c>
      <c r="D1300" s="36" t="str">
        <f>IF(ISNA(VLOOKUP(Tableau13[[#This Row],[Code machine]],'CODE mchn'!$A$4:$C$170,3,0)),"",VLOOKUP(Tableau13[[#This Row],[Code machine]],'CODE mchn'!$A$4:$C$170,3,0))</f>
        <v>Teurema 1</v>
      </c>
      <c r="E1300" s="105"/>
      <c r="F1300" s="36" t="s">
        <v>2276</v>
      </c>
      <c r="G1300" s="36" t="s">
        <v>274</v>
      </c>
      <c r="H1300" s="60" t="s">
        <v>2226</v>
      </c>
      <c r="I1300" s="60" t="s">
        <v>13</v>
      </c>
      <c r="J1300" s="209" t="s">
        <v>2227</v>
      </c>
      <c r="K1300" s="210">
        <v>44252</v>
      </c>
      <c r="L1300" s="60"/>
      <c r="M1300" s="204">
        <v>60</v>
      </c>
      <c r="N1300" s="198">
        <f>MONTH(Tableau13[[#This Row],[Date fin intervention]])</f>
        <v>2</v>
      </c>
      <c r="O1300" s="198">
        <f>YEAR(Tableau13[[#This Row],[Date fin intervention]])</f>
        <v>2021</v>
      </c>
      <c r="P1300" s="60"/>
    </row>
    <row r="1301" spans="1:16">
      <c r="A1301" s="207">
        <v>44252</v>
      </c>
      <c r="B1301" s="208">
        <v>582</v>
      </c>
      <c r="C1301" s="209" t="str">
        <f>IF(ISNA(VLOOKUP(Tableau13[[#This Row],[Code machine]],'CODE mchn'!$A$4:$C$170,2,0)),"",VLOOKUP(Tableau13[[#This Row],[Code machine]],'CODE mchn'!$A$4:$C$170,2,0))</f>
        <v>Acier</v>
      </c>
      <c r="D1301" s="36" t="str">
        <f>IF(ISNA(VLOOKUP(Tableau13[[#This Row],[Code machine]],'CODE mchn'!$A$4:$C$170,3,0)),"",VLOOKUP(Tableau13[[#This Row],[Code machine]],'CODE mchn'!$A$4:$C$170,3,0))</f>
        <v>Teurema 2</v>
      </c>
      <c r="E1301" s="105"/>
      <c r="F1301" s="36" t="s">
        <v>2276</v>
      </c>
      <c r="G1301" s="36" t="s">
        <v>880</v>
      </c>
      <c r="H1301" s="60" t="s">
        <v>2222</v>
      </c>
      <c r="I1301" s="60" t="s">
        <v>13</v>
      </c>
      <c r="J1301" s="209" t="s">
        <v>2223</v>
      </c>
      <c r="K1301" s="210">
        <v>44252</v>
      </c>
      <c r="L1301" s="60"/>
      <c r="M1301" s="211">
        <v>20</v>
      </c>
      <c r="N1301" s="211">
        <f>MONTH(Tableau13[[#This Row],[Date fin intervention]])</f>
        <v>2</v>
      </c>
      <c r="O1301" s="211">
        <f>YEAR(Tableau13[[#This Row],[Date fin intervention]])</f>
        <v>2021</v>
      </c>
      <c r="P1301" s="60"/>
    </row>
    <row r="1302" spans="1:16">
      <c r="A1302" s="207">
        <v>44252</v>
      </c>
      <c r="B1302" s="208">
        <v>582</v>
      </c>
      <c r="C1302" s="209" t="str">
        <f>IF(ISNA(VLOOKUP(Tableau13[[#This Row],[Code machine]],'CODE mchn'!$A$4:$C$170,2,0)),"",VLOOKUP(Tableau13[[#This Row],[Code machine]],'CODE mchn'!$A$4:$C$170,2,0))</f>
        <v>Acier</v>
      </c>
      <c r="D1302" s="36" t="str">
        <f>IF(ISNA(VLOOKUP(Tableau13[[#This Row],[Code machine]],'CODE mchn'!$A$4:$C$170,3,0)),"",VLOOKUP(Tableau13[[#This Row],[Code machine]],'CODE mchn'!$A$4:$C$170,3,0))</f>
        <v>Teurema 2</v>
      </c>
      <c r="E1302" s="105"/>
      <c r="F1302" s="36" t="s">
        <v>2277</v>
      </c>
      <c r="G1302" s="36" t="s">
        <v>49</v>
      </c>
      <c r="H1302" s="36" t="s">
        <v>2260</v>
      </c>
      <c r="I1302" s="60" t="s">
        <v>13</v>
      </c>
      <c r="J1302" s="209" t="s">
        <v>2224</v>
      </c>
      <c r="K1302" s="210">
        <v>44252</v>
      </c>
      <c r="L1302" s="60"/>
      <c r="M1302" s="211">
        <v>15</v>
      </c>
      <c r="N1302" s="211">
        <f>MONTH(Tableau13[[#This Row],[Date fin intervention]])</f>
        <v>2</v>
      </c>
      <c r="O1302" s="211">
        <f>YEAR(Tableau13[[#This Row],[Date fin intervention]])</f>
        <v>2021</v>
      </c>
      <c r="P1302" s="60"/>
    </row>
    <row r="1303" spans="1:16">
      <c r="A1303" s="207">
        <v>44252</v>
      </c>
      <c r="B1303" s="208">
        <v>700</v>
      </c>
      <c r="C1303" s="209" t="str">
        <f>IF(ISNA(VLOOKUP(Tableau13[[#This Row],[Code machine]],'CODE mchn'!$A$4:$C$170,2,0)),"",VLOOKUP(Tableau13[[#This Row],[Code machine]],'CODE mchn'!$A$4:$C$170,2,0))</f>
        <v>Béton</v>
      </c>
      <c r="D1303" s="36" t="str">
        <f>IF(ISNA(VLOOKUP(Tableau13[[#This Row],[Code machine]],'CODE mchn'!$A$4:$C$170,3,0)),"",VLOOKUP(Tableau13[[#This Row],[Code machine]],'CODE mchn'!$A$4:$C$170,3,0))</f>
        <v>Poyatos 1</v>
      </c>
      <c r="E1303" s="105"/>
      <c r="F1303" s="36" t="s">
        <v>2277</v>
      </c>
      <c r="G1303" s="36" t="s">
        <v>2261</v>
      </c>
      <c r="H1303" s="36" t="s">
        <v>2262</v>
      </c>
      <c r="I1303" s="60" t="s">
        <v>13</v>
      </c>
      <c r="J1303" s="209" t="s">
        <v>2233</v>
      </c>
      <c r="K1303" s="210">
        <v>44252</v>
      </c>
      <c r="L1303" s="60"/>
      <c r="M1303" s="211">
        <v>15</v>
      </c>
      <c r="N1303" s="211">
        <f>MONTH(Tableau13[[#This Row],[Date fin intervention]])</f>
        <v>2</v>
      </c>
      <c r="O1303" s="211">
        <f>YEAR(Tableau13[[#This Row],[Date fin intervention]])</f>
        <v>2021</v>
      </c>
      <c r="P1303" s="60"/>
    </row>
    <row r="1304" spans="1:16">
      <c r="A1304" s="207">
        <v>44252</v>
      </c>
      <c r="B1304" s="208">
        <v>800</v>
      </c>
      <c r="C1304" s="209" t="str">
        <f>IF(ISNA(VLOOKUP(Tableau13[[#This Row],[Code machine]],'CODE mchn'!$A$4:$C$170,2,0)),"",VLOOKUP(Tableau13[[#This Row],[Code machine]],'CODE mchn'!$A$4:$C$170,2,0))</f>
        <v>Béton</v>
      </c>
      <c r="D1304" s="36" t="str">
        <f>IF(ISNA(VLOOKUP(Tableau13[[#This Row],[Code machine]],'CODE mchn'!$A$4:$C$170,3,0)),"",VLOOKUP(Tableau13[[#This Row],[Code machine]],'CODE mchn'!$A$4:$C$170,3,0))</f>
        <v>Poyatos 2</v>
      </c>
      <c r="E1304" s="105"/>
      <c r="F1304" s="36" t="s">
        <v>2277</v>
      </c>
      <c r="G1304" s="36" t="s">
        <v>128</v>
      </c>
      <c r="H1304" s="36" t="s">
        <v>782</v>
      </c>
      <c r="I1304" s="60" t="s">
        <v>13</v>
      </c>
      <c r="J1304" s="209" t="s">
        <v>2234</v>
      </c>
      <c r="K1304" s="210">
        <v>44253</v>
      </c>
      <c r="L1304" s="60"/>
      <c r="M1304" s="204">
        <f>7*60</f>
        <v>420</v>
      </c>
      <c r="N1304" s="198">
        <f>MONTH(Tableau13[[#This Row],[Date fin intervention]])</f>
        <v>2</v>
      </c>
      <c r="O1304" s="198">
        <f>YEAR(Tableau13[[#This Row],[Date fin intervention]])</f>
        <v>2021</v>
      </c>
      <c r="P1304" s="60"/>
    </row>
    <row r="1305" spans="1:16">
      <c r="A1305" s="207">
        <v>44253</v>
      </c>
      <c r="B1305" s="208">
        <v>581</v>
      </c>
      <c r="C1305" s="209" t="str">
        <f>IF(ISNA(VLOOKUP(Tableau13[[#This Row],[Code machine]],'CODE mchn'!$A$4:$C$170,2,0)),"",VLOOKUP(Tableau13[[#This Row],[Code machine]],'CODE mchn'!$A$4:$C$170,2,0))</f>
        <v>Acier</v>
      </c>
      <c r="D1305" s="36" t="str">
        <f>IF(ISNA(VLOOKUP(Tableau13[[#This Row],[Code machine]],'CODE mchn'!$A$4:$C$170,3,0)),"",VLOOKUP(Tableau13[[#This Row],[Code machine]],'CODE mchn'!$A$4:$C$170,3,0))</f>
        <v>Teurema 1</v>
      </c>
      <c r="E1305" s="105"/>
      <c r="F1305" s="36" t="s">
        <v>2276</v>
      </c>
      <c r="G1305" s="36" t="s">
        <v>1819</v>
      </c>
      <c r="H1305" s="60" t="s">
        <v>2228</v>
      </c>
      <c r="I1305" s="60" t="s">
        <v>13</v>
      </c>
      <c r="J1305" s="209" t="s">
        <v>2229</v>
      </c>
      <c r="K1305" s="210">
        <v>44253</v>
      </c>
      <c r="L1305" s="60"/>
      <c r="M1305" s="204">
        <v>60</v>
      </c>
      <c r="N1305" s="198">
        <f>MONTH(Tableau13[[#This Row],[Date fin intervention]])</f>
        <v>2</v>
      </c>
      <c r="O1305" s="198">
        <f>YEAR(Tableau13[[#This Row],[Date fin intervention]])</f>
        <v>2021</v>
      </c>
      <c r="P1305" s="60"/>
    </row>
    <row r="1306" spans="1:16">
      <c r="A1306" s="207">
        <v>44253</v>
      </c>
      <c r="B1306" s="208">
        <v>700</v>
      </c>
      <c r="C1306" s="209" t="str">
        <f>IF(ISNA(VLOOKUP(Tableau13[[#This Row],[Code machine]],'CODE mchn'!$A$4:$C$170,2,0)),"",VLOOKUP(Tableau13[[#This Row],[Code machine]],'CODE mchn'!$A$4:$C$170,2,0))</f>
        <v>Béton</v>
      </c>
      <c r="D1306" s="36" t="str">
        <f>IF(ISNA(VLOOKUP(Tableau13[[#This Row],[Code machine]],'CODE mchn'!$A$4:$C$170,3,0)),"",VLOOKUP(Tableau13[[#This Row],[Code machine]],'CODE mchn'!$A$4:$C$170,3,0))</f>
        <v>Poyatos 1</v>
      </c>
      <c r="E1306" s="105"/>
      <c r="F1306" s="36" t="s">
        <v>2276</v>
      </c>
      <c r="G1306" s="36" t="s">
        <v>213</v>
      </c>
      <c r="H1306" s="36" t="s">
        <v>2263</v>
      </c>
      <c r="I1306" s="60" t="s">
        <v>13</v>
      </c>
      <c r="J1306" s="106" t="s">
        <v>2235</v>
      </c>
      <c r="K1306" s="210">
        <v>44253</v>
      </c>
      <c r="L1306" s="60"/>
      <c r="M1306" s="108">
        <f>4*60</f>
        <v>240</v>
      </c>
      <c r="N1306" s="198">
        <f>MONTH(Tableau13[[#This Row],[Date fin intervention]])</f>
        <v>2</v>
      </c>
      <c r="O1306" s="198">
        <f>YEAR(Tableau13[[#This Row],[Date fin intervention]])</f>
        <v>2021</v>
      </c>
      <c r="P1306" s="60"/>
    </row>
    <row r="1307" spans="1:16">
      <c r="A1307" s="207">
        <v>44253</v>
      </c>
      <c r="B1307" s="208">
        <v>800</v>
      </c>
      <c r="C1307" s="209" t="str">
        <f>IF(ISNA(VLOOKUP(Tableau13[[#This Row],[Code machine]],'CODE mchn'!$A$4:$C$170,2,0)),"",VLOOKUP(Tableau13[[#This Row],[Code machine]],'CODE mchn'!$A$4:$C$170,2,0))</f>
        <v>Béton</v>
      </c>
      <c r="D1307" s="36" t="str">
        <f>IF(ISNA(VLOOKUP(Tableau13[[#This Row],[Code machine]],'CODE mchn'!$A$4:$C$170,3,0)),"",VLOOKUP(Tableau13[[#This Row],[Code machine]],'CODE mchn'!$A$4:$C$170,3,0))</f>
        <v>Poyatos 2</v>
      </c>
      <c r="E1307" s="105"/>
      <c r="F1307" s="36" t="s">
        <v>2277</v>
      </c>
      <c r="G1307" s="60" t="s">
        <v>213</v>
      </c>
      <c r="H1307" s="36" t="s">
        <v>2076</v>
      </c>
      <c r="I1307" s="60" t="s">
        <v>13</v>
      </c>
      <c r="J1307" s="209" t="s">
        <v>2130</v>
      </c>
      <c r="K1307" s="210">
        <v>44253</v>
      </c>
      <c r="L1307" s="60"/>
      <c r="M1307" s="211">
        <v>30</v>
      </c>
      <c r="N1307" s="198">
        <f>MONTH(Tableau13[[#This Row],[Date fin intervention]])</f>
        <v>2</v>
      </c>
      <c r="O1307" s="211">
        <f>YEAR(Tableau13[[#This Row],[Date fin intervention]])</f>
        <v>2021</v>
      </c>
      <c r="P1307" s="60"/>
    </row>
    <row r="1308" spans="1:16">
      <c r="A1308" s="207">
        <v>44253</v>
      </c>
      <c r="B1308" s="208">
        <v>571</v>
      </c>
      <c r="C1308" s="209" t="str">
        <f>IF(ISNA(VLOOKUP(Tableau13[[#This Row],[Code machine]],'CODE mchn'!$A$4:$C$170,2,0)),"",VLOOKUP(Tableau13[[#This Row],[Code machine]],'CODE mchn'!$A$4:$C$170,2,0))</f>
        <v>Acier</v>
      </c>
      <c r="D1308" s="36" t="str">
        <f>IF(ISNA(VLOOKUP(Tableau13[[#This Row],[Code machine]],'CODE mchn'!$A$4:$C$170,3,0)),"",VLOOKUP(Tableau13[[#This Row],[Code machine]],'CODE mchn'!$A$4:$C$170,3,0))</f>
        <v>EVG PN 1</v>
      </c>
      <c r="E1308" s="105"/>
      <c r="F1308" s="36" t="s">
        <v>2277</v>
      </c>
      <c r="G1308" s="36" t="s">
        <v>10</v>
      </c>
      <c r="H1308" s="36" t="s">
        <v>2291</v>
      </c>
      <c r="I1308" s="60" t="s">
        <v>13</v>
      </c>
      <c r="J1308" s="209" t="s">
        <v>2230</v>
      </c>
      <c r="K1308" s="210">
        <v>44253</v>
      </c>
      <c r="L1308" s="60"/>
      <c r="M1308" s="211">
        <v>30</v>
      </c>
      <c r="N1308" s="211">
        <f>MONTH(Tableau13[[#This Row],[Date fin intervention]])</f>
        <v>2</v>
      </c>
      <c r="O1308" s="211">
        <f>YEAR(Tableau13[[#This Row],[Date fin intervention]])</f>
        <v>2021</v>
      </c>
      <c r="P1308" s="60"/>
    </row>
    <row r="1309" spans="1:16">
      <c r="A1309" s="207">
        <v>44254</v>
      </c>
      <c r="B1309" s="208">
        <v>581</v>
      </c>
      <c r="C1309" s="209" t="str">
        <f>IF(ISNA(VLOOKUP(Tableau13[[#This Row],[Code machine]],'CODE mchn'!$A$4:$C$170,2,0)),"",VLOOKUP(Tableau13[[#This Row],[Code machine]],'CODE mchn'!$A$4:$C$170,2,0))</f>
        <v>Acier</v>
      </c>
      <c r="D1309" s="36" t="str">
        <f>IF(ISNA(VLOOKUP(Tableau13[[#This Row],[Code machine]],'CODE mchn'!$A$4:$C$170,3,0)),"",VLOOKUP(Tableau13[[#This Row],[Code machine]],'CODE mchn'!$A$4:$C$170,3,0))</f>
        <v>Teurema 1</v>
      </c>
      <c r="E1309" s="105"/>
      <c r="F1309" s="36" t="s">
        <v>2277</v>
      </c>
      <c r="G1309" s="36" t="s">
        <v>200</v>
      </c>
      <c r="H1309" s="60" t="s">
        <v>2231</v>
      </c>
      <c r="I1309" s="60" t="s">
        <v>13</v>
      </c>
      <c r="J1309" s="209" t="s">
        <v>2232</v>
      </c>
      <c r="K1309" s="210">
        <v>44254</v>
      </c>
      <c r="L1309" s="60"/>
      <c r="M1309" s="211">
        <v>30</v>
      </c>
      <c r="N1309" s="211">
        <f>MONTH(Tableau13[[#This Row],[Date fin intervention]])</f>
        <v>2</v>
      </c>
      <c r="O1309" s="211">
        <f>YEAR(Tableau13[[#This Row],[Date fin intervention]])</f>
        <v>2021</v>
      </c>
      <c r="P1309" s="60"/>
    </row>
    <row r="1310" spans="1:16">
      <c r="A1310" s="104">
        <v>44254</v>
      </c>
      <c r="B1310" s="105">
        <v>700</v>
      </c>
      <c r="C1310" s="106" t="str">
        <f>IF(ISNA(VLOOKUP(Tableau13[[#This Row],[Code machine]],'CODE mchn'!$A$4:$C$170,2,0)),"",VLOOKUP(Tableau13[[#This Row],[Code machine]],'CODE mchn'!$A$4:$C$170,2,0))</f>
        <v>Béton</v>
      </c>
      <c r="D1310" s="36" t="str">
        <f>IF(ISNA(VLOOKUP(Tableau13[[#This Row],[Code machine]],'CODE mchn'!$A$4:$C$170,3,0)),"",VLOOKUP(Tableau13[[#This Row],[Code machine]],'CODE mchn'!$A$4:$C$170,3,0))</f>
        <v>Poyatos 1</v>
      </c>
      <c r="E1310" s="105"/>
      <c r="F1310" s="36" t="s">
        <v>2277</v>
      </c>
      <c r="G1310" s="36" t="s">
        <v>128</v>
      </c>
      <c r="H1310" s="36" t="s">
        <v>2236</v>
      </c>
      <c r="I1310" s="36" t="s">
        <v>13</v>
      </c>
      <c r="J1310" s="106" t="s">
        <v>2237</v>
      </c>
      <c r="K1310" s="71">
        <v>44254</v>
      </c>
      <c r="L1310" s="36"/>
      <c r="M1310" s="108">
        <v>15</v>
      </c>
      <c r="N1310" s="108">
        <f>MONTH(Tableau13[[#This Row],[Date fin intervention]])</f>
        <v>2</v>
      </c>
      <c r="O1310" s="108">
        <f>YEAR(Tableau13[[#This Row],[Date fin intervention]])</f>
        <v>2021</v>
      </c>
      <c r="P1310" s="36"/>
    </row>
    <row r="1311" spans="1:16">
      <c r="A1311" s="104">
        <v>44254</v>
      </c>
      <c r="B1311" s="105">
        <v>800</v>
      </c>
      <c r="C1311" s="106" t="str">
        <f>IF(ISNA(VLOOKUP(Tableau13[[#This Row],[Code machine]],'CODE mchn'!$A$4:$C$170,2,0)),"",VLOOKUP(Tableau13[[#This Row],[Code machine]],'CODE mchn'!$A$4:$C$170,2,0))</f>
        <v>Béton</v>
      </c>
      <c r="D1311" s="36" t="str">
        <f>IF(ISNA(VLOOKUP(Tableau13[[#This Row],[Code machine]],'CODE mchn'!$A$4:$C$170,3,0)),"",VLOOKUP(Tableau13[[#This Row],[Code machine]],'CODE mchn'!$A$4:$C$170,3,0))</f>
        <v>Poyatos 2</v>
      </c>
      <c r="E1311" s="105"/>
      <c r="F1311" s="36" t="s">
        <v>2277</v>
      </c>
      <c r="G1311" s="36" t="s">
        <v>213</v>
      </c>
      <c r="H1311" s="36" t="s">
        <v>2238</v>
      </c>
      <c r="I1311" s="36" t="s">
        <v>13</v>
      </c>
      <c r="J1311" s="106" t="s">
        <v>2239</v>
      </c>
      <c r="K1311" s="71">
        <v>44254</v>
      </c>
      <c r="L1311" s="36"/>
      <c r="M1311" s="108">
        <v>15</v>
      </c>
      <c r="N1311" s="198">
        <f>MONTH(Tableau13[[#This Row],[Date fin intervention]])</f>
        <v>2</v>
      </c>
      <c r="O1311" s="108">
        <f>YEAR(Tableau13[[#This Row],[Date fin intervention]])</f>
        <v>2021</v>
      </c>
      <c r="P1311" s="36"/>
    </row>
    <row r="1312" spans="1:16">
      <c r="A1312" s="213">
        <v>44256</v>
      </c>
      <c r="B1312" s="214">
        <v>604</v>
      </c>
      <c r="C1312" s="106" t="str">
        <f>IF(ISNA(VLOOKUP(Tableau13[[#This Row],[Code machine]],'CODE mchn'!$A$4:$C$170,2,0)),"",VLOOKUP(Tableau13[[#This Row],[Code machine]],'CODE mchn'!$A$4:$C$170,2,0))</f>
        <v>Acier</v>
      </c>
      <c r="D1312" s="36" t="str">
        <f>IF(ISNA(VLOOKUP(Tableau13[[#This Row],[Code machine]],'CODE mchn'!$A$4:$C$170,3,0)),"",VLOOKUP(Tableau13[[#This Row],[Code machine]],'CODE mchn'!$A$4:$C$170,3,0))</f>
        <v>TI</v>
      </c>
      <c r="E1312" s="105"/>
      <c r="F1312" s="36" t="s">
        <v>2277</v>
      </c>
      <c r="G1312" s="61" t="s">
        <v>10</v>
      </c>
      <c r="H1312" s="61" t="s">
        <v>2348</v>
      </c>
      <c r="I1312" s="61" t="s">
        <v>13</v>
      </c>
      <c r="J1312" s="250" t="s">
        <v>2292</v>
      </c>
      <c r="K1312" s="215">
        <v>44256</v>
      </c>
      <c r="L1312" s="61"/>
      <c r="M1312" s="216">
        <v>30</v>
      </c>
      <c r="N1312" s="198">
        <f>MONTH(Tableau13[[#This Row],[Date fin intervention]])</f>
        <v>3</v>
      </c>
      <c r="O1312" s="108">
        <f>YEAR(Tableau13[[#This Row],[Date fin intervention]])</f>
        <v>2021</v>
      </c>
      <c r="P1312" s="61"/>
    </row>
    <row r="1313" spans="1:16">
      <c r="A1313" s="213">
        <v>44256</v>
      </c>
      <c r="B1313" s="214">
        <v>571</v>
      </c>
      <c r="C1313" s="106" t="str">
        <f>IF(ISNA(VLOOKUP(Tableau13[[#This Row],[Code machine]],'CODE mchn'!$A$4:$C$170,2,0)),"",VLOOKUP(Tableau13[[#This Row],[Code machine]],'CODE mchn'!$A$4:$C$170,2,0))</f>
        <v>Acier</v>
      </c>
      <c r="D1313" s="36" t="str">
        <f>IF(ISNA(VLOOKUP(Tableau13[[#This Row],[Code machine]],'CODE mchn'!$A$4:$C$170,3,0)),"",VLOOKUP(Tableau13[[#This Row],[Code machine]],'CODE mchn'!$A$4:$C$170,3,0))</f>
        <v>EVG PN 1</v>
      </c>
      <c r="E1313" s="105"/>
      <c r="F1313" s="36" t="s">
        <v>2277</v>
      </c>
      <c r="G1313" s="61" t="s">
        <v>503</v>
      </c>
      <c r="H1313" s="61" t="s">
        <v>2293</v>
      </c>
      <c r="I1313" s="61" t="s">
        <v>13</v>
      </c>
      <c r="J1313" s="250" t="s">
        <v>2294</v>
      </c>
      <c r="K1313" s="215">
        <v>44256</v>
      </c>
      <c r="L1313" s="61"/>
      <c r="M1313" s="216">
        <v>20</v>
      </c>
      <c r="N1313" s="198">
        <f>MONTH(Tableau13[[#This Row],[Date fin intervention]])</f>
        <v>3</v>
      </c>
      <c r="O1313" s="108">
        <f>YEAR(Tableau13[[#This Row],[Date fin intervention]])</f>
        <v>2021</v>
      </c>
      <c r="P1313" s="61"/>
    </row>
    <row r="1314" spans="1:16" ht="28.5">
      <c r="A1314" s="213">
        <v>44256</v>
      </c>
      <c r="B1314" s="214">
        <v>591</v>
      </c>
      <c r="C1314" s="106" t="str">
        <f>IF(ISNA(VLOOKUP(Tableau13[[#This Row],[Code machine]],'CODE mchn'!$A$4:$C$170,2,0)),"",VLOOKUP(Tableau13[[#This Row],[Code machine]],'CODE mchn'!$A$4:$C$170,2,0))</f>
        <v>Ponts roulants</v>
      </c>
      <c r="D1314" s="36" t="str">
        <f>IF(ISNA(VLOOKUP(Tableau13[[#This Row],[Code machine]],'CODE mchn'!$A$4:$C$170,3,0)),"",VLOOKUP(Tableau13[[#This Row],[Code machine]],'CODE mchn'!$A$4:$C$170,3,0))</f>
        <v>Pont roulant Demag 5T(nouveau hangar)</v>
      </c>
      <c r="E1314" s="105"/>
      <c r="F1314" s="36" t="s">
        <v>2276</v>
      </c>
      <c r="G1314" s="61" t="s">
        <v>1821</v>
      </c>
      <c r="H1314" s="61" t="s">
        <v>2295</v>
      </c>
      <c r="I1314" s="61" t="s">
        <v>13</v>
      </c>
      <c r="J1314" s="250" t="s">
        <v>596</v>
      </c>
      <c r="K1314" s="215">
        <v>44256</v>
      </c>
      <c r="L1314" s="61"/>
      <c r="M1314" s="216">
        <v>30</v>
      </c>
      <c r="N1314" s="198">
        <f>MONTH(Tableau13[[#This Row],[Date fin intervention]])</f>
        <v>3</v>
      </c>
      <c r="O1314" s="108">
        <f>YEAR(Tableau13[[#This Row],[Date fin intervention]])</f>
        <v>2021</v>
      </c>
      <c r="P1314" s="61"/>
    </row>
    <row r="1315" spans="1:16">
      <c r="A1315" s="213">
        <v>44256</v>
      </c>
      <c r="B1315" s="214">
        <v>590</v>
      </c>
      <c r="C1315" s="106" t="str">
        <f>IF(ISNA(VLOOKUP(Tableau13[[#This Row],[Code machine]],'CODE mchn'!$A$4:$C$170,2,0)),"",VLOOKUP(Tableau13[[#This Row],[Code machine]],'CODE mchn'!$A$4:$C$170,2,0))</f>
        <v>Acier</v>
      </c>
      <c r="D1315" s="36" t="str">
        <f>IF(ISNA(VLOOKUP(Tableau13[[#This Row],[Code machine]],'CODE mchn'!$A$4:$C$170,3,0)),"",VLOOKUP(Tableau13[[#This Row],[Code machine]],'CODE mchn'!$A$4:$C$170,3,0))</f>
        <v>Teurema 3</v>
      </c>
      <c r="E1315" s="105"/>
      <c r="F1315" s="36" t="s">
        <v>2276</v>
      </c>
      <c r="G1315" s="61" t="s">
        <v>1819</v>
      </c>
      <c r="H1315" s="61" t="s">
        <v>2296</v>
      </c>
      <c r="I1315" s="61" t="s">
        <v>13</v>
      </c>
      <c r="J1315" s="250" t="s">
        <v>596</v>
      </c>
      <c r="K1315" s="215">
        <v>44256</v>
      </c>
      <c r="L1315" s="61"/>
      <c r="M1315" s="216">
        <v>25</v>
      </c>
      <c r="N1315" s="198">
        <f>MONTH(Tableau13[[#This Row],[Date fin intervention]])</f>
        <v>3</v>
      </c>
      <c r="O1315" s="108">
        <f>YEAR(Tableau13[[#This Row],[Date fin intervention]])</f>
        <v>2021</v>
      </c>
      <c r="P1315" s="61"/>
    </row>
    <row r="1316" spans="1:16" ht="28.5">
      <c r="A1316" s="213">
        <v>44256</v>
      </c>
      <c r="B1316" s="214">
        <v>533</v>
      </c>
      <c r="C1316" s="106" t="str">
        <f>IF(ISNA(VLOOKUP(Tableau13[[#This Row],[Code machine]],'CODE mchn'!$A$4:$C$170,2,0)),"",VLOOKUP(Tableau13[[#This Row],[Code machine]],'CODE mchn'!$A$4:$C$170,2,0))</f>
        <v>Enrobage</v>
      </c>
      <c r="D1316" s="36" t="str">
        <f>IF(ISNA(VLOOKUP(Tableau13[[#This Row],[Code machine]],'CODE mchn'!$A$4:$C$170,3,0)),"",VLOOKUP(Tableau13[[#This Row],[Code machine]],'CODE mchn'!$A$4:$C$170,3,0))</f>
        <v>CAROSSEL</v>
      </c>
      <c r="E1316" s="105"/>
      <c r="F1316" s="36" t="s">
        <v>2277</v>
      </c>
      <c r="G1316" s="61" t="s">
        <v>2297</v>
      </c>
      <c r="H1316" s="61" t="s">
        <v>2350</v>
      </c>
      <c r="I1316" s="61" t="s">
        <v>13</v>
      </c>
      <c r="J1316" s="250" t="s">
        <v>2298</v>
      </c>
      <c r="K1316" s="215">
        <v>44256</v>
      </c>
      <c r="L1316" s="61"/>
      <c r="M1316" s="216">
        <v>30</v>
      </c>
      <c r="N1316" s="198">
        <f>MONTH(Tableau13[[#This Row],[Date fin intervention]])</f>
        <v>3</v>
      </c>
      <c r="O1316" s="108">
        <f>YEAR(Tableau13[[#This Row],[Date fin intervention]])</f>
        <v>2021</v>
      </c>
      <c r="P1316" s="61"/>
    </row>
    <row r="1317" spans="1:16">
      <c r="A1317" s="213">
        <v>44256</v>
      </c>
      <c r="B1317" s="214">
        <v>700</v>
      </c>
      <c r="C1317" s="106" t="str">
        <f>IF(ISNA(VLOOKUP(Tableau13[[#This Row],[Code machine]],'CODE mchn'!$A$4:$C$170,2,0)),"",VLOOKUP(Tableau13[[#This Row],[Code machine]],'CODE mchn'!$A$4:$C$170,2,0))</f>
        <v>Béton</v>
      </c>
      <c r="D1317" s="36" t="str">
        <f>IF(ISNA(VLOOKUP(Tableau13[[#This Row],[Code machine]],'CODE mchn'!$A$4:$C$170,3,0)),"",VLOOKUP(Tableau13[[#This Row],[Code machine]],'CODE mchn'!$A$4:$C$170,3,0))</f>
        <v>Poyatos 1</v>
      </c>
      <c r="E1317" s="105"/>
      <c r="F1317" s="36" t="s">
        <v>2277</v>
      </c>
      <c r="G1317" s="61" t="s">
        <v>43</v>
      </c>
      <c r="H1317" s="61" t="s">
        <v>2299</v>
      </c>
      <c r="I1317" s="61" t="s">
        <v>13</v>
      </c>
      <c r="J1317" s="250" t="s">
        <v>2300</v>
      </c>
      <c r="K1317" s="215">
        <v>44256</v>
      </c>
      <c r="L1317" s="61"/>
      <c r="M1317" s="216">
        <v>45</v>
      </c>
      <c r="N1317" s="198">
        <f>MONTH(Tableau13[[#This Row],[Date fin intervention]])</f>
        <v>3</v>
      </c>
      <c r="O1317" s="108">
        <f>YEAR(Tableau13[[#This Row],[Date fin intervention]])</f>
        <v>2021</v>
      </c>
      <c r="P1317" s="61"/>
    </row>
    <row r="1318" spans="1:16">
      <c r="A1318" s="213">
        <v>44257</v>
      </c>
      <c r="B1318" s="214">
        <v>581</v>
      </c>
      <c r="C1318" s="106" t="str">
        <f>IF(ISNA(VLOOKUP(Tableau13[[#This Row],[Code machine]],'CODE mchn'!$A$4:$C$170,2,0)),"",VLOOKUP(Tableau13[[#This Row],[Code machine]],'CODE mchn'!$A$4:$C$170,2,0))</f>
        <v>Acier</v>
      </c>
      <c r="D1318" s="36" t="str">
        <f>IF(ISNA(VLOOKUP(Tableau13[[#This Row],[Code machine]],'CODE mchn'!$A$4:$C$170,3,0)),"",VLOOKUP(Tableau13[[#This Row],[Code machine]],'CODE mchn'!$A$4:$C$170,3,0))</f>
        <v>Teurema 1</v>
      </c>
      <c r="E1318" s="105"/>
      <c r="F1318" s="36" t="s">
        <v>2276</v>
      </c>
      <c r="G1318" s="61" t="s">
        <v>2349</v>
      </c>
      <c r="H1318" s="61" t="s">
        <v>2301</v>
      </c>
      <c r="I1318" s="61" t="s">
        <v>13</v>
      </c>
      <c r="J1318" s="250" t="s">
        <v>2302</v>
      </c>
      <c r="K1318" s="215">
        <v>44257</v>
      </c>
      <c r="L1318" s="61"/>
      <c r="M1318" s="216">
        <v>120</v>
      </c>
      <c r="N1318" s="198">
        <f>MONTH(Tableau13[[#This Row],[Date fin intervention]])</f>
        <v>3</v>
      </c>
      <c r="O1318" s="108">
        <f>YEAR(Tableau13[[#This Row],[Date fin intervention]])</f>
        <v>2021</v>
      </c>
      <c r="P1318" s="61"/>
    </row>
    <row r="1319" spans="1:16" ht="28.5">
      <c r="A1319" s="213">
        <v>44257</v>
      </c>
      <c r="B1319" s="214">
        <v>582</v>
      </c>
      <c r="C1319" s="106" t="str">
        <f>IF(ISNA(VLOOKUP(Tableau13[[#This Row],[Code machine]],'CODE mchn'!$A$4:$C$170,2,0)),"",VLOOKUP(Tableau13[[#This Row],[Code machine]],'CODE mchn'!$A$4:$C$170,2,0))</f>
        <v>Acier</v>
      </c>
      <c r="D1319" s="36" t="str">
        <f>IF(ISNA(VLOOKUP(Tableau13[[#This Row],[Code machine]],'CODE mchn'!$A$4:$C$170,3,0)),"",VLOOKUP(Tableau13[[#This Row],[Code machine]],'CODE mchn'!$A$4:$C$170,3,0))</f>
        <v>Teurema 2</v>
      </c>
      <c r="E1319" s="105"/>
      <c r="F1319" s="36" t="s">
        <v>2276</v>
      </c>
      <c r="G1319" s="61" t="s">
        <v>2074</v>
      </c>
      <c r="H1319" s="61" t="s">
        <v>2303</v>
      </c>
      <c r="I1319" s="61" t="s">
        <v>13</v>
      </c>
      <c r="J1319" s="250" t="s">
        <v>2304</v>
      </c>
      <c r="K1319" s="215">
        <v>44257</v>
      </c>
      <c r="L1319" s="61"/>
      <c r="M1319" s="216">
        <v>45</v>
      </c>
      <c r="N1319" s="198">
        <f>MONTH(Tableau13[[#This Row],[Date fin intervention]])</f>
        <v>3</v>
      </c>
      <c r="O1319" s="108">
        <f>YEAR(Tableau13[[#This Row],[Date fin intervention]])</f>
        <v>2021</v>
      </c>
      <c r="P1319" s="61"/>
    </row>
    <row r="1320" spans="1:16">
      <c r="A1320" s="213">
        <v>44257</v>
      </c>
      <c r="B1320" s="214">
        <v>700</v>
      </c>
      <c r="C1320" s="106" t="str">
        <f>IF(ISNA(VLOOKUP(Tableau13[[#This Row],[Code machine]],'CODE mchn'!$A$4:$C$170,2,0)),"",VLOOKUP(Tableau13[[#This Row],[Code machine]],'CODE mchn'!$A$4:$C$170,2,0))</f>
        <v>Béton</v>
      </c>
      <c r="D1320" s="36" t="str">
        <f>IF(ISNA(VLOOKUP(Tableau13[[#This Row],[Code machine]],'CODE mchn'!$A$4:$C$170,3,0)),"",VLOOKUP(Tableau13[[#This Row],[Code machine]],'CODE mchn'!$A$4:$C$170,3,0))</f>
        <v>Poyatos 1</v>
      </c>
      <c r="E1320" s="105"/>
      <c r="F1320" s="36" t="s">
        <v>2277</v>
      </c>
      <c r="G1320" s="61" t="s">
        <v>2351</v>
      </c>
      <c r="H1320" s="61" t="s">
        <v>2187</v>
      </c>
      <c r="I1320" s="61" t="s">
        <v>13</v>
      </c>
      <c r="J1320" s="250" t="s">
        <v>2305</v>
      </c>
      <c r="K1320" s="215">
        <v>44257</v>
      </c>
      <c r="L1320" s="61"/>
      <c r="M1320" s="216">
        <v>0</v>
      </c>
      <c r="N1320" s="198">
        <f>MONTH(Tableau13[[#This Row],[Date fin intervention]])</f>
        <v>3</v>
      </c>
      <c r="O1320" s="108">
        <f>YEAR(Tableau13[[#This Row],[Date fin intervention]])</f>
        <v>2021</v>
      </c>
      <c r="P1320" s="61"/>
    </row>
    <row r="1321" spans="1:16">
      <c r="A1321" s="213">
        <v>44257</v>
      </c>
      <c r="B1321" s="214">
        <v>700</v>
      </c>
      <c r="C1321" s="106" t="str">
        <f>IF(ISNA(VLOOKUP(Tableau13[[#This Row],[Code machine]],'CODE mchn'!$A$4:$C$170,2,0)),"",VLOOKUP(Tableau13[[#This Row],[Code machine]],'CODE mchn'!$A$4:$C$170,2,0))</f>
        <v>Béton</v>
      </c>
      <c r="D1321" s="36" t="str">
        <f>IF(ISNA(VLOOKUP(Tableau13[[#This Row],[Code machine]],'CODE mchn'!$A$4:$C$170,3,0)),"",VLOOKUP(Tableau13[[#This Row],[Code machine]],'CODE mchn'!$A$4:$C$170,3,0))</f>
        <v>Poyatos 1</v>
      </c>
      <c r="E1321" s="105"/>
      <c r="F1321" s="36" t="s">
        <v>2277</v>
      </c>
      <c r="G1321" s="61" t="s">
        <v>291</v>
      </c>
      <c r="H1321" s="61" t="s">
        <v>2076</v>
      </c>
      <c r="I1321" s="61" t="s">
        <v>13</v>
      </c>
      <c r="J1321" s="250" t="s">
        <v>967</v>
      </c>
      <c r="K1321" s="215">
        <v>44257</v>
      </c>
      <c r="L1321" s="61"/>
      <c r="M1321" s="216">
        <v>45</v>
      </c>
      <c r="N1321" s="198">
        <f>MONTH(Tableau13[[#This Row],[Date fin intervention]])</f>
        <v>3</v>
      </c>
      <c r="O1321" s="108">
        <f>YEAR(Tableau13[[#This Row],[Date fin intervention]])</f>
        <v>2021</v>
      </c>
      <c r="P1321" s="61"/>
    </row>
    <row r="1322" spans="1:16">
      <c r="A1322" s="213">
        <v>44257</v>
      </c>
      <c r="B1322" s="214">
        <v>700</v>
      </c>
      <c r="C1322" s="106" t="str">
        <f>IF(ISNA(VLOOKUP(Tableau13[[#This Row],[Code machine]],'CODE mchn'!$A$4:$C$170,2,0)),"",VLOOKUP(Tableau13[[#This Row],[Code machine]],'CODE mchn'!$A$4:$C$170,2,0))</f>
        <v>Béton</v>
      </c>
      <c r="D1322" s="36" t="str">
        <f>IF(ISNA(VLOOKUP(Tableau13[[#This Row],[Code machine]],'CODE mchn'!$A$4:$C$170,3,0)),"",VLOOKUP(Tableau13[[#This Row],[Code machine]],'CODE mchn'!$A$4:$C$170,3,0))</f>
        <v>Poyatos 1</v>
      </c>
      <c r="E1322" s="105"/>
      <c r="F1322" s="36" t="s">
        <v>2277</v>
      </c>
      <c r="G1322" s="61" t="s">
        <v>110</v>
      </c>
      <c r="H1322" s="61" t="s">
        <v>2306</v>
      </c>
      <c r="I1322" s="61" t="s">
        <v>13</v>
      </c>
      <c r="J1322" s="250" t="s">
        <v>596</v>
      </c>
      <c r="K1322" s="215">
        <v>44257</v>
      </c>
      <c r="L1322" s="61"/>
      <c r="M1322" s="216">
        <v>30</v>
      </c>
      <c r="N1322" s="198">
        <f>MONTH(Tableau13[[#This Row],[Date fin intervention]])</f>
        <v>3</v>
      </c>
      <c r="O1322" s="108">
        <f>YEAR(Tableau13[[#This Row],[Date fin intervention]])</f>
        <v>2021</v>
      </c>
      <c r="P1322" s="61"/>
    </row>
    <row r="1323" spans="1:16">
      <c r="A1323" s="213">
        <v>44257</v>
      </c>
      <c r="B1323" s="214">
        <v>700</v>
      </c>
      <c r="C1323" s="106" t="str">
        <f>IF(ISNA(VLOOKUP(Tableau13[[#This Row],[Code machine]],'CODE mchn'!$A$4:$C$170,2,0)),"",VLOOKUP(Tableau13[[#This Row],[Code machine]],'CODE mchn'!$A$4:$C$170,2,0))</f>
        <v>Béton</v>
      </c>
      <c r="D1323" s="36" t="str">
        <f>IF(ISNA(VLOOKUP(Tableau13[[#This Row],[Code machine]],'CODE mchn'!$A$4:$C$170,3,0)),"",VLOOKUP(Tableau13[[#This Row],[Code machine]],'CODE mchn'!$A$4:$C$170,3,0))</f>
        <v>Poyatos 1</v>
      </c>
      <c r="E1323" s="105"/>
      <c r="F1323" s="36" t="s">
        <v>2276</v>
      </c>
      <c r="G1323" s="61" t="s">
        <v>1666</v>
      </c>
      <c r="H1323" s="61" t="s">
        <v>2352</v>
      </c>
      <c r="I1323" s="61"/>
      <c r="J1323" s="250" t="s">
        <v>2307</v>
      </c>
      <c r="K1323" s="215">
        <v>44257</v>
      </c>
      <c r="L1323" s="61"/>
      <c r="M1323" s="216">
        <v>0</v>
      </c>
      <c r="N1323" s="198">
        <f>MONTH(Tableau13[[#This Row],[Date fin intervention]])</f>
        <v>3</v>
      </c>
      <c r="O1323" s="108">
        <f>YEAR(Tableau13[[#This Row],[Date fin intervention]])</f>
        <v>2021</v>
      </c>
      <c r="P1323" s="61"/>
    </row>
    <row r="1324" spans="1:16">
      <c r="A1324" s="213">
        <v>44258</v>
      </c>
      <c r="B1324" s="214">
        <v>800</v>
      </c>
      <c r="C1324" s="106" t="str">
        <f>IF(ISNA(VLOOKUP(Tableau13[[#This Row],[Code machine]],'CODE mchn'!$A$4:$C$170,2,0)),"",VLOOKUP(Tableau13[[#This Row],[Code machine]],'CODE mchn'!$A$4:$C$170,2,0))</f>
        <v>Béton</v>
      </c>
      <c r="D1324" s="36" t="str">
        <f>IF(ISNA(VLOOKUP(Tableau13[[#This Row],[Code machine]],'CODE mchn'!$A$4:$C$170,3,0)),"",VLOOKUP(Tableau13[[#This Row],[Code machine]],'CODE mchn'!$A$4:$C$170,3,0))</f>
        <v>Poyatos 2</v>
      </c>
      <c r="E1324" s="105"/>
      <c r="F1324" s="36" t="s">
        <v>2277</v>
      </c>
      <c r="G1324" s="61" t="s">
        <v>49</v>
      </c>
      <c r="H1324" s="61" t="s">
        <v>2308</v>
      </c>
      <c r="I1324" s="61" t="s">
        <v>13</v>
      </c>
      <c r="J1324" s="250" t="s">
        <v>2309</v>
      </c>
      <c r="K1324" s="215">
        <v>44258</v>
      </c>
      <c r="L1324" s="61"/>
      <c r="M1324" s="216">
        <v>20</v>
      </c>
      <c r="N1324" s="198">
        <f>MONTH(Tableau13[[#This Row],[Date fin intervention]])</f>
        <v>3</v>
      </c>
      <c r="O1324" s="108">
        <f>YEAR(Tableau13[[#This Row],[Date fin intervention]])</f>
        <v>2021</v>
      </c>
      <c r="P1324" s="61"/>
    </row>
    <row r="1325" spans="1:16">
      <c r="A1325" s="213">
        <v>44259</v>
      </c>
      <c r="B1325" s="214">
        <v>800</v>
      </c>
      <c r="C1325" s="106" t="str">
        <f>IF(ISNA(VLOOKUP(Tableau13[[#This Row],[Code machine]],'CODE mchn'!$A$4:$C$170,2,0)),"",VLOOKUP(Tableau13[[#This Row],[Code machine]],'CODE mchn'!$A$4:$C$170,2,0))</f>
        <v>Béton</v>
      </c>
      <c r="D1325" s="36" t="str">
        <f>IF(ISNA(VLOOKUP(Tableau13[[#This Row],[Code machine]],'CODE mchn'!$A$4:$C$170,3,0)),"",VLOOKUP(Tableau13[[#This Row],[Code machine]],'CODE mchn'!$A$4:$C$170,3,0))</f>
        <v>Poyatos 2</v>
      </c>
      <c r="E1325" s="105"/>
      <c r="F1325" s="36" t="s">
        <v>2276</v>
      </c>
      <c r="G1325" s="61" t="s">
        <v>937</v>
      </c>
      <c r="H1325" s="61" t="s">
        <v>2310</v>
      </c>
      <c r="I1325" s="61" t="s">
        <v>13</v>
      </c>
      <c r="J1325" s="250" t="s">
        <v>2163</v>
      </c>
      <c r="K1325" s="215">
        <v>44259</v>
      </c>
      <c r="L1325" s="61"/>
      <c r="M1325" s="216">
        <v>30</v>
      </c>
      <c r="N1325" s="198">
        <f>MONTH(Tableau13[[#This Row],[Date fin intervention]])</f>
        <v>3</v>
      </c>
      <c r="O1325" s="108">
        <f>YEAR(Tableau13[[#This Row],[Date fin intervention]])</f>
        <v>2021</v>
      </c>
      <c r="P1325" s="61"/>
    </row>
    <row r="1326" spans="1:16">
      <c r="A1326" s="213">
        <v>44259</v>
      </c>
      <c r="B1326" s="214">
        <v>560</v>
      </c>
      <c r="C1326" s="106" t="str">
        <f>IF(ISNA(VLOOKUP(Tableau13[[#This Row],[Code machine]],'CODE mchn'!$A$4:$C$170,2,0)),"",VLOOKUP(Tableau13[[#This Row],[Code machine]],'CODE mchn'!$A$4:$C$170,2,0))</f>
        <v>Acier</v>
      </c>
      <c r="D1326" s="36" t="str">
        <f>IF(ISNA(VLOOKUP(Tableau13[[#This Row],[Code machine]],'CODE mchn'!$A$4:$C$170,3,0)),"",VLOOKUP(Tableau13[[#This Row],[Code machine]],'CODE mchn'!$A$4:$C$170,3,0))</f>
        <v>Schlatter</v>
      </c>
      <c r="E1326" s="105"/>
      <c r="F1326" s="36" t="s">
        <v>2277</v>
      </c>
      <c r="G1326" s="61" t="s">
        <v>726</v>
      </c>
      <c r="H1326" s="61" t="s">
        <v>2353</v>
      </c>
      <c r="I1326" s="61" t="s">
        <v>13</v>
      </c>
      <c r="J1326" s="250" t="s">
        <v>2311</v>
      </c>
      <c r="K1326" s="215">
        <v>44259</v>
      </c>
      <c r="L1326" s="61"/>
      <c r="M1326" s="216">
        <v>25</v>
      </c>
      <c r="N1326" s="198">
        <f>MONTH(Tableau13[[#This Row],[Date fin intervention]])</f>
        <v>3</v>
      </c>
      <c r="O1326" s="108">
        <f>YEAR(Tableau13[[#This Row],[Date fin intervention]])</f>
        <v>2021</v>
      </c>
      <c r="P1326" s="61"/>
    </row>
    <row r="1327" spans="1:16">
      <c r="A1327" s="213">
        <v>44259</v>
      </c>
      <c r="B1327" s="214">
        <v>604</v>
      </c>
      <c r="C1327" s="106" t="str">
        <f>IF(ISNA(VLOOKUP(Tableau13[[#This Row],[Code machine]],'CODE mchn'!$A$4:$C$170,2,0)),"",VLOOKUP(Tableau13[[#This Row],[Code machine]],'CODE mchn'!$A$4:$C$170,2,0))</f>
        <v>Acier</v>
      </c>
      <c r="D1327" s="36" t="str">
        <f>IF(ISNA(VLOOKUP(Tableau13[[#This Row],[Code machine]],'CODE mchn'!$A$4:$C$170,3,0)),"",VLOOKUP(Tableau13[[#This Row],[Code machine]],'CODE mchn'!$A$4:$C$170,3,0))</f>
        <v>TI</v>
      </c>
      <c r="E1327" s="105"/>
      <c r="F1327" s="36" t="s">
        <v>2277</v>
      </c>
      <c r="G1327" s="61" t="s">
        <v>10</v>
      </c>
      <c r="H1327" s="61" t="s">
        <v>2354</v>
      </c>
      <c r="I1327" s="61" t="s">
        <v>13</v>
      </c>
      <c r="J1327" s="250" t="s">
        <v>2312</v>
      </c>
      <c r="K1327" s="215">
        <v>44259</v>
      </c>
      <c r="L1327" s="61"/>
      <c r="M1327" s="216">
        <v>45</v>
      </c>
      <c r="N1327" s="198">
        <f>MONTH(Tableau13[[#This Row],[Date fin intervention]])</f>
        <v>3</v>
      </c>
      <c r="O1327" s="108">
        <f>YEAR(Tableau13[[#This Row],[Date fin intervention]])</f>
        <v>2021</v>
      </c>
      <c r="P1327" s="61"/>
    </row>
    <row r="1328" spans="1:16">
      <c r="A1328" s="213">
        <v>44259</v>
      </c>
      <c r="B1328" s="214">
        <v>573</v>
      </c>
      <c r="C1328" s="106" t="str">
        <f>IF(ISNA(VLOOKUP(Tableau13[[#This Row],[Code machine]],'CODE mchn'!$A$4:$C$170,2,0)),"",VLOOKUP(Tableau13[[#This Row],[Code machine]],'CODE mchn'!$A$4:$C$170,2,0))</f>
        <v>Ponts roulants</v>
      </c>
      <c r="D1328" s="36" t="str">
        <f>IF(ISNA(VLOOKUP(Tableau13[[#This Row],[Code machine]],'CODE mchn'!$A$4:$C$170,3,0)),"",VLOOKUP(Tableau13[[#This Row],[Code machine]],'CODE mchn'!$A$4:$C$170,3,0))</f>
        <v xml:space="preserve">Pont roulant Demag 1 3,5T </v>
      </c>
      <c r="E1328" s="105"/>
      <c r="F1328" s="36" t="s">
        <v>2277</v>
      </c>
      <c r="G1328" s="61" t="s">
        <v>1294</v>
      </c>
      <c r="H1328" s="61" t="s">
        <v>2355</v>
      </c>
      <c r="I1328" s="61" t="s">
        <v>13</v>
      </c>
      <c r="J1328" s="250" t="s">
        <v>2313</v>
      </c>
      <c r="K1328" s="215">
        <v>44259</v>
      </c>
      <c r="L1328" s="61"/>
      <c r="M1328" s="216">
        <v>60</v>
      </c>
      <c r="N1328" s="198">
        <f>MONTH(Tableau13[[#This Row],[Date fin intervention]])</f>
        <v>3</v>
      </c>
      <c r="O1328" s="108">
        <f>YEAR(Tableau13[[#This Row],[Date fin intervention]])</f>
        <v>2021</v>
      </c>
      <c r="P1328" s="61"/>
    </row>
    <row r="1329" spans="1:16">
      <c r="A1329" s="213">
        <v>44259</v>
      </c>
      <c r="B1329" s="214">
        <v>570</v>
      </c>
      <c r="C1329" s="106" t="str">
        <f>IF(ISNA(VLOOKUP(Tableau13[[#This Row],[Code machine]],'CODE mchn'!$A$4:$C$170,2,0)),"",VLOOKUP(Tableau13[[#This Row],[Code machine]],'CODE mchn'!$A$4:$C$170,2,0))</f>
        <v>Acier</v>
      </c>
      <c r="D1329" s="36" t="str">
        <f>IF(ISNA(VLOOKUP(Tableau13[[#This Row],[Code machine]],'CODE mchn'!$A$4:$C$170,3,0)),"",VLOOKUP(Tableau13[[#This Row],[Code machine]],'CODE mchn'!$A$4:$C$170,3,0))</f>
        <v>Sigmatic</v>
      </c>
      <c r="E1329" s="105"/>
      <c r="F1329" s="36" t="s">
        <v>2277</v>
      </c>
      <c r="G1329" s="61" t="s">
        <v>664</v>
      </c>
      <c r="H1329" s="61" t="s">
        <v>2356</v>
      </c>
      <c r="I1329" s="61" t="s">
        <v>13</v>
      </c>
      <c r="J1329" s="250" t="s">
        <v>2239</v>
      </c>
      <c r="K1329" s="215">
        <v>44259</v>
      </c>
      <c r="L1329" s="61"/>
      <c r="M1329" s="216">
        <v>60</v>
      </c>
      <c r="N1329" s="198">
        <f>MONTH(Tableau13[[#This Row],[Date fin intervention]])</f>
        <v>3</v>
      </c>
      <c r="O1329" s="108">
        <f>YEAR(Tableau13[[#This Row],[Date fin intervention]])</f>
        <v>2021</v>
      </c>
      <c r="P1329" s="61"/>
    </row>
    <row r="1330" spans="1:16">
      <c r="A1330" s="213">
        <v>44259</v>
      </c>
      <c r="B1330" s="214">
        <v>560</v>
      </c>
      <c r="C1330" s="106" t="str">
        <f>IF(ISNA(VLOOKUP(Tableau13[[#This Row],[Code machine]],'CODE mchn'!$A$4:$C$170,2,0)),"",VLOOKUP(Tableau13[[#This Row],[Code machine]],'CODE mchn'!$A$4:$C$170,2,0))</f>
        <v>Acier</v>
      </c>
      <c r="D1330" s="36" t="str">
        <f>IF(ISNA(VLOOKUP(Tableau13[[#This Row],[Code machine]],'CODE mchn'!$A$4:$C$170,3,0)),"",VLOOKUP(Tableau13[[#This Row],[Code machine]],'CODE mchn'!$A$4:$C$170,3,0))</f>
        <v>Schlatter</v>
      </c>
      <c r="E1330" s="105"/>
      <c r="F1330" s="36" t="s">
        <v>2277</v>
      </c>
      <c r="G1330" s="61" t="s">
        <v>463</v>
      </c>
      <c r="H1330" s="61" t="s">
        <v>2357</v>
      </c>
      <c r="I1330" s="61" t="s">
        <v>13</v>
      </c>
      <c r="J1330" s="250" t="s">
        <v>2314</v>
      </c>
      <c r="K1330" s="215">
        <v>44259</v>
      </c>
      <c r="L1330" s="61"/>
      <c r="M1330" s="216">
        <v>45</v>
      </c>
      <c r="N1330" s="198">
        <f>MONTH(Tableau13[[#This Row],[Date fin intervention]])</f>
        <v>3</v>
      </c>
      <c r="O1330" s="108">
        <f>YEAR(Tableau13[[#This Row],[Date fin intervention]])</f>
        <v>2021</v>
      </c>
      <c r="P1330" s="61"/>
    </row>
    <row r="1331" spans="1:16">
      <c r="A1331" s="213">
        <v>44260</v>
      </c>
      <c r="B1331" s="214">
        <v>800</v>
      </c>
      <c r="C1331" s="106" t="str">
        <f>IF(ISNA(VLOOKUP(Tableau13[[#This Row],[Code machine]],'CODE mchn'!$A$4:$C$170,2,0)),"",VLOOKUP(Tableau13[[#This Row],[Code machine]],'CODE mchn'!$A$4:$C$170,2,0))</f>
        <v>Béton</v>
      </c>
      <c r="D1331" s="36" t="str">
        <f>IF(ISNA(VLOOKUP(Tableau13[[#This Row],[Code machine]],'CODE mchn'!$A$4:$C$170,3,0)),"",VLOOKUP(Tableau13[[#This Row],[Code machine]],'CODE mchn'!$A$4:$C$170,3,0))</f>
        <v>Poyatos 2</v>
      </c>
      <c r="E1331" s="105"/>
      <c r="F1331" s="36" t="s">
        <v>2277</v>
      </c>
      <c r="G1331" s="61" t="s">
        <v>2315</v>
      </c>
      <c r="H1331" s="61" t="s">
        <v>2358</v>
      </c>
      <c r="I1331" s="61" t="s">
        <v>13</v>
      </c>
      <c r="J1331" s="250" t="s">
        <v>2316</v>
      </c>
      <c r="K1331" s="215">
        <v>44260</v>
      </c>
      <c r="L1331" s="61"/>
      <c r="M1331" s="216">
        <v>45</v>
      </c>
      <c r="N1331" s="198">
        <f>MONTH(Tableau13[[#This Row],[Date fin intervention]])</f>
        <v>3</v>
      </c>
      <c r="O1331" s="108">
        <f>YEAR(Tableau13[[#This Row],[Date fin intervention]])</f>
        <v>2021</v>
      </c>
      <c r="P1331" s="61"/>
    </row>
    <row r="1332" spans="1:16">
      <c r="A1332" s="213">
        <v>44260</v>
      </c>
      <c r="B1332" s="214">
        <v>571</v>
      </c>
      <c r="C1332" s="106" t="str">
        <f>IF(ISNA(VLOOKUP(Tableau13[[#This Row],[Code machine]],'CODE mchn'!$A$4:$C$170,2,0)),"",VLOOKUP(Tableau13[[#This Row],[Code machine]],'CODE mchn'!$A$4:$C$170,2,0))</f>
        <v>Acier</v>
      </c>
      <c r="D1332" s="36" t="str">
        <f>IF(ISNA(VLOOKUP(Tableau13[[#This Row],[Code machine]],'CODE mchn'!$A$4:$C$170,3,0)),"",VLOOKUP(Tableau13[[#This Row],[Code machine]],'CODE mchn'!$A$4:$C$170,3,0))</f>
        <v>EVG PN 1</v>
      </c>
      <c r="E1332" s="105"/>
      <c r="F1332" s="36" t="s">
        <v>2277</v>
      </c>
      <c r="G1332" s="61" t="s">
        <v>10</v>
      </c>
      <c r="H1332" s="61" t="s">
        <v>2359</v>
      </c>
      <c r="I1332" s="61" t="s">
        <v>13</v>
      </c>
      <c r="J1332" s="250" t="s">
        <v>2317</v>
      </c>
      <c r="K1332" s="215">
        <v>44260</v>
      </c>
      <c r="L1332" s="61"/>
      <c r="M1332" s="216">
        <v>30</v>
      </c>
      <c r="N1332" s="198">
        <f>MONTH(Tableau13[[#This Row],[Date fin intervention]])</f>
        <v>3</v>
      </c>
      <c r="O1332" s="108">
        <f>YEAR(Tableau13[[#This Row],[Date fin intervention]])</f>
        <v>2021</v>
      </c>
      <c r="P1332" s="61"/>
    </row>
    <row r="1333" spans="1:16">
      <c r="A1333" s="213">
        <v>44260</v>
      </c>
      <c r="B1333" s="214">
        <v>582</v>
      </c>
      <c r="C1333" s="106" t="str">
        <f>IF(ISNA(VLOOKUP(Tableau13[[#This Row],[Code machine]],'CODE mchn'!$A$4:$C$170,2,0)),"",VLOOKUP(Tableau13[[#This Row],[Code machine]],'CODE mchn'!$A$4:$C$170,2,0))</f>
        <v>Acier</v>
      </c>
      <c r="D1333" s="36" t="str">
        <f>IF(ISNA(VLOOKUP(Tableau13[[#This Row],[Code machine]],'CODE mchn'!$A$4:$C$170,3,0)),"",VLOOKUP(Tableau13[[#This Row],[Code machine]],'CODE mchn'!$A$4:$C$170,3,0))</f>
        <v>Teurema 2</v>
      </c>
      <c r="E1333" s="105"/>
      <c r="F1333" s="36" t="s">
        <v>2277</v>
      </c>
      <c r="G1333" s="61" t="s">
        <v>161</v>
      </c>
      <c r="H1333" s="61" t="s">
        <v>1037</v>
      </c>
      <c r="I1333" s="61" t="s">
        <v>13</v>
      </c>
      <c r="J1333" s="250" t="s">
        <v>1983</v>
      </c>
      <c r="K1333" s="215">
        <v>44260</v>
      </c>
      <c r="L1333" s="61"/>
      <c r="M1333" s="216">
        <v>20</v>
      </c>
      <c r="N1333" s="198">
        <f>MONTH(Tableau13[[#This Row],[Date fin intervention]])</f>
        <v>3</v>
      </c>
      <c r="O1333" s="108">
        <f>YEAR(Tableau13[[#This Row],[Date fin intervention]])</f>
        <v>2021</v>
      </c>
      <c r="P1333" s="61"/>
    </row>
    <row r="1334" spans="1:16">
      <c r="A1334" s="213">
        <v>44261</v>
      </c>
      <c r="B1334" s="214">
        <v>581</v>
      </c>
      <c r="C1334" s="106" t="str">
        <f>IF(ISNA(VLOOKUP(Tableau13[[#This Row],[Code machine]],'CODE mchn'!$A$4:$C$170,2,0)),"",VLOOKUP(Tableau13[[#This Row],[Code machine]],'CODE mchn'!$A$4:$C$170,2,0))</f>
        <v>Acier</v>
      </c>
      <c r="D1334" s="36" t="str">
        <f>IF(ISNA(VLOOKUP(Tableau13[[#This Row],[Code machine]],'CODE mchn'!$A$4:$C$170,3,0)),"",VLOOKUP(Tableau13[[#This Row],[Code machine]],'CODE mchn'!$A$4:$C$170,3,0))</f>
        <v>Teurema 1</v>
      </c>
      <c r="E1334" s="105"/>
      <c r="F1334" s="36" t="s">
        <v>2276</v>
      </c>
      <c r="G1334" s="61" t="s">
        <v>2360</v>
      </c>
      <c r="H1334" s="61" t="s">
        <v>2318</v>
      </c>
      <c r="I1334" s="61" t="s">
        <v>13</v>
      </c>
      <c r="J1334" s="250" t="s">
        <v>2319</v>
      </c>
      <c r="K1334" s="215">
        <v>44261</v>
      </c>
      <c r="L1334" s="61"/>
      <c r="M1334" s="216">
        <v>15</v>
      </c>
      <c r="N1334" s="198">
        <f>MONTH(Tableau13[[#This Row],[Date fin intervention]])</f>
        <v>3</v>
      </c>
      <c r="O1334" s="108">
        <f>YEAR(Tableau13[[#This Row],[Date fin intervention]])</f>
        <v>2021</v>
      </c>
      <c r="P1334" s="61"/>
    </row>
    <row r="1335" spans="1:16">
      <c r="A1335" s="213">
        <v>44261</v>
      </c>
      <c r="B1335" s="214">
        <v>570</v>
      </c>
      <c r="C1335" s="106" t="str">
        <f>IF(ISNA(VLOOKUP(Tableau13[[#This Row],[Code machine]],'CODE mchn'!$A$4:$C$170,2,0)),"",VLOOKUP(Tableau13[[#This Row],[Code machine]],'CODE mchn'!$A$4:$C$170,2,0))</f>
        <v>Acier</v>
      </c>
      <c r="D1335" s="36" t="str">
        <f>IF(ISNA(VLOOKUP(Tableau13[[#This Row],[Code machine]],'CODE mchn'!$A$4:$C$170,3,0)),"",VLOOKUP(Tableau13[[#This Row],[Code machine]],'CODE mchn'!$A$4:$C$170,3,0))</f>
        <v>Sigmatic</v>
      </c>
      <c r="E1335" s="105"/>
      <c r="F1335" s="36" t="s">
        <v>2277</v>
      </c>
      <c r="G1335" s="61" t="s">
        <v>664</v>
      </c>
      <c r="H1335" s="61" t="s">
        <v>2362</v>
      </c>
      <c r="I1335" s="61" t="s">
        <v>13</v>
      </c>
      <c r="J1335" s="250" t="s">
        <v>2320</v>
      </c>
      <c r="K1335" s="215">
        <v>44261</v>
      </c>
      <c r="L1335" s="61"/>
      <c r="M1335" s="216">
        <v>60</v>
      </c>
      <c r="N1335" s="198">
        <f>MONTH(Tableau13[[#This Row],[Date fin intervention]])</f>
        <v>3</v>
      </c>
      <c r="O1335" s="108">
        <f>YEAR(Tableau13[[#This Row],[Date fin intervention]])</f>
        <v>2021</v>
      </c>
      <c r="P1335" s="61"/>
    </row>
    <row r="1336" spans="1:16">
      <c r="A1336" s="213">
        <v>44261</v>
      </c>
      <c r="B1336" s="214">
        <v>800</v>
      </c>
      <c r="C1336" s="106" t="str">
        <f>IF(ISNA(VLOOKUP(Tableau13[[#This Row],[Code machine]],'CODE mchn'!$A$4:$C$170,2,0)),"",VLOOKUP(Tableau13[[#This Row],[Code machine]],'CODE mchn'!$A$4:$C$170,2,0))</f>
        <v>Béton</v>
      </c>
      <c r="D1336" s="36" t="str">
        <f>IF(ISNA(VLOOKUP(Tableau13[[#This Row],[Code machine]],'CODE mchn'!$A$4:$C$170,3,0)),"",VLOOKUP(Tableau13[[#This Row],[Code machine]],'CODE mchn'!$A$4:$C$170,3,0))</f>
        <v>Poyatos 2</v>
      </c>
      <c r="E1336" s="105"/>
      <c r="F1336" s="36" t="s">
        <v>2276</v>
      </c>
      <c r="G1336" s="61" t="s">
        <v>20</v>
      </c>
      <c r="H1336" s="61" t="s">
        <v>1971</v>
      </c>
      <c r="I1336" s="61" t="s">
        <v>13</v>
      </c>
      <c r="J1336" s="250" t="s">
        <v>2321</v>
      </c>
      <c r="K1336" s="215">
        <v>44261</v>
      </c>
      <c r="L1336" s="61"/>
      <c r="M1336" s="216">
        <v>20</v>
      </c>
      <c r="N1336" s="198">
        <f>MONTH(Tableau13[[#This Row],[Date fin intervention]])</f>
        <v>3</v>
      </c>
      <c r="O1336" s="108">
        <f>YEAR(Tableau13[[#This Row],[Date fin intervention]])</f>
        <v>2021</v>
      </c>
      <c r="P1336" s="61"/>
    </row>
    <row r="1337" spans="1:16">
      <c r="A1337" s="213">
        <v>44261</v>
      </c>
      <c r="B1337" s="214">
        <v>533</v>
      </c>
      <c r="C1337" s="106" t="str">
        <f>IF(ISNA(VLOOKUP(Tableau13[[#This Row],[Code machine]],'CODE mchn'!$A$4:$C$170,2,0)),"",VLOOKUP(Tableau13[[#This Row],[Code machine]],'CODE mchn'!$A$4:$C$170,2,0))</f>
        <v>Enrobage</v>
      </c>
      <c r="D1337" s="36" t="str">
        <f>IF(ISNA(VLOOKUP(Tableau13[[#This Row],[Code machine]],'CODE mchn'!$A$4:$C$170,3,0)),"",VLOOKUP(Tableau13[[#This Row],[Code machine]],'CODE mchn'!$A$4:$C$170,3,0))</f>
        <v>CAROSSEL</v>
      </c>
      <c r="E1337" s="105"/>
      <c r="F1337" s="36" t="s">
        <v>2277</v>
      </c>
      <c r="G1337" s="61" t="s">
        <v>31</v>
      </c>
      <c r="H1337" s="61" t="s">
        <v>2322</v>
      </c>
      <c r="I1337" s="61" t="s">
        <v>13</v>
      </c>
      <c r="J1337" s="250" t="s">
        <v>2323</v>
      </c>
      <c r="K1337" s="215">
        <v>44261</v>
      </c>
      <c r="L1337" s="61"/>
      <c r="M1337" s="216">
        <v>30</v>
      </c>
      <c r="N1337" s="198">
        <f>MONTH(Tableau13[[#This Row],[Date fin intervention]])</f>
        <v>3</v>
      </c>
      <c r="O1337" s="108">
        <f>YEAR(Tableau13[[#This Row],[Date fin intervention]])</f>
        <v>2021</v>
      </c>
      <c r="P1337" s="61"/>
    </row>
    <row r="1338" spans="1:16" ht="28.5">
      <c r="A1338" s="213">
        <v>44261</v>
      </c>
      <c r="B1338" s="214">
        <v>533</v>
      </c>
      <c r="C1338" s="106" t="str">
        <f>IF(ISNA(VLOOKUP(Tableau13[[#This Row],[Code machine]],'CODE mchn'!$A$4:$C$170,2,0)),"",VLOOKUP(Tableau13[[#This Row],[Code machine]],'CODE mchn'!$A$4:$C$170,2,0))</f>
        <v>Enrobage</v>
      </c>
      <c r="D1338" s="36" t="str">
        <f>IF(ISNA(VLOOKUP(Tableau13[[#This Row],[Code machine]],'CODE mchn'!$A$4:$C$170,3,0)),"",VLOOKUP(Tableau13[[#This Row],[Code machine]],'CODE mchn'!$A$4:$C$170,3,0))</f>
        <v>CAROSSEL</v>
      </c>
      <c r="E1338" s="105"/>
      <c r="F1338" s="36" t="s">
        <v>2277</v>
      </c>
      <c r="G1338" s="61" t="s">
        <v>2297</v>
      </c>
      <c r="H1338" s="61" t="s">
        <v>1708</v>
      </c>
      <c r="I1338" s="61" t="s">
        <v>13</v>
      </c>
      <c r="J1338" s="250" t="s">
        <v>2237</v>
      </c>
      <c r="K1338" s="215">
        <v>44261</v>
      </c>
      <c r="L1338" s="61"/>
      <c r="M1338" s="216">
        <v>20</v>
      </c>
      <c r="N1338" s="198">
        <f>MONTH(Tableau13[[#This Row],[Date fin intervention]])</f>
        <v>3</v>
      </c>
      <c r="O1338" s="108">
        <f>YEAR(Tableau13[[#This Row],[Date fin intervention]])</f>
        <v>2021</v>
      </c>
      <c r="P1338" s="61"/>
    </row>
    <row r="1339" spans="1:16">
      <c r="A1339" s="213">
        <v>44261</v>
      </c>
      <c r="B1339" s="214">
        <v>800</v>
      </c>
      <c r="C1339" s="106" t="str">
        <f>IF(ISNA(VLOOKUP(Tableau13[[#This Row],[Code machine]],'CODE mchn'!$A$4:$C$170,2,0)),"",VLOOKUP(Tableau13[[#This Row],[Code machine]],'CODE mchn'!$A$4:$C$170,2,0))</f>
        <v>Béton</v>
      </c>
      <c r="D1339" s="36" t="str">
        <f>IF(ISNA(VLOOKUP(Tableau13[[#This Row],[Code machine]],'CODE mchn'!$A$4:$C$170,3,0)),"",VLOOKUP(Tableau13[[#This Row],[Code machine]],'CODE mchn'!$A$4:$C$170,3,0))</f>
        <v>Poyatos 2</v>
      </c>
      <c r="E1339" s="105"/>
      <c r="F1339" s="36" t="s">
        <v>2277</v>
      </c>
      <c r="G1339" s="61" t="s">
        <v>110</v>
      </c>
      <c r="H1339" s="61" t="s">
        <v>2324</v>
      </c>
      <c r="I1339" s="61" t="s">
        <v>13</v>
      </c>
      <c r="J1339" s="250" t="s">
        <v>2325</v>
      </c>
      <c r="K1339" s="215">
        <v>44261</v>
      </c>
      <c r="L1339" s="61"/>
      <c r="M1339" s="216">
        <v>20</v>
      </c>
      <c r="N1339" s="198">
        <f>MONTH(Tableau13[[#This Row],[Date fin intervention]])</f>
        <v>3</v>
      </c>
      <c r="O1339" s="108">
        <f>YEAR(Tableau13[[#This Row],[Date fin intervention]])</f>
        <v>2021</v>
      </c>
      <c r="P1339" s="61"/>
    </row>
    <row r="1340" spans="1:16">
      <c r="A1340" s="213">
        <v>44263</v>
      </c>
      <c r="B1340" s="214">
        <v>700</v>
      </c>
      <c r="C1340" s="106" t="str">
        <f>IF(ISNA(VLOOKUP(Tableau13[[#This Row],[Code machine]],'CODE mchn'!$A$4:$C$170,2,0)),"",VLOOKUP(Tableau13[[#This Row],[Code machine]],'CODE mchn'!$A$4:$C$170,2,0))</f>
        <v>Béton</v>
      </c>
      <c r="D1340" s="36" t="str">
        <f>IF(ISNA(VLOOKUP(Tableau13[[#This Row],[Code machine]],'CODE mchn'!$A$4:$C$170,3,0)),"",VLOOKUP(Tableau13[[#This Row],[Code machine]],'CODE mchn'!$A$4:$C$170,3,0))</f>
        <v>Poyatos 1</v>
      </c>
      <c r="E1340" s="105"/>
      <c r="F1340" s="36" t="s">
        <v>2277</v>
      </c>
      <c r="G1340" s="61" t="s">
        <v>291</v>
      </c>
      <c r="H1340" s="61" t="s">
        <v>1708</v>
      </c>
      <c r="I1340" s="61" t="s">
        <v>13</v>
      </c>
      <c r="J1340" s="250" t="s">
        <v>2237</v>
      </c>
      <c r="K1340" s="215">
        <v>44263</v>
      </c>
      <c r="L1340" s="61"/>
      <c r="M1340" s="216">
        <v>30</v>
      </c>
      <c r="N1340" s="198">
        <f>MONTH(Tableau13[[#This Row],[Date fin intervention]])</f>
        <v>3</v>
      </c>
      <c r="O1340" s="108">
        <f>YEAR(Tableau13[[#This Row],[Date fin intervention]])</f>
        <v>2021</v>
      </c>
      <c r="P1340" s="61"/>
    </row>
    <row r="1341" spans="1:16">
      <c r="A1341" s="213">
        <v>44263</v>
      </c>
      <c r="B1341" s="214">
        <v>580</v>
      </c>
      <c r="C1341" s="106" t="str">
        <f>IF(ISNA(VLOOKUP(Tableau13[[#This Row],[Code machine]],'CODE mchn'!$A$4:$C$170,2,0)),"",VLOOKUP(Tableau13[[#This Row],[Code machine]],'CODE mchn'!$A$4:$C$170,2,0))</f>
        <v>Acier</v>
      </c>
      <c r="D1341" s="36" t="str">
        <f>IF(ISNA(VLOOKUP(Tableau13[[#This Row],[Code machine]],'CODE mchn'!$A$4:$C$170,3,0)),"",VLOOKUP(Tableau13[[#This Row],[Code machine]],'CODE mchn'!$A$4:$C$170,3,0))</f>
        <v>Techno Impiante</v>
      </c>
      <c r="E1341" s="105"/>
      <c r="F1341" s="36" t="s">
        <v>2277</v>
      </c>
      <c r="G1341" s="61" t="s">
        <v>55</v>
      </c>
      <c r="H1341" s="61" t="s">
        <v>2364</v>
      </c>
      <c r="I1341" s="61" t="s">
        <v>13</v>
      </c>
      <c r="J1341" s="250" t="s">
        <v>2326</v>
      </c>
      <c r="K1341" s="215">
        <v>44263</v>
      </c>
      <c r="L1341" s="61"/>
      <c r="M1341" s="216">
        <f>3*60</f>
        <v>180</v>
      </c>
      <c r="N1341" s="198">
        <f>MONTH(Tableau13[[#This Row],[Date fin intervention]])</f>
        <v>3</v>
      </c>
      <c r="O1341" s="108">
        <f>YEAR(Tableau13[[#This Row],[Date fin intervention]])</f>
        <v>2021</v>
      </c>
      <c r="P1341" s="61"/>
    </row>
    <row r="1342" spans="1:16">
      <c r="A1342" s="213">
        <v>44263</v>
      </c>
      <c r="B1342" s="214">
        <v>581</v>
      </c>
      <c r="C1342" s="106" t="str">
        <f>IF(ISNA(VLOOKUP(Tableau13[[#This Row],[Code machine]],'CODE mchn'!$A$4:$C$170,2,0)),"",VLOOKUP(Tableau13[[#This Row],[Code machine]],'CODE mchn'!$A$4:$C$170,2,0))</f>
        <v>Acier</v>
      </c>
      <c r="D1342" s="36" t="str">
        <f>IF(ISNA(VLOOKUP(Tableau13[[#This Row],[Code machine]],'CODE mchn'!$A$4:$C$170,3,0)),"",VLOOKUP(Tableau13[[#This Row],[Code machine]],'CODE mchn'!$A$4:$C$170,3,0))</f>
        <v>Teurema 1</v>
      </c>
      <c r="E1342" s="105"/>
      <c r="F1342" s="36" t="s">
        <v>2276</v>
      </c>
      <c r="G1342" s="61" t="s">
        <v>2361</v>
      </c>
      <c r="H1342" s="61" t="s">
        <v>2226</v>
      </c>
      <c r="I1342" s="61" t="s">
        <v>13</v>
      </c>
      <c r="J1342" s="250" t="s">
        <v>2198</v>
      </c>
      <c r="K1342" s="215">
        <v>44263</v>
      </c>
      <c r="L1342" s="61"/>
      <c r="M1342" s="216">
        <v>120</v>
      </c>
      <c r="N1342" s="198">
        <f>MONTH(Tableau13[[#This Row],[Date fin intervention]])</f>
        <v>3</v>
      </c>
      <c r="O1342" s="108">
        <f>YEAR(Tableau13[[#This Row],[Date fin intervention]])</f>
        <v>2021</v>
      </c>
      <c r="P1342" s="61"/>
    </row>
    <row r="1343" spans="1:16">
      <c r="A1343" s="213">
        <v>44263</v>
      </c>
      <c r="B1343" s="214">
        <v>582</v>
      </c>
      <c r="C1343" s="106" t="str">
        <f>IF(ISNA(VLOOKUP(Tableau13[[#This Row],[Code machine]],'CODE mchn'!$A$4:$C$170,2,0)),"",VLOOKUP(Tableau13[[#This Row],[Code machine]],'CODE mchn'!$A$4:$C$170,2,0))</f>
        <v>Acier</v>
      </c>
      <c r="D1343" s="36" t="str">
        <f>IF(ISNA(VLOOKUP(Tableau13[[#This Row],[Code machine]],'CODE mchn'!$A$4:$C$170,3,0)),"",VLOOKUP(Tableau13[[#This Row],[Code machine]],'CODE mchn'!$A$4:$C$170,3,0))</f>
        <v>Teurema 2</v>
      </c>
      <c r="E1343" s="105"/>
      <c r="F1343" s="36" t="s">
        <v>2276</v>
      </c>
      <c r="G1343" s="61" t="s">
        <v>1653</v>
      </c>
      <c r="H1343" s="61" t="s">
        <v>2327</v>
      </c>
      <c r="I1343" s="61" t="s">
        <v>13</v>
      </c>
      <c r="J1343" s="250" t="s">
        <v>2328</v>
      </c>
      <c r="K1343" s="215">
        <v>44263</v>
      </c>
      <c r="L1343" s="61"/>
      <c r="M1343" s="216">
        <v>20</v>
      </c>
      <c r="N1343" s="198">
        <f>MONTH(Tableau13[[#This Row],[Date fin intervention]])</f>
        <v>3</v>
      </c>
      <c r="O1343" s="108">
        <f>YEAR(Tableau13[[#This Row],[Date fin intervention]])</f>
        <v>2021</v>
      </c>
      <c r="P1343" s="61"/>
    </row>
    <row r="1344" spans="1:16">
      <c r="A1344" s="213">
        <v>44264</v>
      </c>
      <c r="B1344" s="214">
        <v>582</v>
      </c>
      <c r="C1344" s="106" t="str">
        <f>IF(ISNA(VLOOKUP(Tableau13[[#This Row],[Code machine]],'CODE mchn'!$A$4:$C$170,2,0)),"",VLOOKUP(Tableau13[[#This Row],[Code machine]],'CODE mchn'!$A$4:$C$170,2,0))</f>
        <v>Acier</v>
      </c>
      <c r="D1344" s="36" t="str">
        <f>IF(ISNA(VLOOKUP(Tableau13[[#This Row],[Code machine]],'CODE mchn'!$A$4:$C$170,3,0)),"",VLOOKUP(Tableau13[[#This Row],[Code machine]],'CODE mchn'!$A$4:$C$170,3,0))</f>
        <v>Teurema 2</v>
      </c>
      <c r="E1344" s="105"/>
      <c r="F1344" s="36" t="s">
        <v>2276</v>
      </c>
      <c r="G1344" s="61" t="s">
        <v>2365</v>
      </c>
      <c r="H1344" s="61" t="s">
        <v>2329</v>
      </c>
      <c r="I1344" s="61" t="s">
        <v>13</v>
      </c>
      <c r="J1344" s="250" t="s">
        <v>2330</v>
      </c>
      <c r="K1344" s="215">
        <v>44263</v>
      </c>
      <c r="L1344" s="61"/>
      <c r="M1344" s="216">
        <v>120</v>
      </c>
      <c r="N1344" s="198">
        <f>MONTH(Tableau13[[#This Row],[Date fin intervention]])</f>
        <v>3</v>
      </c>
      <c r="O1344" s="108">
        <f>YEAR(Tableau13[[#This Row],[Date fin intervention]])</f>
        <v>2021</v>
      </c>
      <c r="P1344" s="61"/>
    </row>
    <row r="1345" spans="1:16">
      <c r="A1345" s="213">
        <v>44264</v>
      </c>
      <c r="B1345" s="214">
        <v>571</v>
      </c>
      <c r="C1345" s="106" t="str">
        <f>IF(ISNA(VLOOKUP(Tableau13[[#This Row],[Code machine]],'CODE mchn'!$A$4:$C$170,2,0)),"",VLOOKUP(Tableau13[[#This Row],[Code machine]],'CODE mchn'!$A$4:$C$170,2,0))</f>
        <v>Acier</v>
      </c>
      <c r="D1345" s="36" t="str">
        <f>IF(ISNA(VLOOKUP(Tableau13[[#This Row],[Code machine]],'CODE mchn'!$A$4:$C$170,3,0)),"",VLOOKUP(Tableau13[[#This Row],[Code machine]],'CODE mchn'!$A$4:$C$170,3,0))</f>
        <v>EVG PN 1</v>
      </c>
      <c r="E1345" s="105"/>
      <c r="F1345" s="36" t="s">
        <v>2277</v>
      </c>
      <c r="G1345" s="61" t="s">
        <v>78</v>
      </c>
      <c r="H1345" s="61" t="s">
        <v>1697</v>
      </c>
      <c r="I1345" s="61" t="s">
        <v>13</v>
      </c>
      <c r="J1345" s="250" t="s">
        <v>2331</v>
      </c>
      <c r="K1345" s="215">
        <v>44264</v>
      </c>
      <c r="L1345" s="61"/>
      <c r="M1345" s="216">
        <v>60</v>
      </c>
      <c r="N1345" s="198">
        <f>MONTH(Tableau13[[#This Row],[Date fin intervention]])</f>
        <v>3</v>
      </c>
      <c r="O1345" s="108">
        <f>YEAR(Tableau13[[#This Row],[Date fin intervention]])</f>
        <v>2021</v>
      </c>
      <c r="P1345" s="61"/>
    </row>
    <row r="1346" spans="1:16">
      <c r="A1346" s="213">
        <v>44264</v>
      </c>
      <c r="B1346" s="214">
        <v>700</v>
      </c>
      <c r="C1346" s="106" t="str">
        <f>IF(ISNA(VLOOKUP(Tableau13[[#This Row],[Code machine]],'CODE mchn'!$A$4:$C$170,2,0)),"",VLOOKUP(Tableau13[[#This Row],[Code machine]],'CODE mchn'!$A$4:$C$170,2,0))</f>
        <v>Béton</v>
      </c>
      <c r="D1346" s="36" t="str">
        <f>IF(ISNA(VLOOKUP(Tableau13[[#This Row],[Code machine]],'CODE mchn'!$A$4:$C$170,3,0)),"",VLOOKUP(Tableau13[[#This Row],[Code machine]],'CODE mchn'!$A$4:$C$170,3,0))</f>
        <v>Poyatos 1</v>
      </c>
      <c r="E1346" s="105"/>
      <c r="F1346" s="36" t="s">
        <v>2277</v>
      </c>
      <c r="G1346" s="61" t="s">
        <v>110</v>
      </c>
      <c r="H1346" s="61" t="s">
        <v>2332</v>
      </c>
      <c r="I1346" s="61" t="s">
        <v>13</v>
      </c>
      <c r="J1346" s="250" t="s">
        <v>2333</v>
      </c>
      <c r="K1346" s="215">
        <v>44264</v>
      </c>
      <c r="L1346" s="61"/>
      <c r="M1346" s="216">
        <v>60</v>
      </c>
      <c r="N1346" s="198">
        <f>MONTH(Tableau13[[#This Row],[Date fin intervention]])</f>
        <v>3</v>
      </c>
      <c r="O1346" s="108">
        <f>YEAR(Tableau13[[#This Row],[Date fin intervention]])</f>
        <v>2021</v>
      </c>
      <c r="P1346" s="61"/>
    </row>
    <row r="1347" spans="1:16">
      <c r="A1347" s="213">
        <v>44264</v>
      </c>
      <c r="B1347" s="214">
        <v>700</v>
      </c>
      <c r="C1347" s="106" t="str">
        <f>IF(ISNA(VLOOKUP(Tableau13[[#This Row],[Code machine]],'CODE mchn'!$A$4:$C$170,2,0)),"",VLOOKUP(Tableau13[[#This Row],[Code machine]],'CODE mchn'!$A$4:$C$170,2,0))</f>
        <v>Béton</v>
      </c>
      <c r="D1347" s="36" t="str">
        <f>IF(ISNA(VLOOKUP(Tableau13[[#This Row],[Code machine]],'CODE mchn'!$A$4:$C$170,3,0)),"",VLOOKUP(Tableau13[[#This Row],[Code machine]],'CODE mchn'!$A$4:$C$170,3,0))</f>
        <v>Poyatos 1</v>
      </c>
      <c r="E1347" s="105"/>
      <c r="F1347" s="36" t="s">
        <v>2277</v>
      </c>
      <c r="G1347" s="61" t="s">
        <v>110</v>
      </c>
      <c r="H1347" s="61" t="s">
        <v>2332</v>
      </c>
      <c r="I1347" s="61" t="s">
        <v>13</v>
      </c>
      <c r="J1347" s="250" t="s">
        <v>2334</v>
      </c>
      <c r="K1347" s="215">
        <v>44264</v>
      </c>
      <c r="L1347" s="61"/>
      <c r="M1347" s="216">
        <v>10</v>
      </c>
      <c r="N1347" s="198">
        <f>MONTH(Tableau13[[#This Row],[Date fin intervention]])</f>
        <v>3</v>
      </c>
      <c r="O1347" s="108">
        <f>YEAR(Tableau13[[#This Row],[Date fin intervention]])</f>
        <v>2021</v>
      </c>
      <c r="P1347" s="61"/>
    </row>
    <row r="1348" spans="1:16">
      <c r="A1348" s="213">
        <v>44265</v>
      </c>
      <c r="B1348" s="214">
        <v>565</v>
      </c>
      <c r="C1348" s="106" t="str">
        <f>IF(ISNA(VLOOKUP(Tableau13[[#This Row],[Code machine]],'CODE mchn'!$A$4:$C$170,2,0)),"",VLOOKUP(Tableau13[[#This Row],[Code machine]],'CODE mchn'!$A$4:$C$170,2,0))</f>
        <v>Acier</v>
      </c>
      <c r="D1348" s="36" t="str">
        <f>IF(ISNA(VLOOKUP(Tableau13[[#This Row],[Code machine]],'CODE mchn'!$A$4:$C$170,3,0)),"",VLOOKUP(Tableau13[[#This Row],[Code machine]],'CODE mchn'!$A$4:$C$170,3,0))</f>
        <v>EVG GE12</v>
      </c>
      <c r="E1348" s="105"/>
      <c r="F1348" s="36" t="s">
        <v>2277</v>
      </c>
      <c r="G1348" s="61" t="s">
        <v>2243</v>
      </c>
      <c r="H1348" s="61" t="s">
        <v>2363</v>
      </c>
      <c r="I1348" s="61" t="s">
        <v>13</v>
      </c>
      <c r="J1348" s="250" t="s">
        <v>2335</v>
      </c>
      <c r="K1348" s="215">
        <v>44265</v>
      </c>
      <c r="L1348" s="61"/>
      <c r="M1348" s="216">
        <f>8*60</f>
        <v>480</v>
      </c>
      <c r="N1348" s="198">
        <f>MONTH(Tableau13[[#This Row],[Date fin intervention]])</f>
        <v>3</v>
      </c>
      <c r="O1348" s="108">
        <f>YEAR(Tableau13[[#This Row],[Date fin intervention]])</f>
        <v>2021</v>
      </c>
      <c r="P1348" s="61"/>
    </row>
    <row r="1349" spans="1:16">
      <c r="A1349" s="213">
        <v>44265</v>
      </c>
      <c r="B1349" s="214">
        <v>565</v>
      </c>
      <c r="C1349" s="106" t="str">
        <f>IF(ISNA(VLOOKUP(Tableau13[[#This Row],[Code machine]],'CODE mchn'!$A$4:$C$170,2,0)),"",VLOOKUP(Tableau13[[#This Row],[Code machine]],'CODE mchn'!$A$4:$C$170,2,0))</f>
        <v>Acier</v>
      </c>
      <c r="D1349" s="36" t="str">
        <f>IF(ISNA(VLOOKUP(Tableau13[[#This Row],[Code machine]],'CODE mchn'!$A$4:$C$170,3,0)),"",VLOOKUP(Tableau13[[#This Row],[Code machine]],'CODE mchn'!$A$4:$C$170,3,0))</f>
        <v>EVG GE12</v>
      </c>
      <c r="E1349" s="105"/>
      <c r="F1349" s="36" t="s">
        <v>2277</v>
      </c>
      <c r="G1349" s="61" t="s">
        <v>55</v>
      </c>
      <c r="H1349" s="61" t="s">
        <v>55</v>
      </c>
      <c r="I1349" s="61" t="s">
        <v>13</v>
      </c>
      <c r="J1349" s="250" t="s">
        <v>2336</v>
      </c>
      <c r="K1349" s="215">
        <v>44265</v>
      </c>
      <c r="L1349" s="61"/>
      <c r="M1349" s="216">
        <v>60</v>
      </c>
      <c r="N1349" s="198">
        <f>MONTH(Tableau13[[#This Row],[Date fin intervention]])</f>
        <v>3</v>
      </c>
      <c r="O1349" s="108">
        <f>YEAR(Tableau13[[#This Row],[Date fin intervention]])</f>
        <v>2021</v>
      </c>
      <c r="P1349" s="61"/>
    </row>
    <row r="1350" spans="1:16">
      <c r="A1350" s="213">
        <v>44265</v>
      </c>
      <c r="B1350" s="214">
        <v>800</v>
      </c>
      <c r="C1350" s="106" t="str">
        <f>IF(ISNA(VLOOKUP(Tableau13[[#This Row],[Code machine]],'CODE mchn'!$A$4:$C$170,2,0)),"",VLOOKUP(Tableau13[[#This Row],[Code machine]],'CODE mchn'!$A$4:$C$170,2,0))</f>
        <v>Béton</v>
      </c>
      <c r="D1350" s="36" t="str">
        <f>IF(ISNA(VLOOKUP(Tableau13[[#This Row],[Code machine]],'CODE mchn'!$A$4:$C$170,3,0)),"",VLOOKUP(Tableau13[[#This Row],[Code machine]],'CODE mchn'!$A$4:$C$170,3,0))</f>
        <v>Poyatos 2</v>
      </c>
      <c r="E1350" s="105"/>
      <c r="F1350" s="36" t="s">
        <v>2277</v>
      </c>
      <c r="G1350" s="61" t="s">
        <v>185</v>
      </c>
      <c r="H1350" s="61" t="s">
        <v>1704</v>
      </c>
      <c r="I1350" s="61" t="s">
        <v>13</v>
      </c>
      <c r="J1350" s="250" t="s">
        <v>2337</v>
      </c>
      <c r="K1350" s="215">
        <v>44265</v>
      </c>
      <c r="L1350" s="61"/>
      <c r="M1350" s="216">
        <v>30</v>
      </c>
      <c r="N1350" s="198">
        <f>MONTH(Tableau13[[#This Row],[Date fin intervention]])</f>
        <v>3</v>
      </c>
      <c r="O1350" s="108">
        <f>YEAR(Tableau13[[#This Row],[Date fin intervention]])</f>
        <v>2021</v>
      </c>
      <c r="P1350" s="61"/>
    </row>
    <row r="1351" spans="1:16">
      <c r="A1351" s="213">
        <v>44266</v>
      </c>
      <c r="B1351" s="214">
        <v>800</v>
      </c>
      <c r="C1351" s="106" t="str">
        <f>IF(ISNA(VLOOKUP(Tableau13[[#This Row],[Code machine]],'CODE mchn'!$A$4:$C$170,2,0)),"",VLOOKUP(Tableau13[[#This Row],[Code machine]],'CODE mchn'!$A$4:$C$170,2,0))</f>
        <v>Béton</v>
      </c>
      <c r="D1351" s="36" t="str">
        <f>IF(ISNA(VLOOKUP(Tableau13[[#This Row],[Code machine]],'CODE mchn'!$A$4:$C$170,3,0)),"",VLOOKUP(Tableau13[[#This Row],[Code machine]],'CODE mchn'!$A$4:$C$170,3,0))</f>
        <v>Poyatos 2</v>
      </c>
      <c r="E1351" s="105"/>
      <c r="F1351" s="36" t="s">
        <v>2276</v>
      </c>
      <c r="G1351" s="61" t="s">
        <v>185</v>
      </c>
      <c r="H1351" s="61" t="s">
        <v>2366</v>
      </c>
      <c r="I1351" s="61" t="s">
        <v>13</v>
      </c>
      <c r="J1351" s="250" t="s">
        <v>2338</v>
      </c>
      <c r="K1351" s="215">
        <v>44266</v>
      </c>
      <c r="L1351" s="61"/>
      <c r="M1351" s="216">
        <v>120</v>
      </c>
      <c r="N1351" s="198">
        <f>MONTH(Tableau13[[#This Row],[Date fin intervention]])</f>
        <v>3</v>
      </c>
      <c r="O1351" s="108">
        <f>YEAR(Tableau13[[#This Row],[Date fin intervention]])</f>
        <v>2021</v>
      </c>
      <c r="P1351" s="61"/>
    </row>
    <row r="1352" spans="1:16">
      <c r="A1352" s="213">
        <v>44266</v>
      </c>
      <c r="B1352" s="214">
        <v>800</v>
      </c>
      <c r="C1352" s="106" t="str">
        <f>IF(ISNA(VLOOKUP(Tableau13[[#This Row],[Code machine]],'CODE mchn'!$A$4:$C$170,2,0)),"",VLOOKUP(Tableau13[[#This Row],[Code machine]],'CODE mchn'!$A$4:$C$170,2,0))</f>
        <v>Béton</v>
      </c>
      <c r="D1352" s="36" t="str">
        <f>IF(ISNA(VLOOKUP(Tableau13[[#This Row],[Code machine]],'CODE mchn'!$A$4:$C$170,3,0)),"",VLOOKUP(Tableau13[[#This Row],[Code machine]],'CODE mchn'!$A$4:$C$170,3,0))</f>
        <v>Poyatos 2</v>
      </c>
      <c r="E1352" s="105"/>
      <c r="F1352" s="36" t="s">
        <v>2277</v>
      </c>
      <c r="G1352" s="61" t="s">
        <v>300</v>
      </c>
      <c r="H1352" s="61" t="s">
        <v>2367</v>
      </c>
      <c r="I1352" s="61" t="s">
        <v>13</v>
      </c>
      <c r="J1352" s="250" t="s">
        <v>2339</v>
      </c>
      <c r="K1352" s="215">
        <v>44266</v>
      </c>
      <c r="L1352" s="61"/>
      <c r="M1352" s="216">
        <v>120</v>
      </c>
      <c r="N1352" s="198">
        <f>MONTH(Tableau13[[#This Row],[Date fin intervention]])</f>
        <v>3</v>
      </c>
      <c r="O1352" s="108">
        <f>YEAR(Tableau13[[#This Row],[Date fin intervention]])</f>
        <v>2021</v>
      </c>
      <c r="P1352" s="61"/>
    </row>
    <row r="1353" spans="1:16">
      <c r="A1353" s="213">
        <v>44266</v>
      </c>
      <c r="B1353" s="214">
        <v>800</v>
      </c>
      <c r="C1353" s="106" t="str">
        <f>IF(ISNA(VLOOKUP(Tableau13[[#This Row],[Code machine]],'CODE mchn'!$A$4:$C$170,2,0)),"",VLOOKUP(Tableau13[[#This Row],[Code machine]],'CODE mchn'!$A$4:$C$170,2,0))</f>
        <v>Béton</v>
      </c>
      <c r="D1353" s="36" t="str">
        <f>IF(ISNA(VLOOKUP(Tableau13[[#This Row],[Code machine]],'CODE mchn'!$A$4:$C$170,3,0)),"",VLOOKUP(Tableau13[[#This Row],[Code machine]],'CODE mchn'!$A$4:$C$170,3,0))</f>
        <v>Poyatos 2</v>
      </c>
      <c r="E1353" s="105"/>
      <c r="F1353" s="36" t="s">
        <v>2277</v>
      </c>
      <c r="G1353" s="61" t="s">
        <v>213</v>
      </c>
      <c r="H1353" s="61" t="s">
        <v>1134</v>
      </c>
      <c r="I1353" s="61" t="s">
        <v>13</v>
      </c>
      <c r="J1353" s="250" t="s">
        <v>2340</v>
      </c>
      <c r="K1353" s="215">
        <v>44266</v>
      </c>
      <c r="L1353" s="61"/>
      <c r="M1353" s="216">
        <v>45</v>
      </c>
      <c r="N1353" s="198">
        <f>MONTH(Tableau13[[#This Row],[Date fin intervention]])</f>
        <v>3</v>
      </c>
      <c r="O1353" s="108">
        <f>YEAR(Tableau13[[#This Row],[Date fin intervention]])</f>
        <v>2021</v>
      </c>
      <c r="P1353" s="61"/>
    </row>
    <row r="1354" spans="1:16">
      <c r="A1354" s="213">
        <v>44266</v>
      </c>
      <c r="B1354" s="214">
        <v>581</v>
      </c>
      <c r="C1354" s="106" t="str">
        <f>IF(ISNA(VLOOKUP(Tableau13[[#This Row],[Code machine]],'CODE mchn'!$A$4:$C$170,2,0)),"",VLOOKUP(Tableau13[[#This Row],[Code machine]],'CODE mchn'!$A$4:$C$170,2,0))</f>
        <v>Acier</v>
      </c>
      <c r="D1354" s="36" t="str">
        <f>IF(ISNA(VLOOKUP(Tableau13[[#This Row],[Code machine]],'CODE mchn'!$A$4:$C$170,3,0)),"",VLOOKUP(Tableau13[[#This Row],[Code machine]],'CODE mchn'!$A$4:$C$170,3,0))</f>
        <v>Teurema 1</v>
      </c>
      <c r="E1354" s="105"/>
      <c r="F1354" s="36" t="s">
        <v>2276</v>
      </c>
      <c r="G1354" s="61" t="s">
        <v>1821</v>
      </c>
      <c r="H1354" s="61" t="s">
        <v>2341</v>
      </c>
      <c r="I1354" s="61" t="s">
        <v>13</v>
      </c>
      <c r="J1354" s="250" t="s">
        <v>2212</v>
      </c>
      <c r="K1354" s="215">
        <v>44266</v>
      </c>
      <c r="L1354" s="61"/>
      <c r="M1354" s="216">
        <v>45</v>
      </c>
      <c r="N1354" s="198">
        <f>MONTH(Tableau13[[#This Row],[Date fin intervention]])</f>
        <v>3</v>
      </c>
      <c r="O1354" s="108">
        <f>YEAR(Tableau13[[#This Row],[Date fin intervention]])</f>
        <v>2021</v>
      </c>
      <c r="P1354" s="61"/>
    </row>
    <row r="1355" spans="1:16">
      <c r="A1355" s="213">
        <v>44266</v>
      </c>
      <c r="B1355" s="214">
        <v>582</v>
      </c>
      <c r="C1355" s="106" t="str">
        <f>IF(ISNA(VLOOKUP(Tableau13[[#This Row],[Code machine]],'CODE mchn'!$A$4:$C$170,2,0)),"",VLOOKUP(Tableau13[[#This Row],[Code machine]],'CODE mchn'!$A$4:$C$170,2,0))</f>
        <v>Acier</v>
      </c>
      <c r="D1355" s="36" t="str">
        <f>IF(ISNA(VLOOKUP(Tableau13[[#This Row],[Code machine]],'CODE mchn'!$A$4:$C$170,3,0)),"",VLOOKUP(Tableau13[[#This Row],[Code machine]],'CODE mchn'!$A$4:$C$170,3,0))</f>
        <v>Teurema 2</v>
      </c>
      <c r="E1355" s="105"/>
      <c r="F1355" s="36" t="s">
        <v>2276</v>
      </c>
      <c r="G1355" s="36" t="s">
        <v>1653</v>
      </c>
      <c r="H1355" s="61" t="s">
        <v>2342</v>
      </c>
      <c r="I1355" s="61" t="s">
        <v>13</v>
      </c>
      <c r="J1355" s="250" t="s">
        <v>596</v>
      </c>
      <c r="K1355" s="215">
        <v>44266</v>
      </c>
      <c r="L1355" s="61"/>
      <c r="M1355" s="216">
        <v>20</v>
      </c>
      <c r="N1355" s="198">
        <f>MONTH(Tableau13[[#This Row],[Date fin intervention]])</f>
        <v>3</v>
      </c>
      <c r="O1355" s="108">
        <f>YEAR(Tableau13[[#This Row],[Date fin intervention]])</f>
        <v>2021</v>
      </c>
      <c r="P1355" s="61"/>
    </row>
    <row r="1356" spans="1:16">
      <c r="A1356" s="213">
        <v>44266</v>
      </c>
      <c r="B1356" s="214">
        <v>560</v>
      </c>
      <c r="C1356" s="106" t="str">
        <f>IF(ISNA(VLOOKUP(Tableau13[[#This Row],[Code machine]],'CODE mchn'!$A$4:$C$170,2,0)),"",VLOOKUP(Tableau13[[#This Row],[Code machine]],'CODE mchn'!$A$4:$C$170,2,0))</f>
        <v>Acier</v>
      </c>
      <c r="D1356" s="36" t="str">
        <f>IF(ISNA(VLOOKUP(Tableau13[[#This Row],[Code machine]],'CODE mchn'!$A$4:$C$170,3,0)),"",VLOOKUP(Tableau13[[#This Row],[Code machine]],'CODE mchn'!$A$4:$C$170,3,0))</f>
        <v>Schlatter</v>
      </c>
      <c r="E1356" s="105"/>
      <c r="F1356" s="36" t="s">
        <v>2276</v>
      </c>
      <c r="G1356" s="36" t="s">
        <v>2243</v>
      </c>
      <c r="H1356" s="36" t="s">
        <v>2241</v>
      </c>
      <c r="I1356" s="61" t="s">
        <v>13</v>
      </c>
      <c r="J1356" s="250" t="s">
        <v>2343</v>
      </c>
      <c r="K1356" s="215">
        <v>44266</v>
      </c>
      <c r="L1356" s="61"/>
      <c r="M1356" s="216">
        <v>0</v>
      </c>
      <c r="N1356" s="198">
        <f>MONTH(Tableau13[[#This Row],[Date fin intervention]])</f>
        <v>3</v>
      </c>
      <c r="O1356" s="108">
        <f>YEAR(Tableau13[[#This Row],[Date fin intervention]])</f>
        <v>2021</v>
      </c>
      <c r="P1356" s="61"/>
    </row>
    <row r="1357" spans="1:16">
      <c r="A1357" s="213">
        <v>44266</v>
      </c>
      <c r="B1357" s="214">
        <v>604</v>
      </c>
      <c r="C1357" s="106" t="str">
        <f>IF(ISNA(VLOOKUP(Tableau13[[#This Row],[Code machine]],'CODE mchn'!$A$4:$C$170,2,0)),"",VLOOKUP(Tableau13[[#This Row],[Code machine]],'CODE mchn'!$A$4:$C$170,2,0))</f>
        <v>Acier</v>
      </c>
      <c r="D1357" s="36" t="str">
        <f>IF(ISNA(VLOOKUP(Tableau13[[#This Row],[Code machine]],'CODE mchn'!$A$4:$C$170,3,0)),"",VLOOKUP(Tableau13[[#This Row],[Code machine]],'CODE mchn'!$A$4:$C$170,3,0))</f>
        <v>TI</v>
      </c>
      <c r="E1357" s="105"/>
      <c r="F1357" s="36" t="s">
        <v>2277</v>
      </c>
      <c r="G1357" s="36" t="s">
        <v>10</v>
      </c>
      <c r="H1357" s="36" t="s">
        <v>2246</v>
      </c>
      <c r="I1357" s="61" t="s">
        <v>13</v>
      </c>
      <c r="J1357" s="250" t="s">
        <v>2344</v>
      </c>
      <c r="K1357" s="215">
        <v>44266</v>
      </c>
      <c r="L1357" s="61"/>
      <c r="M1357" s="216">
        <v>30</v>
      </c>
      <c r="N1357" s="198">
        <f>MONTH(Tableau13[[#This Row],[Date fin intervention]])</f>
        <v>3</v>
      </c>
      <c r="O1357" s="108">
        <f>YEAR(Tableau13[[#This Row],[Date fin intervention]])</f>
        <v>2021</v>
      </c>
      <c r="P1357" s="61"/>
    </row>
    <row r="1358" spans="1:16">
      <c r="A1358" s="213">
        <v>44266</v>
      </c>
      <c r="B1358" s="214">
        <v>571</v>
      </c>
      <c r="C1358" s="106" t="str">
        <f>IF(ISNA(VLOOKUP(Tableau13[[#This Row],[Code machine]],'CODE mchn'!$A$4:$C$170,2,0)),"",VLOOKUP(Tableau13[[#This Row],[Code machine]],'CODE mchn'!$A$4:$C$170,2,0))</f>
        <v>Acier</v>
      </c>
      <c r="D1358" s="36" t="str">
        <f>IF(ISNA(VLOOKUP(Tableau13[[#This Row],[Code machine]],'CODE mchn'!$A$4:$C$170,3,0)),"",VLOOKUP(Tableau13[[#This Row],[Code machine]],'CODE mchn'!$A$4:$C$170,3,0))</f>
        <v>EVG PN 1</v>
      </c>
      <c r="E1358" s="105"/>
      <c r="F1358" s="36" t="s">
        <v>2277</v>
      </c>
      <c r="G1358" s="36" t="s">
        <v>10</v>
      </c>
      <c r="H1358" s="61" t="s">
        <v>2345</v>
      </c>
      <c r="I1358" s="61" t="s">
        <v>13</v>
      </c>
      <c r="J1358" s="250" t="s">
        <v>2346</v>
      </c>
      <c r="K1358" s="215">
        <v>44266</v>
      </c>
      <c r="L1358" s="61"/>
      <c r="M1358" s="216">
        <v>45</v>
      </c>
      <c r="N1358" s="198">
        <f>MONTH(Tableau13[[#This Row],[Date fin intervention]])</f>
        <v>3</v>
      </c>
      <c r="O1358" s="108">
        <f>YEAR(Tableau13[[#This Row],[Date fin intervention]])</f>
        <v>2021</v>
      </c>
      <c r="P1358" s="61"/>
    </row>
    <row r="1359" spans="1:16">
      <c r="A1359" s="213">
        <v>44267</v>
      </c>
      <c r="B1359" s="214">
        <v>582</v>
      </c>
      <c r="C1359" s="106" t="str">
        <f>IF(ISNA(VLOOKUP(Tableau13[[#This Row],[Code machine]],'CODE mchn'!$A$4:$C$170,2,0)),"",VLOOKUP(Tableau13[[#This Row],[Code machine]],'CODE mchn'!$A$4:$C$170,2,0))</f>
        <v>Acier</v>
      </c>
      <c r="D1359" s="36" t="str">
        <f>IF(ISNA(VLOOKUP(Tableau13[[#This Row],[Code machine]],'CODE mchn'!$A$4:$C$170,3,0)),"",VLOOKUP(Tableau13[[#This Row],[Code machine]],'CODE mchn'!$A$4:$C$170,3,0))</f>
        <v>Teurema 2</v>
      </c>
      <c r="E1359" s="105"/>
      <c r="F1359" s="36" t="s">
        <v>2276</v>
      </c>
      <c r="G1359" s="61" t="s">
        <v>1473</v>
      </c>
      <c r="H1359" s="61" t="s">
        <v>2400</v>
      </c>
      <c r="I1359" s="61" t="s">
        <v>13</v>
      </c>
      <c r="J1359" s="250" t="s">
        <v>2218</v>
      </c>
      <c r="K1359" s="215">
        <v>44267</v>
      </c>
      <c r="L1359" s="61"/>
      <c r="M1359" s="216">
        <v>20</v>
      </c>
      <c r="N1359" s="198">
        <f>MONTH(Tableau13[[#This Row],[Date fin intervention]])</f>
        <v>3</v>
      </c>
      <c r="O1359" s="108">
        <f>YEAR(Tableau13[[#This Row],[Date fin intervention]])</f>
        <v>2021</v>
      </c>
      <c r="P1359" s="61"/>
    </row>
    <row r="1360" spans="1:16">
      <c r="A1360" s="213">
        <v>44267</v>
      </c>
      <c r="B1360" s="214">
        <v>604</v>
      </c>
      <c r="C1360" s="106" t="str">
        <f>IF(ISNA(VLOOKUP(Tableau13[[#This Row],[Code machine]],'CODE mchn'!$A$4:$C$170,2,0)),"",VLOOKUP(Tableau13[[#This Row],[Code machine]],'CODE mchn'!$A$4:$C$170,2,0))</f>
        <v>Acier</v>
      </c>
      <c r="D1360" s="36" t="str">
        <f>IF(ISNA(VLOOKUP(Tableau13[[#This Row],[Code machine]],'CODE mchn'!$A$4:$C$170,3,0)),"",VLOOKUP(Tableau13[[#This Row],[Code machine]],'CODE mchn'!$A$4:$C$170,3,0))</f>
        <v>TI</v>
      </c>
      <c r="E1360" s="105"/>
      <c r="F1360" s="36"/>
      <c r="G1360" s="36" t="s">
        <v>10</v>
      </c>
      <c r="H1360" s="61" t="s">
        <v>10</v>
      </c>
      <c r="I1360" s="61" t="s">
        <v>13</v>
      </c>
      <c r="J1360" s="250" t="s">
        <v>2149</v>
      </c>
      <c r="K1360" s="215">
        <v>44267</v>
      </c>
      <c r="L1360" s="61"/>
      <c r="M1360" s="216">
        <v>30</v>
      </c>
      <c r="N1360" s="198">
        <f>MONTH(Tableau13[[#This Row],[Date fin intervention]])</f>
        <v>3</v>
      </c>
      <c r="O1360" s="108">
        <f>YEAR(Tableau13[[#This Row],[Date fin intervention]])</f>
        <v>2021</v>
      </c>
      <c r="P1360" s="61"/>
    </row>
    <row r="1361" spans="1:16">
      <c r="A1361" s="213">
        <v>44267</v>
      </c>
      <c r="B1361" s="214">
        <v>605</v>
      </c>
      <c r="C1361" s="106" t="str">
        <f>IF(ISNA(VLOOKUP(Tableau13[[#This Row],[Code machine]],'CODE mchn'!$A$4:$C$170,2,0)),"",VLOOKUP(Tableau13[[#This Row],[Code machine]],'CODE mchn'!$A$4:$C$170,2,0))</f>
        <v>Acier</v>
      </c>
      <c r="D1361" s="36" t="str">
        <f>IF(ISNA(VLOOKUP(Tableau13[[#This Row],[Code machine]],'CODE mchn'!$A$4:$C$170,3,0)),"",VLOOKUP(Tableau13[[#This Row],[Code machine]],'CODE mchn'!$A$4:$C$170,3,0))</f>
        <v>Vitari 1</v>
      </c>
      <c r="E1361" s="105"/>
      <c r="F1361" s="36"/>
      <c r="G1361" s="61"/>
      <c r="H1361" s="61" t="s">
        <v>78</v>
      </c>
      <c r="I1361" s="61" t="s">
        <v>13</v>
      </c>
      <c r="J1361" s="250" t="s">
        <v>2123</v>
      </c>
      <c r="K1361" s="215">
        <v>44267</v>
      </c>
      <c r="L1361" s="61"/>
      <c r="M1361" s="216">
        <v>30</v>
      </c>
      <c r="N1361" s="198">
        <f>MONTH(Tableau13[[#This Row],[Date fin intervention]])</f>
        <v>3</v>
      </c>
      <c r="O1361" s="108">
        <f>YEAR(Tableau13[[#This Row],[Date fin intervention]])</f>
        <v>2021</v>
      </c>
      <c r="P1361" s="61"/>
    </row>
    <row r="1362" spans="1:16">
      <c r="A1362" s="213">
        <v>44267</v>
      </c>
      <c r="B1362" s="214">
        <v>800</v>
      </c>
      <c r="C1362" s="106" t="str">
        <f>IF(ISNA(VLOOKUP(Tableau13[[#This Row],[Code machine]],'CODE mchn'!$A$4:$C$170,2,0)),"",VLOOKUP(Tableau13[[#This Row],[Code machine]],'CODE mchn'!$A$4:$C$170,2,0))</f>
        <v>Béton</v>
      </c>
      <c r="D1362" s="36" t="str">
        <f>IF(ISNA(VLOOKUP(Tableau13[[#This Row],[Code machine]],'CODE mchn'!$A$4:$C$170,3,0)),"",VLOOKUP(Tableau13[[#This Row],[Code machine]],'CODE mchn'!$A$4:$C$170,3,0))</f>
        <v>Poyatos 2</v>
      </c>
      <c r="E1362" s="105"/>
      <c r="F1362" s="36" t="s">
        <v>2277</v>
      </c>
      <c r="G1362" s="61" t="s">
        <v>2398</v>
      </c>
      <c r="H1362" s="61" t="s">
        <v>2399</v>
      </c>
      <c r="I1362" s="61" t="s">
        <v>13</v>
      </c>
      <c r="J1362" s="250" t="s">
        <v>2347</v>
      </c>
      <c r="K1362" s="215">
        <v>44267</v>
      </c>
      <c r="L1362" s="61"/>
      <c r="M1362" s="216">
        <v>90</v>
      </c>
      <c r="N1362" s="198">
        <f>MONTH(Tableau13[[#This Row],[Date fin intervention]])</f>
        <v>3</v>
      </c>
      <c r="O1362" s="108">
        <f>YEAR(Tableau13[[#This Row],[Date fin intervention]])</f>
        <v>2021</v>
      </c>
      <c r="P1362" s="61"/>
    </row>
    <row r="1363" spans="1:16">
      <c r="A1363" s="213">
        <v>44267</v>
      </c>
      <c r="B1363" s="214">
        <v>800</v>
      </c>
      <c r="C1363" s="106" t="str">
        <f>IF(ISNA(VLOOKUP(Tableau13[[#This Row],[Code machine]],'CODE mchn'!$A$4:$C$170,2,0)),"",VLOOKUP(Tableau13[[#This Row],[Code machine]],'CODE mchn'!$A$4:$C$170,2,0))</f>
        <v>Béton</v>
      </c>
      <c r="D1363" s="36" t="str">
        <f>IF(ISNA(VLOOKUP(Tableau13[[#This Row],[Code machine]],'CODE mchn'!$A$4:$C$170,3,0)),"",VLOOKUP(Tableau13[[#This Row],[Code machine]],'CODE mchn'!$A$4:$C$170,3,0))</f>
        <v>Poyatos 2</v>
      </c>
      <c r="E1363" s="105"/>
      <c r="F1363" s="36" t="s">
        <v>2277</v>
      </c>
      <c r="G1363" s="61" t="s">
        <v>2398</v>
      </c>
      <c r="H1363" s="61" t="s">
        <v>2399</v>
      </c>
      <c r="I1363" s="61" t="s">
        <v>13</v>
      </c>
      <c r="J1363" s="250" t="s">
        <v>2347</v>
      </c>
      <c r="K1363" s="215">
        <v>44267</v>
      </c>
      <c r="L1363" s="61"/>
      <c r="M1363" s="216">
        <v>90</v>
      </c>
      <c r="N1363" s="198">
        <f>MONTH(Tableau13[[#This Row],[Date fin intervention]])</f>
        <v>3</v>
      </c>
      <c r="O1363" s="108">
        <f>YEAR(Tableau13[[#This Row],[Date fin intervention]])</f>
        <v>2021</v>
      </c>
      <c r="P1363" s="61"/>
    </row>
    <row r="1364" spans="1:16">
      <c r="A1364" s="213">
        <v>44268</v>
      </c>
      <c r="B1364" s="214">
        <v>620</v>
      </c>
      <c r="C1364" s="106" t="str">
        <f>IF(ISNA(VLOOKUP(Tableau13[[#This Row],[Code machine]],'CODE mchn'!$A$4:$C$170,2,0)),"",VLOOKUP(Tableau13[[#This Row],[Code machine]],'CODE mchn'!$A$4:$C$170,2,0))</f>
        <v>Acier</v>
      </c>
      <c r="D1364" s="36" t="str">
        <f>IF(ISNA(VLOOKUP(Tableau13[[#This Row],[Code machine]],'CODE mchn'!$A$4:$C$170,3,0)),"",VLOOKUP(Tableau13[[#This Row],[Code machine]],'CODE mchn'!$A$4:$C$170,3,0))</f>
        <v>EVG PN 2</v>
      </c>
      <c r="E1364" s="105">
        <v>24451</v>
      </c>
      <c r="F1364" s="36"/>
      <c r="G1364" s="36" t="s">
        <v>2243</v>
      </c>
      <c r="H1364" s="36" t="s">
        <v>2241</v>
      </c>
      <c r="I1364" s="61" t="s">
        <v>13</v>
      </c>
      <c r="J1364" s="250" t="s">
        <v>2401</v>
      </c>
      <c r="K1364" s="215">
        <v>44268</v>
      </c>
      <c r="L1364" s="61"/>
      <c r="M1364" s="216">
        <v>120</v>
      </c>
      <c r="N1364" s="198">
        <f>MONTH(Tableau13[[#This Row],[Date fin intervention]])</f>
        <v>3</v>
      </c>
      <c r="O1364" s="108">
        <f>YEAR(Tableau13[[#This Row],[Date fin intervention]])</f>
        <v>2021</v>
      </c>
      <c r="P1364" s="61"/>
    </row>
    <row r="1365" spans="1:16">
      <c r="A1365" s="213">
        <v>44269</v>
      </c>
      <c r="B1365" s="214">
        <v>581</v>
      </c>
      <c r="C1365" s="106" t="str">
        <f>IF(ISNA(VLOOKUP(Tableau13[[#This Row],[Code machine]],'CODE mchn'!$A$4:$C$170,2,0)),"",VLOOKUP(Tableau13[[#This Row],[Code machine]],'CODE mchn'!$A$4:$C$170,2,0))</f>
        <v>Acier</v>
      </c>
      <c r="D1365" s="36" t="str">
        <f>IF(ISNA(VLOOKUP(Tableau13[[#This Row],[Code machine]],'CODE mchn'!$A$4:$C$170,3,0)),"",VLOOKUP(Tableau13[[#This Row],[Code machine]],'CODE mchn'!$A$4:$C$170,3,0))</f>
        <v>Teurema 1</v>
      </c>
      <c r="E1365" s="105">
        <v>24451</v>
      </c>
      <c r="F1365" s="36"/>
      <c r="G1365" s="61" t="s">
        <v>70</v>
      </c>
      <c r="H1365" s="61" t="s">
        <v>2402</v>
      </c>
      <c r="I1365" s="61" t="s">
        <v>13</v>
      </c>
      <c r="J1365" s="250" t="s">
        <v>2403</v>
      </c>
      <c r="K1365" s="215">
        <v>44268</v>
      </c>
      <c r="L1365" s="61"/>
      <c r="M1365" s="216">
        <v>240</v>
      </c>
      <c r="N1365" s="198">
        <f>MONTH(Tableau13[[#This Row],[Date fin intervention]])</f>
        <v>3</v>
      </c>
      <c r="O1365" s="108">
        <f>YEAR(Tableau13[[#This Row],[Date fin intervention]])</f>
        <v>2021</v>
      </c>
      <c r="P1365" s="61"/>
    </row>
    <row r="1366" spans="1:16">
      <c r="A1366" s="213">
        <v>44270</v>
      </c>
      <c r="B1366" s="214">
        <v>571</v>
      </c>
      <c r="C1366" s="106" t="str">
        <f>IF(ISNA(VLOOKUP(Tableau13[[#This Row],[Code machine]],'CODE mchn'!$A$4:$C$170,2,0)),"",VLOOKUP(Tableau13[[#This Row],[Code machine]],'CODE mchn'!$A$4:$C$170,2,0))</f>
        <v>Acier</v>
      </c>
      <c r="D1366" s="36" t="str">
        <f>IF(ISNA(VLOOKUP(Tableau13[[#This Row],[Code machine]],'CODE mchn'!$A$4:$C$170,3,0)),"",VLOOKUP(Tableau13[[#This Row],[Code machine]],'CODE mchn'!$A$4:$C$170,3,0))</f>
        <v>EVG PN 1</v>
      </c>
      <c r="E1366" s="105">
        <v>24451</v>
      </c>
      <c r="F1366" s="36"/>
      <c r="G1366" s="61" t="s">
        <v>982</v>
      </c>
      <c r="H1366" s="61"/>
      <c r="I1366" s="61" t="s">
        <v>13</v>
      </c>
      <c r="J1366" s="250" t="s">
        <v>2401</v>
      </c>
      <c r="K1366" s="215">
        <v>44268</v>
      </c>
      <c r="L1366" s="61"/>
      <c r="M1366" s="216">
        <v>120</v>
      </c>
      <c r="N1366" s="198">
        <f>MONTH(Tableau13[[#This Row],[Date fin intervention]])</f>
        <v>3</v>
      </c>
      <c r="O1366" s="108">
        <f>YEAR(Tableau13[[#This Row],[Date fin intervention]])</f>
        <v>2021</v>
      </c>
      <c r="P1366" s="61"/>
    </row>
    <row r="1367" spans="1:16">
      <c r="A1367" s="213">
        <v>44270</v>
      </c>
      <c r="B1367" s="214">
        <v>700</v>
      </c>
      <c r="C1367" s="106" t="str">
        <f>IF(ISNA(VLOOKUP(Tableau13[[#This Row],[Code machine]],'CODE mchn'!$A$4:$C$170,2,0)),"",VLOOKUP(Tableau13[[#This Row],[Code machine]],'CODE mchn'!$A$4:$C$170,2,0))</f>
        <v>Béton</v>
      </c>
      <c r="D1367" s="36" t="str">
        <f>IF(ISNA(VLOOKUP(Tableau13[[#This Row],[Code machine]],'CODE mchn'!$A$4:$C$170,3,0)),"",VLOOKUP(Tableau13[[#This Row],[Code machine]],'CODE mchn'!$A$4:$C$170,3,0))</f>
        <v>Poyatos 1</v>
      </c>
      <c r="E1367" s="105"/>
      <c r="F1367" s="36"/>
      <c r="G1367" s="61" t="s">
        <v>49</v>
      </c>
      <c r="H1367" s="61" t="s">
        <v>49</v>
      </c>
      <c r="I1367" s="61" t="s">
        <v>13</v>
      </c>
      <c r="J1367" s="250" t="s">
        <v>2404</v>
      </c>
      <c r="K1367" s="215">
        <v>44270</v>
      </c>
      <c r="L1367" s="61"/>
      <c r="M1367" s="216"/>
      <c r="N1367" s="198">
        <f>MONTH(Tableau13[[#This Row],[Date fin intervention]])</f>
        <v>3</v>
      </c>
      <c r="O1367" s="108">
        <f>YEAR(Tableau13[[#This Row],[Date fin intervention]])</f>
        <v>2021</v>
      </c>
      <c r="P1367" s="61"/>
    </row>
    <row r="1368" spans="1:16">
      <c r="A1368" s="213">
        <v>44270</v>
      </c>
      <c r="B1368" s="214">
        <v>605</v>
      </c>
      <c r="C1368" s="106" t="str">
        <f>IF(ISNA(VLOOKUP(Tableau13[[#This Row],[Code machine]],'CODE mchn'!$A$4:$C$170,2,0)),"",VLOOKUP(Tableau13[[#This Row],[Code machine]],'CODE mchn'!$A$4:$C$170,2,0))</f>
        <v>Acier</v>
      </c>
      <c r="D1368" s="36" t="str">
        <f>IF(ISNA(VLOOKUP(Tableau13[[#This Row],[Code machine]],'CODE mchn'!$A$4:$C$170,3,0)),"",VLOOKUP(Tableau13[[#This Row],[Code machine]],'CODE mchn'!$A$4:$C$170,3,0))</f>
        <v>Vitari 1</v>
      </c>
      <c r="E1368" s="105">
        <v>24451</v>
      </c>
      <c r="F1368" s="36"/>
      <c r="G1368" s="61" t="s">
        <v>78</v>
      </c>
      <c r="H1368" s="61" t="s">
        <v>1697</v>
      </c>
      <c r="I1368" s="61" t="s">
        <v>13</v>
      </c>
      <c r="J1368" s="250" t="s">
        <v>2405</v>
      </c>
      <c r="K1368" s="215">
        <v>44270</v>
      </c>
      <c r="L1368" s="61"/>
      <c r="M1368" s="216">
        <v>120</v>
      </c>
      <c r="N1368" s="198">
        <f>MONTH(Tableau13[[#This Row],[Date fin intervention]])</f>
        <v>3</v>
      </c>
      <c r="O1368" s="108">
        <f>YEAR(Tableau13[[#This Row],[Date fin intervention]])</f>
        <v>2021</v>
      </c>
      <c r="P1368" s="61"/>
    </row>
    <row r="1369" spans="1:16">
      <c r="A1369" s="213">
        <v>44271</v>
      </c>
      <c r="B1369" s="214">
        <v>571</v>
      </c>
      <c r="C1369" s="106" t="str">
        <f>IF(ISNA(VLOOKUP(Tableau13[[#This Row],[Code machine]],'CODE mchn'!$A$4:$C$170,2,0)),"",VLOOKUP(Tableau13[[#This Row],[Code machine]],'CODE mchn'!$A$4:$C$170,2,0))</f>
        <v>Acier</v>
      </c>
      <c r="D1369" s="36" t="str">
        <f>IF(ISNA(VLOOKUP(Tableau13[[#This Row],[Code machine]],'CODE mchn'!$A$4:$C$170,3,0)),"",VLOOKUP(Tableau13[[#This Row],[Code machine]],'CODE mchn'!$A$4:$C$170,3,0))</f>
        <v>EVG PN 1</v>
      </c>
      <c r="E1369" s="105">
        <v>24451</v>
      </c>
      <c r="F1369" s="36"/>
      <c r="G1369" s="61" t="s">
        <v>10</v>
      </c>
      <c r="H1369" s="61" t="s">
        <v>2407</v>
      </c>
      <c r="I1369" s="61" t="s">
        <v>13</v>
      </c>
      <c r="J1369" s="250" t="s">
        <v>2408</v>
      </c>
      <c r="K1369" s="215">
        <v>44271</v>
      </c>
      <c r="L1369" s="61"/>
      <c r="M1369" s="216">
        <v>180</v>
      </c>
      <c r="N1369" s="198">
        <f>MONTH(Tableau13[[#This Row],[Date fin intervention]])</f>
        <v>3</v>
      </c>
      <c r="O1369" s="108">
        <f>YEAR(Tableau13[[#This Row],[Date fin intervention]])</f>
        <v>2021</v>
      </c>
      <c r="P1369" s="61"/>
    </row>
    <row r="1370" spans="1:16">
      <c r="A1370" s="213">
        <v>44271</v>
      </c>
      <c r="B1370" s="214">
        <v>581</v>
      </c>
      <c r="C1370" s="106" t="str">
        <f>IF(ISNA(VLOOKUP(Tableau13[[#This Row],[Code machine]],'CODE mchn'!$A$4:$C$170,2,0)),"",VLOOKUP(Tableau13[[#This Row],[Code machine]],'CODE mchn'!$A$4:$C$170,2,0))</f>
        <v>Acier</v>
      </c>
      <c r="D1370" s="36" t="str">
        <f>IF(ISNA(VLOOKUP(Tableau13[[#This Row],[Code machine]],'CODE mchn'!$A$4:$C$170,3,0)),"",VLOOKUP(Tableau13[[#This Row],[Code machine]],'CODE mchn'!$A$4:$C$170,3,0))</f>
        <v>Teurema 1</v>
      </c>
      <c r="E1370" s="105">
        <v>24451</v>
      </c>
      <c r="F1370" s="36"/>
      <c r="G1370" s="61" t="s">
        <v>2361</v>
      </c>
      <c r="H1370" s="61" t="s">
        <v>2226</v>
      </c>
      <c r="I1370" s="61" t="s">
        <v>13</v>
      </c>
      <c r="J1370" s="250" t="s">
        <v>2409</v>
      </c>
      <c r="K1370" s="215">
        <v>44271</v>
      </c>
      <c r="L1370" s="61"/>
      <c r="M1370" s="216">
        <v>180</v>
      </c>
      <c r="N1370" s="198">
        <f>MONTH(Tableau13[[#This Row],[Date fin intervention]])</f>
        <v>3</v>
      </c>
      <c r="O1370" s="108">
        <f>YEAR(Tableau13[[#This Row],[Date fin intervention]])</f>
        <v>2021</v>
      </c>
      <c r="P1370" s="61"/>
    </row>
    <row r="1371" spans="1:16">
      <c r="A1371" s="213">
        <v>44271</v>
      </c>
      <c r="B1371" s="214">
        <v>565</v>
      </c>
      <c r="C1371" s="106" t="str">
        <f>IF(ISNA(VLOOKUP(Tableau13[[#This Row],[Code machine]],'CODE mchn'!$A$4:$C$170,2,0)),"",VLOOKUP(Tableau13[[#This Row],[Code machine]],'CODE mchn'!$A$4:$C$170,2,0))</f>
        <v>Acier</v>
      </c>
      <c r="D1371" s="36" t="str">
        <f>IF(ISNA(VLOOKUP(Tableau13[[#This Row],[Code machine]],'CODE mchn'!$A$4:$C$170,3,0)),"",VLOOKUP(Tableau13[[#This Row],[Code machine]],'CODE mchn'!$A$4:$C$170,3,0))</f>
        <v>EVG GE12</v>
      </c>
      <c r="E1371" s="105">
        <v>24451</v>
      </c>
      <c r="F1371" s="36"/>
      <c r="G1371" s="61" t="s">
        <v>982</v>
      </c>
      <c r="H1371" s="61"/>
      <c r="I1371" s="61" t="s">
        <v>13</v>
      </c>
      <c r="J1371" s="250" t="s">
        <v>2406</v>
      </c>
      <c r="K1371" s="215">
        <v>44271</v>
      </c>
      <c r="L1371" s="61"/>
      <c r="M1371" s="216">
        <v>120</v>
      </c>
      <c r="N1371" s="198">
        <f>MONTH(Tableau13[[#This Row],[Date fin intervention]])</f>
        <v>3</v>
      </c>
      <c r="O1371" s="108">
        <f>YEAR(Tableau13[[#This Row],[Date fin intervention]])</f>
        <v>2021</v>
      </c>
      <c r="P1371" s="61"/>
    </row>
    <row r="1372" spans="1:16">
      <c r="A1372" s="213">
        <v>44272</v>
      </c>
      <c r="B1372" s="214">
        <v>565</v>
      </c>
      <c r="C1372" s="106" t="str">
        <f>IF(ISNA(VLOOKUP(Tableau13[[#This Row],[Code machine]],'CODE mchn'!$A$4:$C$170,2,0)),"",VLOOKUP(Tableau13[[#This Row],[Code machine]],'CODE mchn'!$A$4:$C$170,2,0))</f>
        <v>Acier</v>
      </c>
      <c r="D1372" s="36" t="str">
        <f>IF(ISNA(VLOOKUP(Tableau13[[#This Row],[Code machine]],'CODE mchn'!$A$4:$C$170,3,0)),"",VLOOKUP(Tableau13[[#This Row],[Code machine]],'CODE mchn'!$A$4:$C$170,3,0))</f>
        <v>EVG GE12</v>
      </c>
      <c r="E1372" s="105">
        <v>24459</v>
      </c>
      <c r="F1372" s="36"/>
      <c r="G1372" s="61" t="s">
        <v>470</v>
      </c>
      <c r="H1372" s="61" t="s">
        <v>2414</v>
      </c>
      <c r="I1372" s="61" t="s">
        <v>13</v>
      </c>
      <c r="J1372" s="250" t="s">
        <v>2415</v>
      </c>
      <c r="K1372" s="215">
        <v>44272</v>
      </c>
      <c r="L1372" s="61"/>
      <c r="M1372" s="216">
        <v>240</v>
      </c>
      <c r="N1372" s="198">
        <f>MONTH(Tableau13[[#This Row],[Date fin intervention]])</f>
        <v>3</v>
      </c>
      <c r="O1372" s="108">
        <f>YEAR(Tableau13[[#This Row],[Date fin intervention]])</f>
        <v>2021</v>
      </c>
      <c r="P1372" s="61"/>
    </row>
    <row r="1373" spans="1:16" ht="28.5">
      <c r="A1373" s="213">
        <v>44272</v>
      </c>
      <c r="B1373" s="214">
        <v>570</v>
      </c>
      <c r="C1373" s="106" t="str">
        <f>IF(ISNA(VLOOKUP(Tableau13[[#This Row],[Code machine]],'CODE mchn'!$A$4:$C$170,2,0)),"",VLOOKUP(Tableau13[[#This Row],[Code machine]],'CODE mchn'!$A$4:$C$170,2,0))</f>
        <v>Acier</v>
      </c>
      <c r="D1373" s="36" t="str">
        <f>IF(ISNA(VLOOKUP(Tableau13[[#This Row],[Code machine]],'CODE mchn'!$A$4:$C$170,3,0)),"",VLOOKUP(Tableau13[[#This Row],[Code machine]],'CODE mchn'!$A$4:$C$170,3,0))</f>
        <v>Sigmatic</v>
      </c>
      <c r="E1373" s="105">
        <v>24451</v>
      </c>
      <c r="F1373" s="36"/>
      <c r="G1373" s="61" t="s">
        <v>2410</v>
      </c>
      <c r="H1373" s="61" t="s">
        <v>2410</v>
      </c>
      <c r="I1373" s="61" t="s">
        <v>13</v>
      </c>
      <c r="J1373" s="250" t="s">
        <v>2316</v>
      </c>
      <c r="K1373" s="215">
        <v>44272</v>
      </c>
      <c r="L1373" s="61"/>
      <c r="M1373" s="216">
        <v>35</v>
      </c>
      <c r="N1373" s="198">
        <f>MONTH(Tableau13[[#This Row],[Date fin intervention]])</f>
        <v>3</v>
      </c>
      <c r="O1373" s="108">
        <f>YEAR(Tableau13[[#This Row],[Date fin intervention]])</f>
        <v>2021</v>
      </c>
      <c r="P1373" s="61"/>
    </row>
    <row r="1374" spans="1:16">
      <c r="A1374" s="213">
        <v>44272</v>
      </c>
      <c r="B1374" s="214">
        <v>582</v>
      </c>
      <c r="C1374" s="106" t="str">
        <f>IF(ISNA(VLOOKUP(Tableau13[[#This Row],[Code machine]],'CODE mchn'!$A$4:$C$170,2,0)),"",VLOOKUP(Tableau13[[#This Row],[Code machine]],'CODE mchn'!$A$4:$C$170,2,0))</f>
        <v>Acier</v>
      </c>
      <c r="D1374" s="36" t="str">
        <f>IF(ISNA(VLOOKUP(Tableau13[[#This Row],[Code machine]],'CODE mchn'!$A$4:$C$170,3,0)),"",VLOOKUP(Tableau13[[#This Row],[Code machine]],'CODE mchn'!$A$4:$C$170,3,0))</f>
        <v>Teurema 2</v>
      </c>
      <c r="E1374" s="105">
        <v>24451</v>
      </c>
      <c r="F1374" s="36"/>
      <c r="G1374" s="61" t="s">
        <v>2411</v>
      </c>
      <c r="H1374" s="61" t="s">
        <v>2213</v>
      </c>
      <c r="I1374" s="61" t="s">
        <v>13</v>
      </c>
      <c r="J1374" s="250" t="s">
        <v>2412</v>
      </c>
      <c r="K1374" s="215">
        <v>44272</v>
      </c>
      <c r="L1374" s="61"/>
      <c r="M1374" s="216">
        <v>165</v>
      </c>
      <c r="N1374" s="198">
        <f>MONTH(Tableau13[[#This Row],[Date fin intervention]])</f>
        <v>3</v>
      </c>
      <c r="O1374" s="108">
        <f>YEAR(Tableau13[[#This Row],[Date fin intervention]])</f>
        <v>2021</v>
      </c>
      <c r="P1374" s="61"/>
    </row>
    <row r="1375" spans="1:16">
      <c r="A1375" s="213">
        <v>44272</v>
      </c>
      <c r="B1375" s="214">
        <v>560</v>
      </c>
      <c r="C1375" s="106" t="str">
        <f>IF(ISNA(VLOOKUP(Tableau13[[#This Row],[Code machine]],'CODE mchn'!$A$4:$C$170,2,0)),"",VLOOKUP(Tableau13[[#This Row],[Code machine]],'CODE mchn'!$A$4:$C$170,2,0))</f>
        <v>Acier</v>
      </c>
      <c r="D1375" s="36" t="str">
        <f>IF(ISNA(VLOOKUP(Tableau13[[#This Row],[Code machine]],'CODE mchn'!$A$4:$C$170,3,0)),"",VLOOKUP(Tableau13[[#This Row],[Code machine]],'CODE mchn'!$A$4:$C$170,3,0))</f>
        <v>Schlatter</v>
      </c>
      <c r="E1375" s="105">
        <v>24451</v>
      </c>
      <c r="F1375" s="36"/>
      <c r="G1375" s="36" t="s">
        <v>2243</v>
      </c>
      <c r="H1375" s="61" t="s">
        <v>1226</v>
      </c>
      <c r="I1375" s="61" t="s">
        <v>13</v>
      </c>
      <c r="J1375" s="250" t="s">
        <v>2413</v>
      </c>
      <c r="K1375" s="215">
        <v>44272</v>
      </c>
      <c r="L1375" s="61"/>
      <c r="M1375" s="216">
        <v>120</v>
      </c>
      <c r="N1375" s="198">
        <f>MONTH(Tableau13[[#This Row],[Date fin intervention]])</f>
        <v>3</v>
      </c>
      <c r="O1375" s="108">
        <f>YEAR(Tableau13[[#This Row],[Date fin intervention]])</f>
        <v>2021</v>
      </c>
      <c r="P1375" s="61"/>
    </row>
    <row r="1376" spans="1:16" ht="28.5">
      <c r="A1376" s="213">
        <v>44272</v>
      </c>
      <c r="B1376" s="214">
        <v>700</v>
      </c>
      <c r="C1376" s="106" t="str">
        <f>IF(ISNA(VLOOKUP(Tableau13[[#This Row],[Code machine]],'CODE mchn'!$A$4:$C$170,2,0)),"",VLOOKUP(Tableau13[[#This Row],[Code machine]],'CODE mchn'!$A$4:$C$170,2,0))</f>
        <v>Béton</v>
      </c>
      <c r="D1376" s="36" t="str">
        <f>IF(ISNA(VLOOKUP(Tableau13[[#This Row],[Code machine]],'CODE mchn'!$A$4:$C$170,3,0)),"",VLOOKUP(Tableau13[[#This Row],[Code machine]],'CODE mchn'!$A$4:$C$170,3,0))</f>
        <v>Poyatos 1</v>
      </c>
      <c r="E1376" s="105"/>
      <c r="F1376" s="36"/>
      <c r="G1376" s="61"/>
      <c r="H1376" s="61" t="s">
        <v>2416</v>
      </c>
      <c r="I1376" s="61" t="s">
        <v>13</v>
      </c>
      <c r="J1376" s="250" t="s">
        <v>2417</v>
      </c>
      <c r="K1376" s="215">
        <v>44272</v>
      </c>
      <c r="L1376" s="61"/>
      <c r="M1376" s="216">
        <v>250</v>
      </c>
      <c r="N1376" s="198">
        <f>MONTH(Tableau13[[#This Row],[Date fin intervention]])</f>
        <v>3</v>
      </c>
      <c r="O1376" s="108">
        <f>YEAR(Tableau13[[#This Row],[Date fin intervention]])</f>
        <v>2021</v>
      </c>
      <c r="P1376" s="61"/>
    </row>
    <row r="1377" spans="1:16">
      <c r="A1377" s="213">
        <v>44273</v>
      </c>
      <c r="B1377" s="214">
        <v>565</v>
      </c>
      <c r="C1377" s="106" t="str">
        <f>IF(ISNA(VLOOKUP(Tableau13[[#This Row],[Code machine]],'CODE mchn'!$A$4:$C$170,2,0)),"",VLOOKUP(Tableau13[[#This Row],[Code machine]],'CODE mchn'!$A$4:$C$170,2,0))</f>
        <v>Acier</v>
      </c>
      <c r="D1377" s="36" t="str">
        <f>IF(ISNA(VLOOKUP(Tableau13[[#This Row],[Code machine]],'CODE mchn'!$A$4:$C$170,3,0)),"",VLOOKUP(Tableau13[[#This Row],[Code machine]],'CODE mchn'!$A$4:$C$170,3,0))</f>
        <v>EVG GE12</v>
      </c>
      <c r="E1377" s="105">
        <v>24461</v>
      </c>
      <c r="F1377" s="36"/>
      <c r="G1377" s="36" t="s">
        <v>2243</v>
      </c>
      <c r="H1377" s="61" t="s">
        <v>2420</v>
      </c>
      <c r="I1377" s="61" t="s">
        <v>13</v>
      </c>
      <c r="J1377" s="250" t="s">
        <v>2421</v>
      </c>
      <c r="K1377" s="215">
        <v>44273</v>
      </c>
      <c r="L1377" s="61"/>
      <c r="M1377" s="216">
        <v>180</v>
      </c>
      <c r="N1377" s="198">
        <f>MONTH(Tableau13[[#This Row],[Date fin intervention]])</f>
        <v>3</v>
      </c>
      <c r="O1377" s="108">
        <f>YEAR(Tableau13[[#This Row],[Date fin intervention]])</f>
        <v>2021</v>
      </c>
      <c r="P1377" s="61"/>
    </row>
    <row r="1378" spans="1:16">
      <c r="A1378" s="213">
        <v>44273</v>
      </c>
      <c r="B1378" s="214">
        <v>571</v>
      </c>
      <c r="C1378" s="106" t="str">
        <f>IF(ISNA(VLOOKUP(Tableau13[[#This Row],[Code machine]],'CODE mchn'!$A$4:$C$170,2,0)),"",VLOOKUP(Tableau13[[#This Row],[Code machine]],'CODE mchn'!$A$4:$C$170,2,0))</f>
        <v>Acier</v>
      </c>
      <c r="D1378" s="36" t="str">
        <f>IF(ISNA(VLOOKUP(Tableau13[[#This Row],[Code machine]],'CODE mchn'!$A$4:$C$170,3,0)),"",VLOOKUP(Tableau13[[#This Row],[Code machine]],'CODE mchn'!$A$4:$C$170,3,0))</f>
        <v>EVG PN 1</v>
      </c>
      <c r="E1378" s="105">
        <v>24460</v>
      </c>
      <c r="F1378" s="36"/>
      <c r="G1378" s="36" t="s">
        <v>2243</v>
      </c>
      <c r="H1378" s="61" t="s">
        <v>1226</v>
      </c>
      <c r="I1378" s="61" t="s">
        <v>13</v>
      </c>
      <c r="J1378" s="250" t="s">
        <v>2401</v>
      </c>
      <c r="K1378" s="215">
        <v>44273</v>
      </c>
      <c r="L1378" s="61"/>
      <c r="M1378" s="216">
        <v>240</v>
      </c>
      <c r="N1378" s="198">
        <f>MONTH(Tableau13[[#This Row],[Date fin intervention]])</f>
        <v>3</v>
      </c>
      <c r="O1378" s="108">
        <f>YEAR(Tableau13[[#This Row],[Date fin intervention]])</f>
        <v>2021</v>
      </c>
      <c r="P1378" s="61"/>
    </row>
    <row r="1379" spans="1:16">
      <c r="A1379" s="213">
        <v>44273</v>
      </c>
      <c r="B1379" s="214">
        <v>700</v>
      </c>
      <c r="C1379" s="106" t="str">
        <f>IF(ISNA(VLOOKUP(Tableau13[[#This Row],[Code machine]],'CODE mchn'!$A$4:$C$170,2,0)),"",VLOOKUP(Tableau13[[#This Row],[Code machine]],'CODE mchn'!$A$4:$C$170,2,0))</f>
        <v>Béton</v>
      </c>
      <c r="D1379" s="36" t="str">
        <f>IF(ISNA(VLOOKUP(Tableau13[[#This Row],[Code machine]],'CODE mchn'!$A$4:$C$170,3,0)),"",VLOOKUP(Tableau13[[#This Row],[Code machine]],'CODE mchn'!$A$4:$C$170,3,0))</f>
        <v>Poyatos 1</v>
      </c>
      <c r="E1379" s="105"/>
      <c r="F1379" s="36"/>
      <c r="G1379" s="61" t="s">
        <v>49</v>
      </c>
      <c r="H1379" s="61" t="s">
        <v>49</v>
      </c>
      <c r="I1379" s="61" t="s">
        <v>13</v>
      </c>
      <c r="J1379" s="250" t="s">
        <v>2419</v>
      </c>
      <c r="K1379" s="215">
        <v>44273</v>
      </c>
      <c r="L1379" s="61"/>
      <c r="M1379" s="216">
        <v>120</v>
      </c>
      <c r="N1379" s="198">
        <f>MONTH(Tableau13[[#This Row],[Date fin intervention]])</f>
        <v>3</v>
      </c>
      <c r="O1379" s="108">
        <f>YEAR(Tableau13[[#This Row],[Date fin intervention]])</f>
        <v>2021</v>
      </c>
      <c r="P1379" s="61"/>
    </row>
    <row r="1380" spans="1:16">
      <c r="A1380" s="213">
        <v>44273</v>
      </c>
      <c r="B1380" s="214">
        <v>571</v>
      </c>
      <c r="C1380" s="106" t="str">
        <f>IF(ISNA(VLOOKUP(Tableau13[[#This Row],[Code machine]],'CODE mchn'!$A$4:$C$170,2,0)),"",VLOOKUP(Tableau13[[#This Row],[Code machine]],'CODE mchn'!$A$4:$C$170,2,0))</f>
        <v>Acier</v>
      </c>
      <c r="D1380" s="36" t="str">
        <f>IF(ISNA(VLOOKUP(Tableau13[[#This Row],[Code machine]],'CODE mchn'!$A$4:$C$170,3,0)),"",VLOOKUP(Tableau13[[#This Row],[Code machine]],'CODE mchn'!$A$4:$C$170,3,0))</f>
        <v>EVG PN 1</v>
      </c>
      <c r="E1380" s="105"/>
      <c r="F1380" s="36"/>
      <c r="G1380" s="61" t="s">
        <v>726</v>
      </c>
      <c r="H1380" s="61" t="s">
        <v>2418</v>
      </c>
      <c r="I1380" s="61" t="s">
        <v>13</v>
      </c>
      <c r="J1380" s="250" t="s">
        <v>2207</v>
      </c>
      <c r="K1380" s="215">
        <v>44273</v>
      </c>
      <c r="L1380" s="61"/>
      <c r="M1380" s="216">
        <v>60</v>
      </c>
      <c r="N1380" s="198">
        <f>MONTH(Tableau13[[#This Row],[Date fin intervention]])</f>
        <v>3</v>
      </c>
      <c r="O1380" s="108">
        <f>YEAR(Tableau13[[#This Row],[Date fin intervention]])</f>
        <v>2021</v>
      </c>
      <c r="P1380" s="61"/>
    </row>
    <row r="1381" spans="1:16" ht="28.5">
      <c r="A1381" s="213">
        <v>44274</v>
      </c>
      <c r="B1381" s="214">
        <v>800</v>
      </c>
      <c r="C1381" s="106" t="str">
        <f>IF(ISNA(VLOOKUP(Tableau13[[#This Row],[Code machine]],'CODE mchn'!$A$4:$C$170,2,0)),"",VLOOKUP(Tableau13[[#This Row],[Code machine]],'CODE mchn'!$A$4:$C$170,2,0))</f>
        <v>Béton</v>
      </c>
      <c r="D1381" s="36" t="str">
        <f>IF(ISNA(VLOOKUP(Tableau13[[#This Row],[Code machine]],'CODE mchn'!$A$4:$C$170,3,0)),"",VLOOKUP(Tableau13[[#This Row],[Code machine]],'CODE mchn'!$A$4:$C$170,3,0))</f>
        <v>Poyatos 2</v>
      </c>
      <c r="E1381" s="105"/>
      <c r="F1381" s="36"/>
      <c r="G1381" s="61" t="s">
        <v>118</v>
      </c>
      <c r="H1381" s="61" t="s">
        <v>2422</v>
      </c>
      <c r="I1381" s="61" t="s">
        <v>13</v>
      </c>
      <c r="J1381" s="250" t="s">
        <v>2423</v>
      </c>
      <c r="K1381" s="215">
        <v>44274</v>
      </c>
      <c r="L1381" s="61"/>
      <c r="M1381" s="216">
        <v>150</v>
      </c>
      <c r="N1381" s="198">
        <f>MONTH(Tableau13[[#This Row],[Date fin intervention]])</f>
        <v>3</v>
      </c>
      <c r="O1381" s="108">
        <f>YEAR(Tableau13[[#This Row],[Date fin intervention]])</f>
        <v>2021</v>
      </c>
      <c r="P1381" s="61"/>
    </row>
    <row r="1382" spans="1:16">
      <c r="A1382" s="213">
        <v>44274</v>
      </c>
      <c r="B1382" s="214">
        <v>570</v>
      </c>
      <c r="C1382" s="106" t="str">
        <f>IF(ISNA(VLOOKUP(Tableau13[[#This Row],[Code machine]],'CODE mchn'!$A$4:$C$170,2,0)),"",VLOOKUP(Tableau13[[#This Row],[Code machine]],'CODE mchn'!$A$4:$C$170,2,0))</f>
        <v>Acier</v>
      </c>
      <c r="D1382" s="36" t="str">
        <f>IF(ISNA(VLOOKUP(Tableau13[[#This Row],[Code machine]],'CODE mchn'!$A$4:$C$170,3,0)),"",VLOOKUP(Tableau13[[#This Row],[Code machine]],'CODE mchn'!$A$4:$C$170,3,0))</f>
        <v>Sigmatic</v>
      </c>
      <c r="E1382" s="105"/>
      <c r="F1382" s="36"/>
      <c r="G1382" s="36" t="s">
        <v>136</v>
      </c>
      <c r="H1382" s="61" t="s">
        <v>2424</v>
      </c>
      <c r="I1382" s="61" t="s">
        <v>13</v>
      </c>
      <c r="J1382" s="250" t="s">
        <v>2224</v>
      </c>
      <c r="K1382" s="215">
        <v>44274</v>
      </c>
      <c r="L1382" s="61"/>
      <c r="M1382" s="216">
        <v>30</v>
      </c>
      <c r="N1382" s="198">
        <f>MONTH(Tableau13[[#This Row],[Date fin intervention]])</f>
        <v>3</v>
      </c>
      <c r="O1382" s="108">
        <f>YEAR(Tableau13[[#This Row],[Date fin intervention]])</f>
        <v>2021</v>
      </c>
      <c r="P1382" s="61"/>
    </row>
    <row r="1383" spans="1:16">
      <c r="A1383" s="213">
        <v>44274</v>
      </c>
      <c r="B1383" s="214">
        <v>570</v>
      </c>
      <c r="C1383" s="106" t="str">
        <f>IF(ISNA(VLOOKUP(Tableau13[[#This Row],[Code machine]],'CODE mchn'!$A$4:$C$170,2,0)),"",VLOOKUP(Tableau13[[#This Row],[Code machine]],'CODE mchn'!$A$4:$C$170,2,0))</f>
        <v>Acier</v>
      </c>
      <c r="D1383" s="36" t="str">
        <f>IF(ISNA(VLOOKUP(Tableau13[[#This Row],[Code machine]],'CODE mchn'!$A$4:$C$170,3,0)),"",VLOOKUP(Tableau13[[#This Row],[Code machine]],'CODE mchn'!$A$4:$C$170,3,0))</f>
        <v>Sigmatic</v>
      </c>
      <c r="E1383" s="105"/>
      <c r="F1383" s="36"/>
      <c r="G1383" s="61" t="s">
        <v>20</v>
      </c>
      <c r="H1383" s="61" t="s">
        <v>20</v>
      </c>
      <c r="I1383" s="61" t="s">
        <v>13</v>
      </c>
      <c r="J1383" s="250" t="s">
        <v>2425</v>
      </c>
      <c r="K1383" s="215">
        <v>44274</v>
      </c>
      <c r="L1383" s="61"/>
      <c r="M1383" s="216">
        <v>20</v>
      </c>
      <c r="N1383" s="198">
        <f>MONTH(Tableau13[[#This Row],[Date fin intervention]])</f>
        <v>3</v>
      </c>
      <c r="O1383" s="108">
        <f>YEAR(Tableau13[[#This Row],[Date fin intervention]])</f>
        <v>2021</v>
      </c>
      <c r="P1383" s="61"/>
    </row>
    <row r="1384" spans="1:16">
      <c r="A1384" s="213">
        <v>44274</v>
      </c>
      <c r="B1384" s="214">
        <v>560</v>
      </c>
      <c r="C1384" s="106" t="str">
        <f>IF(ISNA(VLOOKUP(Tableau13[[#This Row],[Code machine]],'CODE mchn'!$A$4:$C$170,2,0)),"",VLOOKUP(Tableau13[[#This Row],[Code machine]],'CODE mchn'!$A$4:$C$170,2,0))</f>
        <v>Acier</v>
      </c>
      <c r="D1384" s="36" t="str">
        <f>IF(ISNA(VLOOKUP(Tableau13[[#This Row],[Code machine]],'CODE mchn'!$A$4:$C$170,3,0)),"",VLOOKUP(Tableau13[[#This Row],[Code machine]],'CODE mchn'!$A$4:$C$170,3,0))</f>
        <v>Schlatter</v>
      </c>
      <c r="E1384" s="105">
        <v>24462</v>
      </c>
      <c r="F1384" s="36"/>
      <c r="G1384" s="61" t="s">
        <v>2426</v>
      </c>
      <c r="H1384" s="61" t="s">
        <v>2427</v>
      </c>
      <c r="I1384" s="61" t="s">
        <v>13</v>
      </c>
      <c r="J1384" s="250" t="s">
        <v>2408</v>
      </c>
      <c r="K1384" s="215">
        <v>44274</v>
      </c>
      <c r="L1384" s="61"/>
      <c r="M1384" s="216">
        <v>180</v>
      </c>
      <c r="N1384" s="198">
        <f>MONTH(Tableau13[[#This Row],[Date fin intervention]])</f>
        <v>3</v>
      </c>
      <c r="O1384" s="108">
        <f>YEAR(Tableau13[[#This Row],[Date fin intervention]])</f>
        <v>2021</v>
      </c>
      <c r="P1384" s="61"/>
    </row>
    <row r="1385" spans="1:16">
      <c r="A1385" s="213">
        <v>44274</v>
      </c>
      <c r="B1385" s="214">
        <v>570</v>
      </c>
      <c r="C1385" s="106" t="str">
        <f>IF(ISNA(VLOOKUP(Tableau13[[#This Row],[Code machine]],'CODE mchn'!$A$4:$C$170,2,0)),"",VLOOKUP(Tableau13[[#This Row],[Code machine]],'CODE mchn'!$A$4:$C$170,2,0))</f>
        <v>Acier</v>
      </c>
      <c r="D1385" s="36" t="str">
        <f>IF(ISNA(VLOOKUP(Tableau13[[#This Row],[Code machine]],'CODE mchn'!$A$4:$C$170,3,0)),"",VLOOKUP(Tableau13[[#This Row],[Code machine]],'CODE mchn'!$A$4:$C$170,3,0))</f>
        <v>Sigmatic</v>
      </c>
      <c r="E1385" s="105">
        <v>24463</v>
      </c>
      <c r="F1385" s="36"/>
      <c r="G1385" s="61" t="s">
        <v>2428</v>
      </c>
      <c r="H1385" s="61" t="s">
        <v>2429</v>
      </c>
      <c r="I1385" s="61" t="s">
        <v>13</v>
      </c>
      <c r="J1385" s="250" t="s">
        <v>2430</v>
      </c>
      <c r="K1385" s="215">
        <v>44274</v>
      </c>
      <c r="L1385" s="61"/>
      <c r="M1385" s="216">
        <v>180</v>
      </c>
      <c r="N1385" s="198">
        <f>MONTH(Tableau13[[#This Row],[Date fin intervention]])</f>
        <v>3</v>
      </c>
      <c r="O1385" s="108">
        <f>YEAR(Tableau13[[#This Row],[Date fin intervention]])</f>
        <v>2021</v>
      </c>
      <c r="P1385" s="61"/>
    </row>
    <row r="1386" spans="1:16">
      <c r="A1386" s="213">
        <v>44275</v>
      </c>
      <c r="B1386" s="214">
        <v>800</v>
      </c>
      <c r="C1386" s="106" t="str">
        <f>IF(ISNA(VLOOKUP(Tableau13[[#This Row],[Code machine]],'CODE mchn'!$A$4:$C$170,2,0)),"",VLOOKUP(Tableau13[[#This Row],[Code machine]],'CODE mchn'!$A$4:$C$170,2,0))</f>
        <v>Béton</v>
      </c>
      <c r="D1386" s="36" t="str">
        <f>IF(ISNA(VLOOKUP(Tableau13[[#This Row],[Code machine]],'CODE mchn'!$A$4:$C$170,3,0)),"",VLOOKUP(Tableau13[[#This Row],[Code machine]],'CODE mchn'!$A$4:$C$170,3,0))</f>
        <v>Poyatos 2</v>
      </c>
      <c r="E1386" s="105"/>
      <c r="F1386" s="36"/>
      <c r="G1386" s="61" t="s">
        <v>300</v>
      </c>
      <c r="H1386" s="61" t="s">
        <v>2431</v>
      </c>
      <c r="I1386" s="61" t="s">
        <v>13</v>
      </c>
      <c r="J1386" s="250" t="s">
        <v>2432</v>
      </c>
      <c r="K1386" s="215">
        <v>44275</v>
      </c>
      <c r="L1386" s="61"/>
      <c r="M1386" s="216">
        <v>90</v>
      </c>
      <c r="N1386" s="198">
        <f>MONTH(Tableau13[[#This Row],[Date fin intervention]])</f>
        <v>3</v>
      </c>
      <c r="O1386" s="108">
        <f>YEAR(Tableau13[[#This Row],[Date fin intervention]])</f>
        <v>2021</v>
      </c>
      <c r="P1386" s="61"/>
    </row>
    <row r="1387" spans="1:16">
      <c r="A1387" s="213">
        <v>44275</v>
      </c>
      <c r="B1387" s="214">
        <v>581</v>
      </c>
      <c r="C1387" s="106" t="str">
        <f>IF(ISNA(VLOOKUP(Tableau13[[#This Row],[Code machine]],'CODE mchn'!$A$4:$C$170,2,0)),"",VLOOKUP(Tableau13[[#This Row],[Code machine]],'CODE mchn'!$A$4:$C$170,2,0))</f>
        <v>Acier</v>
      </c>
      <c r="D1387" s="36" t="str">
        <f>IF(ISNA(VLOOKUP(Tableau13[[#This Row],[Code machine]],'CODE mchn'!$A$4:$C$170,3,0)),"",VLOOKUP(Tableau13[[#This Row],[Code machine]],'CODE mchn'!$A$4:$C$170,3,0))</f>
        <v>Teurema 1</v>
      </c>
      <c r="E1387" s="105"/>
      <c r="F1387" s="36"/>
      <c r="G1387" s="61" t="s">
        <v>2433</v>
      </c>
      <c r="H1387" s="61" t="s">
        <v>2434</v>
      </c>
      <c r="I1387" s="61" t="s">
        <v>13</v>
      </c>
      <c r="J1387" s="250" t="s">
        <v>2435</v>
      </c>
      <c r="K1387" s="215">
        <v>44275</v>
      </c>
      <c r="L1387" s="61"/>
      <c r="M1387" s="216">
        <v>120</v>
      </c>
      <c r="N1387" s="198">
        <f>MONTH(Tableau13[[#This Row],[Date fin intervention]])</f>
        <v>3</v>
      </c>
      <c r="O1387" s="108">
        <f>YEAR(Tableau13[[#This Row],[Date fin intervention]])</f>
        <v>2021</v>
      </c>
      <c r="P1387" s="61"/>
    </row>
    <row r="1388" spans="1:16" ht="28.5">
      <c r="A1388" s="213">
        <v>44276</v>
      </c>
      <c r="B1388" s="214">
        <v>800</v>
      </c>
      <c r="C1388" s="106" t="str">
        <f>IF(ISNA(VLOOKUP(Tableau13[[#This Row],[Code machine]],'CODE mchn'!$A$4:$C$170,2,0)),"",VLOOKUP(Tableau13[[#This Row],[Code machine]],'CODE mchn'!$A$4:$C$170,2,0))</f>
        <v>Béton</v>
      </c>
      <c r="D1388" s="36" t="str">
        <f>IF(ISNA(VLOOKUP(Tableau13[[#This Row],[Code machine]],'CODE mchn'!$A$4:$C$170,3,0)),"",VLOOKUP(Tableau13[[#This Row],[Code machine]],'CODE mchn'!$A$4:$C$170,3,0))</f>
        <v>Poyatos 2</v>
      </c>
      <c r="E1388" s="105"/>
      <c r="F1388" s="36"/>
      <c r="G1388" s="61" t="s">
        <v>118</v>
      </c>
      <c r="H1388" s="61" t="s">
        <v>2436</v>
      </c>
      <c r="I1388" s="61" t="s">
        <v>13</v>
      </c>
      <c r="J1388" s="250" t="s">
        <v>2437</v>
      </c>
      <c r="K1388" s="215">
        <v>44276</v>
      </c>
      <c r="L1388" s="61"/>
      <c r="M1388" s="216">
        <v>360</v>
      </c>
      <c r="N1388" s="198">
        <f>MONTH(Tableau13[[#This Row],[Date fin intervention]])</f>
        <v>3</v>
      </c>
      <c r="O1388" s="108">
        <f>YEAR(Tableau13[[#This Row],[Date fin intervention]])</f>
        <v>2021</v>
      </c>
      <c r="P1388" s="61"/>
    </row>
    <row r="1389" spans="1:16">
      <c r="A1389" s="213">
        <v>44277</v>
      </c>
      <c r="B1389" s="214">
        <v>573</v>
      </c>
      <c r="C1389" s="106" t="str">
        <f>IF(ISNA(VLOOKUP(Tableau13[[#This Row],[Code machine]],'CODE mchn'!$A$4:$C$170,2,0)),"",VLOOKUP(Tableau13[[#This Row],[Code machine]],'CODE mchn'!$A$4:$C$170,2,0))</f>
        <v>Ponts roulants</v>
      </c>
      <c r="D1389" s="36" t="str">
        <f>IF(ISNA(VLOOKUP(Tableau13[[#This Row],[Code machine]],'CODE mchn'!$A$4:$C$170,3,0)),"",VLOOKUP(Tableau13[[#This Row],[Code machine]],'CODE mchn'!$A$4:$C$170,3,0))</f>
        <v xml:space="preserve">Pont roulant Demag 1 3,5T </v>
      </c>
      <c r="E1389" s="105"/>
      <c r="F1389" s="36"/>
      <c r="G1389" s="61" t="s">
        <v>2438</v>
      </c>
      <c r="H1389" s="61" t="s">
        <v>2438</v>
      </c>
      <c r="I1389" s="61" t="s">
        <v>13</v>
      </c>
      <c r="J1389" s="250" t="s">
        <v>2146</v>
      </c>
      <c r="K1389" s="215">
        <v>44277</v>
      </c>
      <c r="L1389" s="61"/>
      <c r="M1389" s="216">
        <v>240</v>
      </c>
      <c r="N1389" s="198">
        <f>MONTH(Tableau13[[#This Row],[Date fin intervention]])</f>
        <v>3</v>
      </c>
      <c r="O1389" s="108">
        <f>YEAR(Tableau13[[#This Row],[Date fin intervention]])</f>
        <v>2021</v>
      </c>
      <c r="P1389" s="61"/>
    </row>
    <row r="1390" spans="1:16">
      <c r="A1390" s="213">
        <v>44277</v>
      </c>
      <c r="B1390" s="214">
        <v>570</v>
      </c>
      <c r="C1390" s="106" t="str">
        <f>IF(ISNA(VLOOKUP(Tableau13[[#This Row],[Code machine]],'CODE mchn'!$A$4:$C$170,2,0)),"",VLOOKUP(Tableau13[[#This Row],[Code machine]],'CODE mchn'!$A$4:$C$170,2,0))</f>
        <v>Acier</v>
      </c>
      <c r="D1390" s="36" t="str">
        <f>IF(ISNA(VLOOKUP(Tableau13[[#This Row],[Code machine]],'CODE mchn'!$A$4:$C$170,3,0)),"",VLOOKUP(Tableau13[[#This Row],[Code machine]],'CODE mchn'!$A$4:$C$170,3,0))</f>
        <v>Sigmatic</v>
      </c>
      <c r="E1390" s="105"/>
      <c r="F1390" s="36"/>
      <c r="G1390" s="61" t="s">
        <v>664</v>
      </c>
      <c r="H1390" s="61" t="s">
        <v>2001</v>
      </c>
      <c r="I1390" s="61" t="s">
        <v>13</v>
      </c>
      <c r="J1390" s="250" t="s">
        <v>2439</v>
      </c>
      <c r="K1390" s="215">
        <v>44277</v>
      </c>
      <c r="L1390" s="61"/>
      <c r="M1390" s="216">
        <v>30</v>
      </c>
      <c r="N1390" s="198">
        <f>MONTH(Tableau13[[#This Row],[Date fin intervention]])</f>
        <v>3</v>
      </c>
      <c r="O1390" s="108">
        <f>YEAR(Tableau13[[#This Row],[Date fin intervention]])</f>
        <v>2021</v>
      </c>
      <c r="P1390" s="61"/>
    </row>
    <row r="1391" spans="1:16" ht="28.5">
      <c r="A1391" s="213">
        <v>44277</v>
      </c>
      <c r="B1391" s="214">
        <v>584</v>
      </c>
      <c r="C1391" s="106" t="str">
        <f>IF(ISNA(VLOOKUP(Tableau13[[#This Row],[Code machine]],'CODE mchn'!$A$4:$C$170,2,0)),"",VLOOKUP(Tableau13[[#This Row],[Code machine]],'CODE mchn'!$A$4:$C$170,2,0))</f>
        <v>Ponts roulants</v>
      </c>
      <c r="D1391" s="36" t="str">
        <f>IF(ISNA(VLOOKUP(Tableau13[[#This Row],[Code machine]],'CODE mchn'!$A$4:$C$170,3,0)),"",VLOOKUP(Tableau13[[#This Row],[Code machine]],'CODE mchn'!$A$4:$C$170,3,0))</f>
        <v>Pont roulant Demag 3,2T (teurema2)</v>
      </c>
      <c r="E1391" s="105"/>
      <c r="F1391" s="36"/>
      <c r="G1391" s="61" t="s">
        <v>80</v>
      </c>
      <c r="H1391" s="61" t="s">
        <v>2440</v>
      </c>
      <c r="I1391" s="61" t="s">
        <v>13</v>
      </c>
      <c r="J1391" s="250" t="s">
        <v>2441</v>
      </c>
      <c r="K1391" s="215">
        <v>44277</v>
      </c>
      <c r="L1391" s="61"/>
      <c r="M1391" s="216">
        <v>60</v>
      </c>
      <c r="N1391" s="198">
        <f>MONTH(Tableau13[[#This Row],[Date fin intervention]])</f>
        <v>3</v>
      </c>
      <c r="O1391" s="108">
        <f>YEAR(Tableau13[[#This Row],[Date fin intervention]])</f>
        <v>2021</v>
      </c>
      <c r="P1391" s="61"/>
    </row>
    <row r="1392" spans="1:16">
      <c r="A1392" s="213">
        <v>44279</v>
      </c>
      <c r="B1392" s="214">
        <v>700</v>
      </c>
      <c r="C1392" s="106" t="str">
        <f>IF(ISNA(VLOOKUP(Tableau13[[#This Row],[Code machine]],'CODE mchn'!$A$4:$C$170,2,0)),"",VLOOKUP(Tableau13[[#This Row],[Code machine]],'CODE mchn'!$A$4:$C$170,2,0))</f>
        <v>Béton</v>
      </c>
      <c r="D1392" s="36" t="str">
        <f>IF(ISNA(VLOOKUP(Tableau13[[#This Row],[Code machine]],'CODE mchn'!$A$4:$C$170,3,0)),"",VLOOKUP(Tableau13[[#This Row],[Code machine]],'CODE mchn'!$A$4:$C$170,3,0))</f>
        <v>Poyatos 1</v>
      </c>
      <c r="E1392" s="105"/>
      <c r="F1392" s="36"/>
      <c r="G1392" s="61" t="s">
        <v>844</v>
      </c>
      <c r="H1392" s="61" t="s">
        <v>2442</v>
      </c>
      <c r="I1392" s="61" t="s">
        <v>13</v>
      </c>
      <c r="J1392" s="250" t="s">
        <v>2443</v>
      </c>
      <c r="K1392" s="215">
        <v>44279</v>
      </c>
      <c r="L1392" s="61"/>
      <c r="M1392" s="216">
        <v>40</v>
      </c>
      <c r="N1392" s="198">
        <f>MONTH(Tableau13[[#This Row],[Date fin intervention]])</f>
        <v>3</v>
      </c>
      <c r="O1392" s="108">
        <f>YEAR(Tableau13[[#This Row],[Date fin intervention]])</f>
        <v>2021</v>
      </c>
      <c r="P1392" s="61"/>
    </row>
    <row r="1393" spans="1:16">
      <c r="A1393" s="213">
        <v>44279</v>
      </c>
      <c r="B1393" s="214">
        <v>581</v>
      </c>
      <c r="C1393" s="106" t="str">
        <f>IF(ISNA(VLOOKUP(Tableau13[[#This Row],[Code machine]],'CODE mchn'!$A$4:$C$170,2,0)),"",VLOOKUP(Tableau13[[#This Row],[Code machine]],'CODE mchn'!$A$4:$C$170,2,0))</f>
        <v>Acier</v>
      </c>
      <c r="D1393" s="36" t="str">
        <f>IF(ISNA(VLOOKUP(Tableau13[[#This Row],[Code machine]],'CODE mchn'!$A$4:$C$170,3,0)),"",VLOOKUP(Tableau13[[#This Row],[Code machine]],'CODE mchn'!$A$4:$C$170,3,0))</f>
        <v>Teurema 1</v>
      </c>
      <c r="E1393" s="105"/>
      <c r="F1393" s="36"/>
      <c r="G1393" s="61" t="s">
        <v>2349</v>
      </c>
      <c r="H1393" s="61" t="s">
        <v>2444</v>
      </c>
      <c r="I1393" s="61" t="s">
        <v>13</v>
      </c>
      <c r="J1393" s="250" t="s">
        <v>2445</v>
      </c>
      <c r="K1393" s="215">
        <v>44279</v>
      </c>
      <c r="L1393" s="61"/>
      <c r="M1393" s="216">
        <v>165</v>
      </c>
      <c r="N1393" s="198">
        <f>MONTH(Tableau13[[#This Row],[Date fin intervention]])</f>
        <v>3</v>
      </c>
      <c r="O1393" s="108">
        <f>YEAR(Tableau13[[#This Row],[Date fin intervention]])</f>
        <v>2021</v>
      </c>
      <c r="P1393" s="61"/>
    </row>
    <row r="1394" spans="1:16">
      <c r="A1394" s="213">
        <v>44280</v>
      </c>
      <c r="B1394" s="214">
        <v>700</v>
      </c>
      <c r="C1394" s="106" t="str">
        <f>IF(ISNA(VLOOKUP(Tableau13[[#This Row],[Code machine]],'CODE mchn'!$A$4:$C$170,2,0)),"",VLOOKUP(Tableau13[[#This Row],[Code machine]],'CODE mchn'!$A$4:$C$170,2,0))</f>
        <v>Béton</v>
      </c>
      <c r="D1394" s="36" t="str">
        <f>IF(ISNA(VLOOKUP(Tableau13[[#This Row],[Code machine]],'CODE mchn'!$A$4:$C$170,3,0)),"",VLOOKUP(Tableau13[[#This Row],[Code machine]],'CODE mchn'!$A$4:$C$170,3,0))</f>
        <v>Poyatos 1</v>
      </c>
      <c r="E1394" s="105"/>
      <c r="F1394" s="36"/>
      <c r="G1394" s="61" t="s">
        <v>213</v>
      </c>
      <c r="H1394" s="61" t="s">
        <v>2446</v>
      </c>
      <c r="I1394" s="61" t="s">
        <v>13</v>
      </c>
      <c r="J1394" s="250" t="s">
        <v>2447</v>
      </c>
      <c r="K1394" s="215">
        <v>44280</v>
      </c>
      <c r="L1394" s="61"/>
      <c r="M1394" s="216">
        <v>90</v>
      </c>
      <c r="N1394" s="198">
        <f>MONTH(Tableau13[[#This Row],[Date fin intervention]])</f>
        <v>3</v>
      </c>
      <c r="O1394" s="108">
        <f>YEAR(Tableau13[[#This Row],[Date fin intervention]])</f>
        <v>2021</v>
      </c>
      <c r="P1394" s="61"/>
    </row>
    <row r="1395" spans="1:16">
      <c r="A1395" s="213">
        <v>44281</v>
      </c>
      <c r="B1395" s="214">
        <v>700</v>
      </c>
      <c r="C1395" s="106" t="str">
        <f>IF(ISNA(VLOOKUP(Tableau13[[#This Row],[Code machine]],'CODE mchn'!$A$4:$C$170,2,0)),"",VLOOKUP(Tableau13[[#This Row],[Code machine]],'CODE mchn'!$A$4:$C$170,2,0))</f>
        <v>Béton</v>
      </c>
      <c r="D1395" s="36" t="str">
        <f>IF(ISNA(VLOOKUP(Tableau13[[#This Row],[Code machine]],'CODE mchn'!$A$4:$C$170,3,0)),"",VLOOKUP(Tableau13[[#This Row],[Code machine]],'CODE mchn'!$A$4:$C$170,3,0))</f>
        <v>Poyatos 1</v>
      </c>
      <c r="E1395" s="105"/>
      <c r="F1395" s="36"/>
      <c r="G1395" s="61" t="s">
        <v>291</v>
      </c>
      <c r="H1395" s="61" t="s">
        <v>2448</v>
      </c>
      <c r="I1395" s="61" t="s">
        <v>13</v>
      </c>
      <c r="J1395" s="250" t="s">
        <v>2449</v>
      </c>
      <c r="K1395" s="215">
        <v>44281</v>
      </c>
      <c r="L1395" s="61"/>
      <c r="M1395" s="216">
        <v>30</v>
      </c>
      <c r="N1395" s="198">
        <f>MONTH(Tableau13[[#This Row],[Date fin intervention]])</f>
        <v>3</v>
      </c>
      <c r="O1395" s="108">
        <f>YEAR(Tableau13[[#This Row],[Date fin intervention]])</f>
        <v>2021</v>
      </c>
      <c r="P1395" s="61"/>
    </row>
    <row r="1396" spans="1:16">
      <c r="A1396" s="213">
        <v>44281</v>
      </c>
      <c r="B1396" s="214">
        <v>582</v>
      </c>
      <c r="C1396" s="106" t="str">
        <f>IF(ISNA(VLOOKUP(Tableau13[[#This Row],[Code machine]],'CODE mchn'!$A$4:$C$170,2,0)),"",VLOOKUP(Tableau13[[#This Row],[Code machine]],'CODE mchn'!$A$4:$C$170,2,0))</f>
        <v>Acier</v>
      </c>
      <c r="D1396" s="36" t="str">
        <f>IF(ISNA(VLOOKUP(Tableau13[[#This Row],[Code machine]],'CODE mchn'!$A$4:$C$170,3,0)),"",VLOOKUP(Tableau13[[#This Row],[Code machine]],'CODE mchn'!$A$4:$C$170,3,0))</f>
        <v>Teurema 2</v>
      </c>
      <c r="E1396" s="105"/>
      <c r="F1396" s="36"/>
      <c r="G1396" s="61" t="s">
        <v>2242</v>
      </c>
      <c r="H1396" s="61" t="s">
        <v>2450</v>
      </c>
      <c r="I1396" s="61" t="s">
        <v>13</v>
      </c>
      <c r="J1396" s="250" t="s">
        <v>2451</v>
      </c>
      <c r="K1396" s="215">
        <v>44281</v>
      </c>
      <c r="L1396" s="61"/>
      <c r="M1396" s="216">
        <v>180</v>
      </c>
      <c r="N1396" s="198">
        <f>MONTH(Tableau13[[#This Row],[Date fin intervention]])</f>
        <v>3</v>
      </c>
      <c r="O1396" s="108">
        <f>YEAR(Tableau13[[#This Row],[Date fin intervention]])</f>
        <v>2021</v>
      </c>
      <c r="P1396" s="61"/>
    </row>
    <row r="1397" spans="1:16">
      <c r="A1397" s="213">
        <v>44281</v>
      </c>
      <c r="B1397" s="214">
        <v>581</v>
      </c>
      <c r="C1397" s="106" t="str">
        <f>IF(ISNA(VLOOKUP(Tableau13[[#This Row],[Code machine]],'CODE mchn'!$A$4:$C$170,2,0)),"",VLOOKUP(Tableau13[[#This Row],[Code machine]],'CODE mchn'!$A$4:$C$170,2,0))</f>
        <v>Acier</v>
      </c>
      <c r="D1397" s="36" t="str">
        <f>IF(ISNA(VLOOKUP(Tableau13[[#This Row],[Code machine]],'CODE mchn'!$A$4:$C$170,3,0)),"",VLOOKUP(Tableau13[[#This Row],[Code machine]],'CODE mchn'!$A$4:$C$170,3,0))</f>
        <v>Teurema 1</v>
      </c>
      <c r="E1397" s="105"/>
      <c r="F1397" s="36"/>
      <c r="G1397" s="61" t="s">
        <v>2452</v>
      </c>
      <c r="H1397" s="61" t="s">
        <v>2453</v>
      </c>
      <c r="I1397" s="61" t="s">
        <v>13</v>
      </c>
      <c r="J1397" s="250" t="s">
        <v>2454</v>
      </c>
      <c r="K1397" s="215">
        <v>44281</v>
      </c>
      <c r="L1397" s="61"/>
      <c r="M1397" s="216">
        <v>120</v>
      </c>
      <c r="N1397" s="198">
        <f>MONTH(Tableau13[[#This Row],[Date fin intervention]])</f>
        <v>3</v>
      </c>
      <c r="O1397" s="108">
        <f>YEAR(Tableau13[[#This Row],[Date fin intervention]])</f>
        <v>2021</v>
      </c>
      <c r="P1397" s="61"/>
    </row>
    <row r="1398" spans="1:16" ht="28.5">
      <c r="A1398" s="213">
        <v>44282</v>
      </c>
      <c r="B1398" s="214">
        <v>700</v>
      </c>
      <c r="C1398" s="106" t="str">
        <f>IF(ISNA(VLOOKUP(Tableau13[[#This Row],[Code machine]],'CODE mchn'!$A$4:$C$170,2,0)),"",VLOOKUP(Tableau13[[#This Row],[Code machine]],'CODE mchn'!$A$4:$C$170,2,0))</f>
        <v>Béton</v>
      </c>
      <c r="D1398" s="36" t="str">
        <f>IF(ISNA(VLOOKUP(Tableau13[[#This Row],[Code machine]],'CODE mchn'!$A$4:$C$170,3,0)),"",VLOOKUP(Tableau13[[#This Row],[Code machine]],'CODE mchn'!$A$4:$C$170,3,0))</f>
        <v>Poyatos 1</v>
      </c>
      <c r="E1398" s="105"/>
      <c r="F1398" s="36"/>
      <c r="G1398" s="61" t="s">
        <v>118</v>
      </c>
      <c r="H1398" s="61" t="s">
        <v>2455</v>
      </c>
      <c r="I1398" s="61" t="s">
        <v>13</v>
      </c>
      <c r="J1398" s="250" t="s">
        <v>2456</v>
      </c>
      <c r="K1398" s="215">
        <v>44282</v>
      </c>
      <c r="L1398" s="61"/>
      <c r="M1398" s="216">
        <v>60</v>
      </c>
      <c r="N1398" s="198">
        <f>MONTH(Tableau13[[#This Row],[Date fin intervention]])</f>
        <v>3</v>
      </c>
      <c r="O1398" s="108">
        <f>YEAR(Tableau13[[#This Row],[Date fin intervention]])</f>
        <v>2021</v>
      </c>
      <c r="P1398" s="61"/>
    </row>
    <row r="1399" spans="1:16">
      <c r="A1399" s="213">
        <v>44282</v>
      </c>
      <c r="B1399" s="214">
        <v>700</v>
      </c>
      <c r="C1399" s="106" t="str">
        <f>IF(ISNA(VLOOKUP(Tableau13[[#This Row],[Code machine]],'CODE mchn'!$A$4:$C$170,2,0)),"",VLOOKUP(Tableau13[[#This Row],[Code machine]],'CODE mchn'!$A$4:$C$170,2,0))</f>
        <v>Béton</v>
      </c>
      <c r="D1399" s="36" t="str">
        <f>IF(ISNA(VLOOKUP(Tableau13[[#This Row],[Code machine]],'CODE mchn'!$A$4:$C$170,3,0)),"",VLOOKUP(Tableau13[[#This Row],[Code machine]],'CODE mchn'!$A$4:$C$170,3,0))</f>
        <v>Poyatos 1</v>
      </c>
      <c r="E1399" s="105"/>
      <c r="F1399" s="36"/>
      <c r="G1399" s="61"/>
      <c r="H1399" s="61" t="s">
        <v>2457</v>
      </c>
      <c r="I1399" s="61" t="s">
        <v>13</v>
      </c>
      <c r="J1399" s="250" t="s">
        <v>2458</v>
      </c>
      <c r="K1399" s="215">
        <v>44282</v>
      </c>
      <c r="L1399" s="61"/>
      <c r="M1399" s="216">
        <v>30</v>
      </c>
      <c r="N1399" s="198">
        <f>MONTH(Tableau13[[#This Row],[Date fin intervention]])</f>
        <v>3</v>
      </c>
      <c r="O1399" s="108">
        <f>YEAR(Tableau13[[#This Row],[Date fin intervention]])</f>
        <v>2021</v>
      </c>
      <c r="P1399" s="61"/>
    </row>
    <row r="1400" spans="1:16">
      <c r="A1400" s="213">
        <v>44282</v>
      </c>
      <c r="B1400" s="214">
        <v>582</v>
      </c>
      <c r="C1400" s="106" t="str">
        <f>IF(ISNA(VLOOKUP(Tableau13[[#This Row],[Code machine]],'CODE mchn'!$A$4:$C$170,2,0)),"",VLOOKUP(Tableau13[[#This Row],[Code machine]],'CODE mchn'!$A$4:$C$170,2,0))</f>
        <v>Acier</v>
      </c>
      <c r="D1400" s="36" t="str">
        <f>IF(ISNA(VLOOKUP(Tableau13[[#This Row],[Code machine]],'CODE mchn'!$A$4:$C$170,3,0)),"",VLOOKUP(Tableau13[[#This Row],[Code machine]],'CODE mchn'!$A$4:$C$170,3,0))</f>
        <v>Teurema 2</v>
      </c>
      <c r="E1400" s="105"/>
      <c r="F1400" s="36"/>
      <c r="G1400" s="61" t="s">
        <v>2107</v>
      </c>
      <c r="H1400" s="61" t="s">
        <v>2459</v>
      </c>
      <c r="I1400" s="61" t="s">
        <v>13</v>
      </c>
      <c r="J1400" s="250" t="s">
        <v>2460</v>
      </c>
      <c r="K1400" s="215">
        <v>44282</v>
      </c>
      <c r="L1400" s="61"/>
      <c r="M1400" s="216">
        <v>45</v>
      </c>
      <c r="N1400" s="198">
        <f>MONTH(Tableau13[[#This Row],[Date fin intervention]])</f>
        <v>3</v>
      </c>
      <c r="O1400" s="108">
        <f>YEAR(Tableau13[[#This Row],[Date fin intervention]])</f>
        <v>2021</v>
      </c>
      <c r="P1400" s="61"/>
    </row>
    <row r="1401" spans="1:16">
      <c r="A1401" s="213">
        <v>44282</v>
      </c>
      <c r="B1401" s="214">
        <v>580</v>
      </c>
      <c r="C1401" s="106" t="str">
        <f>IF(ISNA(VLOOKUP(Tableau13[[#This Row],[Code machine]],'CODE mchn'!$A$4:$C$170,2,0)),"",VLOOKUP(Tableau13[[#This Row],[Code machine]],'CODE mchn'!$A$4:$C$170,2,0))</f>
        <v>Acier</v>
      </c>
      <c r="D1401" s="36" t="str">
        <f>IF(ISNA(VLOOKUP(Tableau13[[#This Row],[Code machine]],'CODE mchn'!$A$4:$C$170,3,0)),"",VLOOKUP(Tableau13[[#This Row],[Code machine]],'CODE mchn'!$A$4:$C$170,3,0))</f>
        <v>Techno Impiante</v>
      </c>
      <c r="E1401" s="105"/>
      <c r="F1401" s="36"/>
      <c r="G1401" s="61" t="s">
        <v>49</v>
      </c>
      <c r="H1401" s="61" t="s">
        <v>49</v>
      </c>
      <c r="I1401" s="61" t="s">
        <v>13</v>
      </c>
      <c r="J1401" s="250" t="s">
        <v>2461</v>
      </c>
      <c r="K1401" s="215">
        <v>44282</v>
      </c>
      <c r="L1401" s="61"/>
      <c r="M1401" s="216">
        <v>30</v>
      </c>
      <c r="N1401" s="198">
        <f>MONTH(Tableau13[[#This Row],[Date fin intervention]])</f>
        <v>3</v>
      </c>
      <c r="O1401" s="108">
        <f>YEAR(Tableau13[[#This Row],[Date fin intervention]])</f>
        <v>2021</v>
      </c>
      <c r="P1401" s="61"/>
    </row>
    <row r="1402" spans="1:16" ht="28.5">
      <c r="A1402" s="213">
        <v>44283</v>
      </c>
      <c r="B1402" s="214">
        <v>700</v>
      </c>
      <c r="C1402" s="106" t="str">
        <f>IF(ISNA(VLOOKUP(Tableau13[[#This Row],[Code machine]],'CODE mchn'!$A$4:$C$170,2,0)),"",VLOOKUP(Tableau13[[#This Row],[Code machine]],'CODE mchn'!$A$4:$C$170,2,0))</f>
        <v>Béton</v>
      </c>
      <c r="D1402" s="36" t="str">
        <f>IF(ISNA(VLOOKUP(Tableau13[[#This Row],[Code machine]],'CODE mchn'!$A$4:$C$170,3,0)),"",VLOOKUP(Tableau13[[#This Row],[Code machine]],'CODE mchn'!$A$4:$C$170,3,0))</f>
        <v>Poyatos 1</v>
      </c>
      <c r="E1402" s="105"/>
      <c r="F1402" s="36"/>
      <c r="G1402" s="61" t="s">
        <v>291</v>
      </c>
      <c r="H1402" s="61" t="s">
        <v>2462</v>
      </c>
      <c r="I1402" s="61" t="s">
        <v>13</v>
      </c>
      <c r="J1402" s="250" t="s">
        <v>2463</v>
      </c>
      <c r="K1402" s="215">
        <v>44283</v>
      </c>
      <c r="L1402" s="61"/>
      <c r="M1402" s="216">
        <v>360</v>
      </c>
      <c r="N1402" s="198">
        <f>MONTH(Tableau13[[#This Row],[Date fin intervention]])</f>
        <v>3</v>
      </c>
      <c r="O1402" s="108">
        <f>YEAR(Tableau13[[#This Row],[Date fin intervention]])</f>
        <v>2021</v>
      </c>
      <c r="P1402" s="61"/>
    </row>
    <row r="1403" spans="1:16">
      <c r="A1403" s="213">
        <v>44283</v>
      </c>
      <c r="B1403" s="214">
        <v>581</v>
      </c>
      <c r="C1403" s="106" t="str">
        <f>IF(ISNA(VLOOKUP(Tableau13[[#This Row],[Code machine]],'CODE mchn'!$A$4:$C$170,2,0)),"",VLOOKUP(Tableau13[[#This Row],[Code machine]],'CODE mchn'!$A$4:$C$170,2,0))</f>
        <v>Acier</v>
      </c>
      <c r="D1403" s="36" t="str">
        <f>IF(ISNA(VLOOKUP(Tableau13[[#This Row],[Code machine]],'CODE mchn'!$A$4:$C$170,3,0)),"",VLOOKUP(Tableau13[[#This Row],[Code machine]],'CODE mchn'!$A$4:$C$170,3,0))</f>
        <v>Teurema 1</v>
      </c>
      <c r="E1403" s="105"/>
      <c r="F1403" s="36"/>
      <c r="G1403" s="61" t="s">
        <v>1644</v>
      </c>
      <c r="H1403" s="61" t="s">
        <v>2464</v>
      </c>
      <c r="I1403" s="61" t="s">
        <v>13</v>
      </c>
      <c r="J1403" s="250" t="s">
        <v>2465</v>
      </c>
      <c r="K1403" s="215">
        <v>44283</v>
      </c>
      <c r="L1403" s="61"/>
      <c r="M1403" s="216">
        <v>300</v>
      </c>
      <c r="N1403" s="198">
        <f>MONTH(Tableau13[[#This Row],[Date fin intervention]])</f>
        <v>3</v>
      </c>
      <c r="O1403" s="108">
        <f>YEAR(Tableau13[[#This Row],[Date fin intervention]])</f>
        <v>2021</v>
      </c>
      <c r="P1403" s="61"/>
    </row>
    <row r="1404" spans="1:16">
      <c r="A1404" s="213">
        <v>44284</v>
      </c>
      <c r="B1404" s="214">
        <v>570</v>
      </c>
      <c r="C1404" s="106" t="str">
        <f>IF(ISNA(VLOOKUP(Tableau13[[#This Row],[Code machine]],'CODE mchn'!$A$4:$C$170,2,0)),"",VLOOKUP(Tableau13[[#This Row],[Code machine]],'CODE mchn'!$A$4:$C$170,2,0))</f>
        <v>Acier</v>
      </c>
      <c r="D1404" s="36" t="str">
        <f>IF(ISNA(VLOOKUP(Tableau13[[#This Row],[Code machine]],'CODE mchn'!$A$4:$C$170,3,0)),"",VLOOKUP(Tableau13[[#This Row],[Code machine]],'CODE mchn'!$A$4:$C$170,3,0))</f>
        <v>Sigmatic</v>
      </c>
      <c r="E1404" s="105"/>
      <c r="F1404" s="36"/>
      <c r="G1404" s="61" t="s">
        <v>1221</v>
      </c>
      <c r="H1404" s="61" t="s">
        <v>1221</v>
      </c>
      <c r="I1404" s="61" t="s">
        <v>13</v>
      </c>
      <c r="J1404" s="250" t="s">
        <v>2466</v>
      </c>
      <c r="K1404" s="215">
        <v>44284</v>
      </c>
      <c r="L1404" s="61"/>
      <c r="M1404" s="216">
        <v>60</v>
      </c>
      <c r="N1404" s="198">
        <f>MONTH(Tableau13[[#This Row],[Date fin intervention]])</f>
        <v>3</v>
      </c>
      <c r="O1404" s="108">
        <f>YEAR(Tableau13[[#This Row],[Date fin intervention]])</f>
        <v>2021</v>
      </c>
      <c r="P1404" s="61"/>
    </row>
    <row r="1405" spans="1:16">
      <c r="A1405" s="104">
        <v>44285</v>
      </c>
      <c r="B1405" s="105">
        <v>800</v>
      </c>
      <c r="C1405" s="106" t="str">
        <f>IF(ISNA(VLOOKUP(Tableau13[[#This Row],[Code machine]],'CODE mchn'!$A$4:$C$170,2,0)),"",VLOOKUP(Tableau13[[#This Row],[Code machine]],'CODE mchn'!$A$4:$C$170,2,0))</f>
        <v>Béton</v>
      </c>
      <c r="D1405" s="36" t="str">
        <f>IF(ISNA(VLOOKUP(Tableau13[[#This Row],[Code machine]],'CODE mchn'!$A$4:$C$170,3,0)),"",VLOOKUP(Tableau13[[#This Row],[Code machine]],'CODE mchn'!$A$4:$C$170,3,0))</f>
        <v>Poyatos 2</v>
      </c>
      <c r="E1405" s="105"/>
      <c r="F1405" s="36"/>
      <c r="G1405" s="36" t="s">
        <v>118</v>
      </c>
      <c r="H1405" s="36" t="s">
        <v>2467</v>
      </c>
      <c r="I1405" s="36" t="s">
        <v>13</v>
      </c>
      <c r="J1405" s="106" t="s">
        <v>2468</v>
      </c>
      <c r="K1405" s="71">
        <v>44285</v>
      </c>
      <c r="L1405" s="36"/>
      <c r="M1405" s="108">
        <v>150</v>
      </c>
      <c r="N1405" s="198">
        <f>MONTH(Tableau13[[#This Row],[Date fin intervention]])</f>
        <v>3</v>
      </c>
      <c r="O1405" s="108">
        <f>YEAR(Tableau13[[#This Row],[Date fin intervention]])</f>
        <v>2021</v>
      </c>
      <c r="P1405" s="36"/>
    </row>
    <row r="1406" spans="1:16">
      <c r="A1406" s="104">
        <v>44285</v>
      </c>
      <c r="B1406" s="105">
        <v>800</v>
      </c>
      <c r="C1406" s="106" t="str">
        <f>IF(ISNA(VLOOKUP(Tableau13[[#This Row],[Code machine]],'CODE mchn'!$A$4:$C$170,2,0)),"",VLOOKUP(Tableau13[[#This Row],[Code machine]],'CODE mchn'!$A$4:$C$170,2,0))</f>
        <v>Béton</v>
      </c>
      <c r="D1406" s="36" t="str">
        <f>IF(ISNA(VLOOKUP(Tableau13[[#This Row],[Code machine]],'CODE mchn'!$A$4:$C$170,3,0)),"",VLOOKUP(Tableau13[[#This Row],[Code machine]],'CODE mchn'!$A$4:$C$170,3,0))</f>
        <v>Poyatos 2</v>
      </c>
      <c r="E1406" s="105"/>
      <c r="F1406" s="36"/>
      <c r="G1406" s="36" t="s">
        <v>118</v>
      </c>
      <c r="H1406" s="36" t="s">
        <v>118</v>
      </c>
      <c r="I1406" s="36" t="s">
        <v>13</v>
      </c>
      <c r="J1406" s="106" t="s">
        <v>2469</v>
      </c>
      <c r="K1406" s="71">
        <v>44285</v>
      </c>
      <c r="L1406" s="36"/>
      <c r="M1406" s="108">
        <v>60</v>
      </c>
      <c r="N1406" s="198">
        <f>MONTH(Tableau13[[#This Row],[Date fin intervention]])</f>
        <v>3</v>
      </c>
      <c r="O1406" s="108">
        <f>YEAR(Tableau13[[#This Row],[Date fin intervention]])</f>
        <v>2021</v>
      </c>
      <c r="P1406" s="36"/>
    </row>
    <row r="1407" spans="1:16">
      <c r="A1407" s="104">
        <v>44285</v>
      </c>
      <c r="B1407" s="105">
        <v>800</v>
      </c>
      <c r="C1407" s="106" t="str">
        <f>IF(ISNA(VLOOKUP(Tableau13[[#This Row],[Code machine]],'CODE mchn'!$A$4:$C$170,2,0)),"",VLOOKUP(Tableau13[[#This Row],[Code machine]],'CODE mchn'!$A$4:$C$170,2,0))</f>
        <v>Béton</v>
      </c>
      <c r="D1407" s="36" t="str">
        <f>IF(ISNA(VLOOKUP(Tableau13[[#This Row],[Code machine]],'CODE mchn'!$A$4:$C$170,3,0)),"",VLOOKUP(Tableau13[[#This Row],[Code machine]],'CODE mchn'!$A$4:$C$170,3,0))</f>
        <v>Poyatos 2</v>
      </c>
      <c r="E1407" s="105"/>
      <c r="F1407" s="36"/>
      <c r="G1407" s="36" t="s">
        <v>185</v>
      </c>
      <c r="H1407" s="36" t="s">
        <v>2470</v>
      </c>
      <c r="I1407" s="36" t="s">
        <v>13</v>
      </c>
      <c r="J1407" s="106" t="s">
        <v>2471</v>
      </c>
      <c r="K1407" s="71">
        <v>44285</v>
      </c>
      <c r="L1407" s="36"/>
      <c r="M1407" s="108">
        <v>90</v>
      </c>
      <c r="N1407" s="198">
        <f>MONTH(Tableau13[[#This Row],[Date fin intervention]])</f>
        <v>3</v>
      </c>
      <c r="O1407" s="108">
        <f>YEAR(Tableau13[[#This Row],[Date fin intervention]])</f>
        <v>2021</v>
      </c>
      <c r="P1407" s="36"/>
    </row>
    <row r="1408" spans="1:16">
      <c r="A1408" s="104">
        <v>44285</v>
      </c>
      <c r="B1408" s="105">
        <v>582</v>
      </c>
      <c r="C1408" s="106" t="str">
        <f>IF(ISNA(VLOOKUP(Tableau13[[#This Row],[Code machine]],'CODE mchn'!$A$4:$C$170,2,0)),"",VLOOKUP(Tableau13[[#This Row],[Code machine]],'CODE mchn'!$A$4:$C$170,2,0))</f>
        <v>Acier</v>
      </c>
      <c r="D1408" s="36" t="str">
        <f>IF(ISNA(VLOOKUP(Tableau13[[#This Row],[Code machine]],'CODE mchn'!$A$4:$C$170,3,0)),"",VLOOKUP(Tableau13[[#This Row],[Code machine]],'CODE mchn'!$A$4:$C$170,3,0))</f>
        <v>Teurema 2</v>
      </c>
      <c r="E1408" s="105"/>
      <c r="F1408" s="36"/>
      <c r="G1408" s="36" t="s">
        <v>70</v>
      </c>
      <c r="H1408" s="36" t="s">
        <v>2472</v>
      </c>
      <c r="I1408" s="36" t="s">
        <v>13</v>
      </c>
      <c r="J1408" s="106" t="s">
        <v>2473</v>
      </c>
      <c r="K1408" s="71">
        <v>44285</v>
      </c>
      <c r="L1408" s="36"/>
      <c r="M1408" s="108">
        <f>8*60</f>
        <v>480</v>
      </c>
      <c r="N1408" s="198">
        <f>MONTH(Tableau13[[#This Row],[Date fin intervention]])</f>
        <v>3</v>
      </c>
      <c r="O1408" s="108">
        <f>YEAR(Tableau13[[#This Row],[Date fin intervention]])</f>
        <v>2021</v>
      </c>
      <c r="P1408" s="36"/>
    </row>
    <row r="1409" spans="1:16">
      <c r="A1409" s="104">
        <v>44285</v>
      </c>
      <c r="B1409" s="105">
        <v>607</v>
      </c>
      <c r="C1409" s="106" t="str">
        <f>IF(ISNA(VLOOKUP(Tableau13[[#This Row],[Code machine]],'CODE mchn'!$A$4:$C$170,2,0)),"",VLOOKUP(Tableau13[[#This Row],[Code machine]],'CODE mchn'!$A$4:$C$170,2,0))</f>
        <v>Acier</v>
      </c>
      <c r="D1409" s="36" t="str">
        <f>IF(ISNA(VLOOKUP(Tableau13[[#This Row],[Code machine]],'CODE mchn'!$A$4:$C$170,3,0)),"",VLOOKUP(Tableau13[[#This Row],[Code machine]],'CODE mchn'!$A$4:$C$170,3,0))</f>
        <v>Vitari 3</v>
      </c>
      <c r="E1409" s="105"/>
      <c r="F1409" s="36"/>
      <c r="G1409" s="36" t="s">
        <v>10</v>
      </c>
      <c r="H1409" s="36" t="s">
        <v>10</v>
      </c>
      <c r="I1409" s="36" t="s">
        <v>13</v>
      </c>
      <c r="J1409" s="106" t="s">
        <v>2474</v>
      </c>
      <c r="K1409" s="71">
        <v>44285</v>
      </c>
      <c r="L1409" s="36"/>
      <c r="M1409" s="108">
        <v>60</v>
      </c>
      <c r="N1409" s="198">
        <f>MONTH(Tableau13[[#This Row],[Date fin intervention]])</f>
        <v>3</v>
      </c>
      <c r="O1409" s="108">
        <f>YEAR(Tableau13[[#This Row],[Date fin intervention]])</f>
        <v>2021</v>
      </c>
      <c r="P1409" s="36"/>
    </row>
    <row r="1410" spans="1:16" ht="28.5">
      <c r="A1410" s="104">
        <v>44285</v>
      </c>
      <c r="B1410" s="105">
        <v>800</v>
      </c>
      <c r="C1410" s="106" t="str">
        <f>IF(ISNA(VLOOKUP(Tableau13[[#This Row],[Code machine]],'CODE mchn'!$A$4:$C$170,2,0)),"",VLOOKUP(Tableau13[[#This Row],[Code machine]],'CODE mchn'!$A$4:$C$170,2,0))</f>
        <v>Béton</v>
      </c>
      <c r="D1410" s="36" t="str">
        <f>IF(ISNA(VLOOKUP(Tableau13[[#This Row],[Code machine]],'CODE mchn'!$A$4:$C$170,3,0)),"",VLOOKUP(Tableau13[[#This Row],[Code machine]],'CODE mchn'!$A$4:$C$170,3,0))</f>
        <v>Poyatos 2</v>
      </c>
      <c r="E1410" s="105"/>
      <c r="F1410" s="36"/>
      <c r="G1410" s="36" t="s">
        <v>49</v>
      </c>
      <c r="H1410" s="36" t="s">
        <v>2475</v>
      </c>
      <c r="I1410" s="36" t="s">
        <v>13</v>
      </c>
      <c r="J1410" s="106" t="s">
        <v>2476</v>
      </c>
      <c r="K1410" s="71">
        <v>44286</v>
      </c>
      <c r="L1410" s="36"/>
      <c r="M1410" s="108">
        <v>30</v>
      </c>
      <c r="N1410" s="198">
        <f>MONTH(Tableau13[[#This Row],[Date fin intervention]])</f>
        <v>3</v>
      </c>
      <c r="O1410" s="108">
        <f>YEAR(Tableau13[[#This Row],[Date fin intervention]])</f>
        <v>2021</v>
      </c>
      <c r="P1410" s="36"/>
    </row>
    <row r="1411" spans="1:16">
      <c r="A1411" s="104">
        <v>44286</v>
      </c>
      <c r="B1411" s="105">
        <v>800</v>
      </c>
      <c r="C1411" s="106" t="str">
        <f>IF(ISNA(VLOOKUP(Tableau13[[#This Row],[Code machine]],'CODE mchn'!$A$4:$C$170,2,0)),"",VLOOKUP(Tableau13[[#This Row],[Code machine]],'CODE mchn'!$A$4:$C$170,2,0))</f>
        <v>Béton</v>
      </c>
      <c r="D1411" s="36" t="str">
        <f>IF(ISNA(VLOOKUP(Tableau13[[#This Row],[Code machine]],'CODE mchn'!$A$4:$C$170,3,0)),"",VLOOKUP(Tableau13[[#This Row],[Code machine]],'CODE mchn'!$A$4:$C$170,3,0))</f>
        <v>Poyatos 2</v>
      </c>
      <c r="E1411" s="105"/>
      <c r="F1411" s="36"/>
      <c r="G1411" s="36" t="s">
        <v>46</v>
      </c>
      <c r="H1411" s="36" t="s">
        <v>2477</v>
      </c>
      <c r="I1411" s="36" t="s">
        <v>13</v>
      </c>
      <c r="J1411" s="106" t="s">
        <v>2478</v>
      </c>
      <c r="K1411" s="71">
        <v>44285</v>
      </c>
      <c r="L1411" s="36"/>
      <c r="M1411" s="108">
        <v>30</v>
      </c>
      <c r="N1411" s="198">
        <f>MONTH(Tableau13[[#This Row],[Date fin intervention]])</f>
        <v>3</v>
      </c>
      <c r="O1411" s="108">
        <f>YEAR(Tableau13[[#This Row],[Date fin intervention]])</f>
        <v>2021</v>
      </c>
      <c r="P1411" s="36"/>
    </row>
    <row r="1412" spans="1:16" ht="28.5">
      <c r="A1412" s="104">
        <v>44286</v>
      </c>
      <c r="B1412" s="105">
        <v>565</v>
      </c>
      <c r="C1412" s="106" t="str">
        <f>IF(ISNA(VLOOKUP(Tableau13[[#This Row],[Code machine]],'CODE mchn'!$A$4:$C$170,2,0)),"",VLOOKUP(Tableau13[[#This Row],[Code machine]],'CODE mchn'!$A$4:$C$170,2,0))</f>
        <v>Acier</v>
      </c>
      <c r="D1412" s="36" t="str">
        <f>IF(ISNA(VLOOKUP(Tableau13[[#This Row],[Code machine]],'CODE mchn'!$A$4:$C$170,3,0)),"",VLOOKUP(Tableau13[[#This Row],[Code machine]],'CODE mchn'!$A$4:$C$170,3,0))</f>
        <v>EVG GE12</v>
      </c>
      <c r="E1412" s="105"/>
      <c r="F1412" s="36"/>
      <c r="G1412" s="36" t="s">
        <v>2243</v>
      </c>
      <c r="H1412" s="36" t="s">
        <v>2513</v>
      </c>
      <c r="I1412" s="36" t="s">
        <v>13</v>
      </c>
      <c r="J1412" s="106" t="s">
        <v>2490</v>
      </c>
      <c r="K1412" s="71">
        <v>44286</v>
      </c>
      <c r="L1412" s="36"/>
      <c r="M1412" s="108">
        <f>3*60</f>
        <v>180</v>
      </c>
      <c r="N1412" s="198">
        <f>MONTH(Tableau13[[#This Row],[Date fin intervention]])</f>
        <v>3</v>
      </c>
      <c r="O1412" s="108">
        <f>YEAR(Tableau13[[#This Row],[Date fin intervention]])</f>
        <v>2021</v>
      </c>
      <c r="P1412" s="36"/>
    </row>
    <row r="1413" spans="1:16">
      <c r="A1413" s="104">
        <v>44286</v>
      </c>
      <c r="B1413" s="105">
        <v>533</v>
      </c>
      <c r="C1413" s="106" t="str">
        <f>IF(ISNA(VLOOKUP(Tableau13[[#This Row],[Code machine]],'CODE mchn'!$A$4:$C$170,2,0)),"",VLOOKUP(Tableau13[[#This Row],[Code machine]],'CODE mchn'!$A$4:$C$170,2,0))</f>
        <v>Enrobage</v>
      </c>
      <c r="D1413" s="36" t="str">
        <f>IF(ISNA(VLOOKUP(Tableau13[[#This Row],[Code machine]],'CODE mchn'!$A$4:$C$170,3,0)),"",VLOOKUP(Tableau13[[#This Row],[Code machine]],'CODE mchn'!$A$4:$C$170,3,0))</f>
        <v>CAROSSEL</v>
      </c>
      <c r="E1413" s="105"/>
      <c r="F1413" s="36"/>
      <c r="G1413" s="36" t="s">
        <v>118</v>
      </c>
      <c r="H1413" s="36"/>
      <c r="I1413" s="36" t="s">
        <v>13</v>
      </c>
      <c r="J1413" s="106" t="s">
        <v>2479</v>
      </c>
      <c r="K1413" s="71">
        <v>44286</v>
      </c>
      <c r="L1413" s="36"/>
      <c r="M1413" s="108">
        <v>45</v>
      </c>
      <c r="N1413" s="198">
        <f>MONTH(Tableau13[[#This Row],[Date fin intervention]])</f>
        <v>3</v>
      </c>
      <c r="O1413" s="108">
        <f>YEAR(Tableau13[[#This Row],[Date fin intervention]])</f>
        <v>2021</v>
      </c>
      <c r="P1413" s="36"/>
    </row>
    <row r="1414" spans="1:16">
      <c r="A1414" s="104">
        <v>44286</v>
      </c>
      <c r="B1414" s="105">
        <v>581</v>
      </c>
      <c r="C1414" s="106" t="str">
        <f>IF(ISNA(VLOOKUP(Tableau13[[#This Row],[Code machine]],'CODE mchn'!$A$4:$C$170,2,0)),"",VLOOKUP(Tableau13[[#This Row],[Code machine]],'CODE mchn'!$A$4:$C$170,2,0))</f>
        <v>Acier</v>
      </c>
      <c r="D1414" s="36" t="str">
        <f>IF(ISNA(VLOOKUP(Tableau13[[#This Row],[Code machine]],'CODE mchn'!$A$4:$C$170,3,0)),"",VLOOKUP(Tableau13[[#This Row],[Code machine]],'CODE mchn'!$A$4:$C$170,3,0))</f>
        <v>Teurema 1</v>
      </c>
      <c r="E1414" s="105"/>
      <c r="F1414" s="36"/>
      <c r="G1414" s="36" t="s">
        <v>49</v>
      </c>
      <c r="H1414" s="36" t="s">
        <v>2480</v>
      </c>
      <c r="I1414" s="36" t="s">
        <v>13</v>
      </c>
      <c r="J1414" s="106" t="s">
        <v>2481</v>
      </c>
      <c r="K1414" s="71">
        <v>44286</v>
      </c>
      <c r="L1414" s="36"/>
      <c r="M1414" s="108">
        <v>90</v>
      </c>
      <c r="N1414" s="198">
        <f>MONTH(Tableau13[[#This Row],[Date fin intervention]])</f>
        <v>3</v>
      </c>
      <c r="O1414" s="108">
        <f>YEAR(Tableau13[[#This Row],[Date fin intervention]])</f>
        <v>2021</v>
      </c>
      <c r="P1414" s="36"/>
    </row>
    <row r="1415" spans="1:16">
      <c r="A1415" s="104">
        <v>44286</v>
      </c>
      <c r="B1415" s="105">
        <v>581</v>
      </c>
      <c r="C1415" s="106" t="str">
        <f>IF(ISNA(VLOOKUP(Tableau13[[#This Row],[Code machine]],'CODE mchn'!$A$4:$C$170,2,0)),"",VLOOKUP(Tableau13[[#This Row],[Code machine]],'CODE mchn'!$A$4:$C$170,2,0))</f>
        <v>Acier</v>
      </c>
      <c r="D1415" s="36" t="str">
        <f>IF(ISNA(VLOOKUP(Tableau13[[#This Row],[Code machine]],'CODE mchn'!$A$4:$C$170,3,0)),"",VLOOKUP(Tableau13[[#This Row],[Code machine]],'CODE mchn'!$A$4:$C$170,3,0))</f>
        <v>Teurema 1</v>
      </c>
      <c r="E1415" s="105"/>
      <c r="F1415" s="36"/>
      <c r="G1415" s="36" t="s">
        <v>2452</v>
      </c>
      <c r="H1415" s="36" t="s">
        <v>2482</v>
      </c>
      <c r="I1415" s="36" t="s">
        <v>13</v>
      </c>
      <c r="J1415" s="106" t="s">
        <v>2483</v>
      </c>
      <c r="K1415" s="71">
        <v>44286</v>
      </c>
      <c r="L1415" s="36"/>
      <c r="M1415" s="108">
        <f>60*3</f>
        <v>180</v>
      </c>
      <c r="N1415" s="198">
        <f>MONTH(Tableau13[[#This Row],[Date fin intervention]])</f>
        <v>3</v>
      </c>
      <c r="O1415" s="108">
        <f>YEAR(Tableau13[[#This Row],[Date fin intervention]])</f>
        <v>2021</v>
      </c>
      <c r="P1415" s="36"/>
    </row>
    <row r="1416" spans="1:16">
      <c r="A1416" s="104">
        <v>44286</v>
      </c>
      <c r="B1416" s="105">
        <v>581</v>
      </c>
      <c r="C1416" s="106" t="str">
        <f>IF(ISNA(VLOOKUP(Tableau13[[#This Row],[Code machine]],'CODE mchn'!$A$4:$C$170,2,0)),"",VLOOKUP(Tableau13[[#This Row],[Code machine]],'CODE mchn'!$A$4:$C$170,2,0))</f>
        <v>Acier</v>
      </c>
      <c r="D1416" s="36" t="str">
        <f>IF(ISNA(VLOOKUP(Tableau13[[#This Row],[Code machine]],'CODE mchn'!$A$4:$C$170,3,0)),"",VLOOKUP(Tableau13[[#This Row],[Code machine]],'CODE mchn'!$A$4:$C$170,3,0))</f>
        <v>Teurema 1</v>
      </c>
      <c r="E1416" s="105"/>
      <c r="F1416" s="36"/>
      <c r="G1416" s="36" t="s">
        <v>2484</v>
      </c>
      <c r="H1416" s="36" t="s">
        <v>2485</v>
      </c>
      <c r="I1416" s="36" t="s">
        <v>13</v>
      </c>
      <c r="J1416" s="106" t="s">
        <v>2486</v>
      </c>
      <c r="K1416" s="71">
        <v>44286</v>
      </c>
      <c r="L1416" s="36"/>
      <c r="M1416" s="108">
        <v>30</v>
      </c>
      <c r="N1416" s="198">
        <f>MONTH(Tableau13[[#This Row],[Date fin intervention]])</f>
        <v>3</v>
      </c>
      <c r="O1416" s="108">
        <f>YEAR(Tableau13[[#This Row],[Date fin intervention]])</f>
        <v>2021</v>
      </c>
      <c r="P1416" s="36"/>
    </row>
    <row r="1417" spans="1:16">
      <c r="A1417" s="104">
        <v>44286</v>
      </c>
      <c r="B1417" s="105">
        <v>565</v>
      </c>
      <c r="C1417" s="106" t="str">
        <f>IF(ISNA(VLOOKUP(Tableau13[[#This Row],[Code machine]],'CODE mchn'!$A$4:$C$170,2,0)),"",VLOOKUP(Tableau13[[#This Row],[Code machine]],'CODE mchn'!$A$4:$C$170,2,0))</f>
        <v>Acier</v>
      </c>
      <c r="D1417" s="36" t="str">
        <f>IF(ISNA(VLOOKUP(Tableau13[[#This Row],[Code machine]],'CODE mchn'!$A$4:$C$170,3,0)),"",VLOOKUP(Tableau13[[#This Row],[Code machine]],'CODE mchn'!$A$4:$C$170,3,0))</f>
        <v>EVG GE12</v>
      </c>
      <c r="E1417" s="105"/>
      <c r="F1417" s="36"/>
      <c r="G1417" s="36" t="s">
        <v>78</v>
      </c>
      <c r="H1417" s="36" t="s">
        <v>2487</v>
      </c>
      <c r="I1417" s="36" t="s">
        <v>13</v>
      </c>
      <c r="J1417" s="106" t="s">
        <v>2488</v>
      </c>
      <c r="K1417" s="71">
        <v>44286</v>
      </c>
      <c r="L1417" s="36"/>
      <c r="M1417" s="108">
        <v>120</v>
      </c>
      <c r="N1417" s="198">
        <f>MONTH(Tableau13[[#This Row],[Date fin intervention]])</f>
        <v>3</v>
      </c>
      <c r="O1417" s="108">
        <f>YEAR(Tableau13[[#This Row],[Date fin intervention]])</f>
        <v>2021</v>
      </c>
      <c r="P1417" s="36"/>
    </row>
    <row r="1418" spans="1:16" ht="28.5">
      <c r="A1418" s="104">
        <v>44286</v>
      </c>
      <c r="B1418" s="105">
        <v>565</v>
      </c>
      <c r="C1418" s="106" t="str">
        <f>IF(ISNA(VLOOKUP(Tableau13[[#This Row],[Code machine]],'CODE mchn'!$A$4:$C$170,2,0)),"",VLOOKUP(Tableau13[[#This Row],[Code machine]],'CODE mchn'!$A$4:$C$170,2,0))</f>
        <v>Acier</v>
      </c>
      <c r="D1418" s="36" t="str">
        <f>IF(ISNA(VLOOKUP(Tableau13[[#This Row],[Code machine]],'CODE mchn'!$A$4:$C$170,3,0)),"",VLOOKUP(Tableau13[[#This Row],[Code machine]],'CODE mchn'!$A$4:$C$170,3,0))</f>
        <v>EVG GE12</v>
      </c>
      <c r="E1418" s="105"/>
      <c r="F1418" s="36"/>
      <c r="G1418" s="36" t="s">
        <v>55</v>
      </c>
      <c r="H1418" s="36" t="s">
        <v>1356</v>
      </c>
      <c r="I1418" s="36" t="s">
        <v>13</v>
      </c>
      <c r="J1418" s="106" t="s">
        <v>2489</v>
      </c>
      <c r="K1418" s="71">
        <v>44286</v>
      </c>
      <c r="L1418" s="36"/>
      <c r="M1418" s="108">
        <v>45</v>
      </c>
      <c r="N1418" s="198">
        <f>MONTH(Tableau13[[#This Row],[Date fin intervention]])</f>
        <v>3</v>
      </c>
      <c r="O1418" s="108">
        <f>YEAR(Tableau13[[#This Row],[Date fin intervention]])</f>
        <v>2021</v>
      </c>
      <c r="P1418" s="36"/>
    </row>
    <row r="1419" spans="1:16">
      <c r="A1419" s="104">
        <v>44287</v>
      </c>
      <c r="B1419" s="105">
        <v>582</v>
      </c>
      <c r="C1419" s="106" t="str">
        <f>IF(ISNA(VLOOKUP(Tableau13[[#This Row],[Code machine]],'CODE mchn'!$A$4:$C$170,2,0)),"",VLOOKUP(Tableau13[[#This Row],[Code machine]],'CODE mchn'!$A$4:$C$170,2,0))</f>
        <v>Acier</v>
      </c>
      <c r="D1419" s="36" t="str">
        <f>IF(ISNA(VLOOKUP(Tableau13[[#This Row],[Code machine]],'CODE mchn'!$A$4:$C$170,3,0)),"",VLOOKUP(Tableau13[[#This Row],[Code machine]],'CODE mchn'!$A$4:$C$170,3,0))</f>
        <v>Teurema 2</v>
      </c>
      <c r="E1419" s="105"/>
      <c r="F1419" s="36"/>
      <c r="G1419" s="36" t="s">
        <v>2411</v>
      </c>
      <c r="H1419" s="36" t="s">
        <v>2491</v>
      </c>
      <c r="I1419" s="36" t="s">
        <v>13</v>
      </c>
      <c r="J1419" s="106" t="s">
        <v>2492</v>
      </c>
      <c r="K1419" s="71">
        <v>44287</v>
      </c>
      <c r="L1419" s="36"/>
      <c r="M1419" s="108">
        <v>45</v>
      </c>
      <c r="N1419" s="198">
        <f>MONTH(Tableau13[[#This Row],[Date fin intervention]])</f>
        <v>4</v>
      </c>
      <c r="O1419" s="108">
        <f>YEAR(Tableau13[[#This Row],[Date fin intervention]])</f>
        <v>2021</v>
      </c>
      <c r="P1419" s="36"/>
    </row>
    <row r="1420" spans="1:16" ht="28.5">
      <c r="A1420" s="104">
        <v>44287</v>
      </c>
      <c r="B1420" s="105">
        <v>583</v>
      </c>
      <c r="C1420" s="106" t="str">
        <f>IF(ISNA(VLOOKUP(Tableau13[[#This Row],[Code machine]],'CODE mchn'!$A$4:$C$170,2,0)),"",VLOOKUP(Tableau13[[#This Row],[Code machine]],'CODE mchn'!$A$4:$C$170,2,0))</f>
        <v>Ponts roulants</v>
      </c>
      <c r="D1420" s="36" t="str">
        <f>IF(ISNA(VLOOKUP(Tableau13[[#This Row],[Code machine]],'CODE mchn'!$A$4:$C$170,3,0)),"",VLOOKUP(Tableau13[[#This Row],[Code machine]],'CODE mchn'!$A$4:$C$170,3,0))</f>
        <v>Pont roulant Abus 5T (teurema1)</v>
      </c>
      <c r="E1420" s="105"/>
      <c r="F1420" s="36"/>
      <c r="G1420" s="36" t="s">
        <v>1294</v>
      </c>
      <c r="H1420" s="36" t="s">
        <v>2493</v>
      </c>
      <c r="I1420" s="36" t="s">
        <v>13</v>
      </c>
      <c r="J1420" s="106" t="s">
        <v>2494</v>
      </c>
      <c r="K1420" s="71">
        <v>44287</v>
      </c>
      <c r="L1420" s="36"/>
      <c r="M1420" s="108">
        <v>30</v>
      </c>
      <c r="N1420" s="198">
        <f>MONTH(Tableau13[[#This Row],[Date fin intervention]])</f>
        <v>4</v>
      </c>
      <c r="O1420" s="108">
        <f>YEAR(Tableau13[[#This Row],[Date fin intervention]])</f>
        <v>2021</v>
      </c>
      <c r="P1420" s="36"/>
    </row>
    <row r="1421" spans="1:16">
      <c r="A1421" s="104">
        <v>44287</v>
      </c>
      <c r="B1421" s="105">
        <v>605</v>
      </c>
      <c r="C1421" s="106" t="str">
        <f>IF(ISNA(VLOOKUP(Tableau13[[#This Row],[Code machine]],'CODE mchn'!$A$4:$C$170,2,0)),"",VLOOKUP(Tableau13[[#This Row],[Code machine]],'CODE mchn'!$A$4:$C$170,2,0))</f>
        <v>Acier</v>
      </c>
      <c r="D1421" s="36" t="str">
        <f>IF(ISNA(VLOOKUP(Tableau13[[#This Row],[Code machine]],'CODE mchn'!$A$4:$C$170,3,0)),"",VLOOKUP(Tableau13[[#This Row],[Code machine]],'CODE mchn'!$A$4:$C$170,3,0))</f>
        <v>Vitari 1</v>
      </c>
      <c r="E1421" s="105"/>
      <c r="F1421" s="36"/>
      <c r="G1421" s="36" t="s">
        <v>78</v>
      </c>
      <c r="H1421" s="36" t="s">
        <v>2495</v>
      </c>
      <c r="I1421" s="36" t="s">
        <v>13</v>
      </c>
      <c r="J1421" s="106" t="s">
        <v>2496</v>
      </c>
      <c r="K1421" s="71">
        <v>44287</v>
      </c>
      <c r="L1421" s="36"/>
      <c r="M1421" s="108">
        <v>60</v>
      </c>
      <c r="N1421" s="198">
        <f>MONTH(Tableau13[[#This Row],[Date fin intervention]])</f>
        <v>4</v>
      </c>
      <c r="O1421" s="108">
        <f>YEAR(Tableau13[[#This Row],[Date fin intervention]])</f>
        <v>2021</v>
      </c>
      <c r="P1421" s="36"/>
    </row>
    <row r="1422" spans="1:16" ht="28.5">
      <c r="A1422" s="104">
        <v>44287</v>
      </c>
      <c r="B1422" s="105">
        <v>568</v>
      </c>
      <c r="C1422" s="106" t="str">
        <f>IF(ISNA(VLOOKUP(Tableau13[[#This Row],[Code machine]],'CODE mchn'!$A$4:$C$170,2,0)),"",VLOOKUP(Tableau13[[#This Row],[Code machine]],'CODE mchn'!$A$4:$C$170,2,0))</f>
        <v>Ponts roulants</v>
      </c>
      <c r="D1422" s="36" t="str">
        <f>IF(ISNA(VLOOKUP(Tableau13[[#This Row],[Code machine]],'CODE mchn'!$A$4:$C$170,3,0)),"",VLOOKUP(Tableau13[[#This Row],[Code machine]],'CODE mchn'!$A$4:$C$170,3,0))</f>
        <v>Pont roulant Demag 5T (milieu)</v>
      </c>
      <c r="E1422" s="105"/>
      <c r="F1422" s="36"/>
      <c r="G1422" s="36" t="s">
        <v>2438</v>
      </c>
      <c r="H1422" s="36" t="s">
        <v>608</v>
      </c>
      <c r="I1422" s="36" t="s">
        <v>13</v>
      </c>
      <c r="J1422" s="106" t="s">
        <v>2497</v>
      </c>
      <c r="K1422" s="71">
        <v>44287</v>
      </c>
      <c r="L1422" s="36"/>
      <c r="M1422" s="108">
        <f>3*60</f>
        <v>180</v>
      </c>
      <c r="N1422" s="198">
        <f>MONTH(Tableau13[[#This Row],[Date fin intervention]])</f>
        <v>4</v>
      </c>
      <c r="O1422" s="108">
        <f>YEAR(Tableau13[[#This Row],[Date fin intervention]])</f>
        <v>2021</v>
      </c>
      <c r="P1422" s="36"/>
    </row>
    <row r="1423" spans="1:16" ht="28.5">
      <c r="A1423" s="104">
        <v>44287</v>
      </c>
      <c r="B1423" s="105">
        <v>561</v>
      </c>
      <c r="C1423" s="106" t="str">
        <f>IF(ISNA(VLOOKUP(Tableau13[[#This Row],[Code machine]],'CODE mchn'!$A$4:$C$170,2,0)),"",VLOOKUP(Tableau13[[#This Row],[Code machine]],'CODE mchn'!$A$4:$C$170,2,0))</f>
        <v>Ponts roulants</v>
      </c>
      <c r="D1423" s="36" t="str">
        <f>IF(ISNA(VLOOKUP(Tableau13[[#This Row],[Code machine]],'CODE mchn'!$A$4:$C$170,3,0)),"",VLOOKUP(Tableau13[[#This Row],[Code machine]],'CODE mchn'!$A$4:$C$170,3,0))</f>
        <v>Pont roulant Demag 5T TS</v>
      </c>
      <c r="E1423" s="105"/>
      <c r="F1423" s="36"/>
      <c r="G1423" s="36" t="s">
        <v>52</v>
      </c>
      <c r="H1423" s="36" t="s">
        <v>2498</v>
      </c>
      <c r="I1423" s="36" t="s">
        <v>13</v>
      </c>
      <c r="J1423" s="106" t="s">
        <v>2499</v>
      </c>
      <c r="K1423" s="71">
        <v>44287</v>
      </c>
      <c r="L1423" s="36"/>
      <c r="M1423" s="108">
        <v>105</v>
      </c>
      <c r="N1423" s="198">
        <f>MONTH(Tableau13[[#This Row],[Date fin intervention]])</f>
        <v>4</v>
      </c>
      <c r="O1423" s="108">
        <f>YEAR(Tableau13[[#This Row],[Date fin intervention]])</f>
        <v>2021</v>
      </c>
      <c r="P1423" s="36"/>
    </row>
    <row r="1424" spans="1:16" ht="28.5">
      <c r="A1424" s="104">
        <v>44287</v>
      </c>
      <c r="B1424" s="105">
        <v>440</v>
      </c>
      <c r="C1424" s="106" t="str">
        <f>IF(ISNA(VLOOKUP(Tableau13[[#This Row],[Code machine]],'CODE mchn'!$A$4:$C$170,2,0)),"",VLOOKUP(Tableau13[[#This Row],[Code machine]],'CODE mchn'!$A$4:$C$170,2,0))</f>
        <v>Compresseurs</v>
      </c>
      <c r="D1424" s="36" t="str">
        <f>IF(ISNA(VLOOKUP(Tableau13[[#This Row],[Code machine]],'CODE mchn'!$A$4:$C$170,3,0)),"",VLOOKUP(Tableau13[[#This Row],[Code machine]],'CODE mchn'!$A$4:$C$170,3,0))</f>
        <v>GA 37 (schlatter)</v>
      </c>
      <c r="E1424" s="105"/>
      <c r="F1424" s="36"/>
      <c r="G1424" s="36" t="s">
        <v>2502</v>
      </c>
      <c r="H1424" s="36" t="s">
        <v>2500</v>
      </c>
      <c r="I1424" s="36" t="s">
        <v>13</v>
      </c>
      <c r="J1424" s="106" t="s">
        <v>2501</v>
      </c>
      <c r="K1424" s="71">
        <v>44287</v>
      </c>
      <c r="L1424" s="36"/>
      <c r="M1424" s="108">
        <v>30</v>
      </c>
      <c r="N1424" s="198">
        <f>MONTH(Tableau13[[#This Row],[Date fin intervention]])</f>
        <v>4</v>
      </c>
      <c r="O1424" s="108">
        <f>YEAR(Tableau13[[#This Row],[Date fin intervention]])</f>
        <v>2021</v>
      </c>
      <c r="P1424" s="36"/>
    </row>
    <row r="1425" spans="1:16" ht="28.5">
      <c r="A1425" s="181">
        <v>44287</v>
      </c>
      <c r="B1425" s="182">
        <v>561</v>
      </c>
      <c r="C1425" s="183" t="str">
        <f>IF(ISNA(VLOOKUP(Tableau13[[#This Row],[Code machine]],'CODE mchn'!$A$4:$C$170,2,0)),"",VLOOKUP(Tableau13[[#This Row],[Code machine]],'CODE mchn'!$A$4:$C$170,2,0))</f>
        <v>Ponts roulants</v>
      </c>
      <c r="D1425" s="184" t="str">
        <f>IF(ISNA(VLOOKUP(Tableau13[[#This Row],[Code machine]],'CODE mchn'!$A$4:$C$170,3,0)),"",VLOOKUP(Tableau13[[#This Row],[Code machine]],'CODE mchn'!$A$4:$C$170,3,0))</f>
        <v>Pont roulant Demag 5T TS</v>
      </c>
      <c r="E1425" s="105">
        <v>24367</v>
      </c>
      <c r="F1425" s="36"/>
      <c r="G1425" s="184" t="s">
        <v>52</v>
      </c>
      <c r="H1425" s="184" t="s">
        <v>2498</v>
      </c>
      <c r="I1425" s="184" t="s">
        <v>13</v>
      </c>
      <c r="J1425" s="183" t="s">
        <v>2499</v>
      </c>
      <c r="K1425" s="185">
        <v>44287</v>
      </c>
      <c r="L1425" s="184"/>
      <c r="M1425" s="186">
        <v>165</v>
      </c>
      <c r="N1425" s="186">
        <f>MONTH(Tableau13[[#This Row],[Date fin intervention]])</f>
        <v>4</v>
      </c>
      <c r="O1425" s="108">
        <f>YEAR(Tableau13[[#This Row],[Date fin intervention]])</f>
        <v>2021</v>
      </c>
      <c r="P1425" s="184"/>
    </row>
    <row r="1426" spans="1:16">
      <c r="A1426" s="181">
        <v>44287</v>
      </c>
      <c r="B1426" s="182">
        <v>605</v>
      </c>
      <c r="C1426" s="183" t="str">
        <f>IF(ISNA(VLOOKUP(Tableau13[[#This Row],[Code machine]],'CODE mchn'!$A$4:$C$170,2,0)),"",VLOOKUP(Tableau13[[#This Row],[Code machine]],'CODE mchn'!$A$4:$C$170,2,0))</f>
        <v>Acier</v>
      </c>
      <c r="D1426" s="184" t="str">
        <f>IF(ISNA(VLOOKUP(Tableau13[[#This Row],[Code machine]],'CODE mchn'!$A$4:$C$170,3,0)),"",VLOOKUP(Tableau13[[#This Row],[Code machine]],'CODE mchn'!$A$4:$C$170,3,0))</f>
        <v>Vitari 1</v>
      </c>
      <c r="E1426" s="105">
        <v>24355</v>
      </c>
      <c r="F1426" s="36"/>
      <c r="G1426" s="184" t="s">
        <v>78</v>
      </c>
      <c r="H1426" s="184" t="s">
        <v>2495</v>
      </c>
      <c r="I1426" s="184" t="s">
        <v>13</v>
      </c>
      <c r="J1426" s="183" t="s">
        <v>2496</v>
      </c>
      <c r="K1426" s="185">
        <v>44287</v>
      </c>
      <c r="L1426" s="184"/>
      <c r="M1426" s="186">
        <v>60</v>
      </c>
      <c r="N1426" s="186">
        <f>MONTH(Tableau13[[#This Row],[Date fin intervention]])</f>
        <v>4</v>
      </c>
      <c r="O1426" s="108">
        <f>YEAR(Tableau13[[#This Row],[Date fin intervention]])</f>
        <v>2021</v>
      </c>
      <c r="P1426" s="184"/>
    </row>
    <row r="1427" spans="1:16">
      <c r="A1427" s="181">
        <v>44287</v>
      </c>
      <c r="B1427" s="182">
        <v>581</v>
      </c>
      <c r="C1427" s="183" t="str">
        <f>IF(ISNA(VLOOKUP(Tableau13[[#This Row],[Code machine]],'CODE mchn'!$A$4:$C$170,2,0)),"",VLOOKUP(Tableau13[[#This Row],[Code machine]],'CODE mchn'!$A$4:$C$170,2,0))</f>
        <v>Acier</v>
      </c>
      <c r="D1427" s="184" t="str">
        <f>IF(ISNA(VLOOKUP(Tableau13[[#This Row],[Code machine]],'CODE mchn'!$A$4:$C$170,3,0)),"",VLOOKUP(Tableau13[[#This Row],[Code machine]],'CODE mchn'!$A$4:$C$170,3,0))</f>
        <v>Teurema 1</v>
      </c>
      <c r="E1427" s="105">
        <v>24427</v>
      </c>
      <c r="F1427" s="36"/>
      <c r="G1427" s="184" t="s">
        <v>2484</v>
      </c>
      <c r="H1427" s="184" t="s">
        <v>2517</v>
      </c>
      <c r="I1427" s="184" t="s">
        <v>13</v>
      </c>
      <c r="J1427" s="183" t="s">
        <v>2518</v>
      </c>
      <c r="K1427" s="185">
        <v>44287</v>
      </c>
      <c r="L1427" s="184"/>
      <c r="M1427" s="186">
        <v>120</v>
      </c>
      <c r="N1427" s="186">
        <f>MONTH(Tableau13[[#This Row],[Date fin intervention]])</f>
        <v>4</v>
      </c>
      <c r="O1427" s="108">
        <f>YEAR(Tableau13[[#This Row],[Date fin intervention]])</f>
        <v>2021</v>
      </c>
      <c r="P1427" s="184"/>
    </row>
    <row r="1428" spans="1:16">
      <c r="A1428" s="181">
        <v>44287</v>
      </c>
      <c r="B1428" s="182">
        <v>570</v>
      </c>
      <c r="C1428" s="183" t="str">
        <f>IF(ISNA(VLOOKUP(Tableau13[[#This Row],[Code machine]],'CODE mchn'!$A$4:$C$170,2,0)),"",VLOOKUP(Tableau13[[#This Row],[Code machine]],'CODE mchn'!$A$4:$C$170,2,0))</f>
        <v>Acier</v>
      </c>
      <c r="D1428" s="184" t="str">
        <f>IF(ISNA(VLOOKUP(Tableau13[[#This Row],[Code machine]],'CODE mchn'!$A$4:$C$170,3,0)),"",VLOOKUP(Tableau13[[#This Row],[Code machine]],'CODE mchn'!$A$4:$C$170,3,0))</f>
        <v>Sigmatic</v>
      </c>
      <c r="E1428" s="105">
        <v>24711</v>
      </c>
      <c r="F1428" s="36"/>
      <c r="G1428" s="184" t="s">
        <v>664</v>
      </c>
      <c r="H1428" s="184" t="s">
        <v>2519</v>
      </c>
      <c r="I1428" s="184" t="s">
        <v>13</v>
      </c>
      <c r="J1428" s="183" t="s">
        <v>2316</v>
      </c>
      <c r="K1428" s="185">
        <v>44287</v>
      </c>
      <c r="L1428" s="184"/>
      <c r="M1428" s="186">
        <v>120</v>
      </c>
      <c r="N1428" s="186">
        <f>MONTH(Tableau13[[#This Row],[Date fin intervention]])</f>
        <v>4</v>
      </c>
      <c r="O1428" s="108">
        <f>YEAR(Tableau13[[#This Row],[Date fin intervention]])</f>
        <v>2021</v>
      </c>
      <c r="P1428" s="184"/>
    </row>
    <row r="1429" spans="1:16">
      <c r="A1429" s="181">
        <v>44288</v>
      </c>
      <c r="B1429" s="182">
        <v>700</v>
      </c>
      <c r="C1429" s="183" t="str">
        <f>IF(ISNA(VLOOKUP(Tableau13[[#This Row],[Code machine]],'CODE mchn'!$A$4:$C$170,2,0)),"",VLOOKUP(Tableau13[[#This Row],[Code machine]],'CODE mchn'!$A$4:$C$170,2,0))</f>
        <v>Béton</v>
      </c>
      <c r="D1429" s="184" t="str">
        <f>IF(ISNA(VLOOKUP(Tableau13[[#This Row],[Code machine]],'CODE mchn'!$A$4:$C$170,3,0)),"",VLOOKUP(Tableau13[[#This Row],[Code machine]],'CODE mchn'!$A$4:$C$170,3,0))</f>
        <v>Poyatos 1</v>
      </c>
      <c r="E1429" s="105">
        <v>24301</v>
      </c>
      <c r="F1429" s="36"/>
      <c r="G1429" s="184"/>
      <c r="H1429" s="184" t="s">
        <v>2520</v>
      </c>
      <c r="I1429" s="184" t="s">
        <v>13</v>
      </c>
      <c r="J1429" s="183" t="s">
        <v>2521</v>
      </c>
      <c r="K1429" s="185">
        <v>44288</v>
      </c>
      <c r="L1429" s="184"/>
      <c r="M1429" s="186">
        <v>65</v>
      </c>
      <c r="N1429" s="186">
        <f>MONTH(Tableau13[[#This Row],[Date fin intervention]])</f>
        <v>4</v>
      </c>
      <c r="O1429" s="108">
        <f>YEAR(Tableau13[[#This Row],[Date fin intervention]])</f>
        <v>2021</v>
      </c>
      <c r="P1429" s="184"/>
    </row>
    <row r="1430" spans="1:16">
      <c r="A1430" s="181">
        <v>44288</v>
      </c>
      <c r="B1430" s="182">
        <v>565</v>
      </c>
      <c r="C1430" s="183" t="str">
        <f>IF(ISNA(VLOOKUP(Tableau13[[#This Row],[Code machine]],'CODE mchn'!$A$4:$C$170,2,0)),"",VLOOKUP(Tableau13[[#This Row],[Code machine]],'CODE mchn'!$A$4:$C$170,2,0))</f>
        <v>Acier</v>
      </c>
      <c r="D1430" s="184" t="str">
        <f>IF(ISNA(VLOOKUP(Tableau13[[#This Row],[Code machine]],'CODE mchn'!$A$4:$C$170,3,0)),"",VLOOKUP(Tableau13[[#This Row],[Code machine]],'CODE mchn'!$A$4:$C$170,3,0))</f>
        <v>EVG GE12</v>
      </c>
      <c r="E1430" s="105">
        <v>24369</v>
      </c>
      <c r="F1430" s="36"/>
      <c r="G1430" s="184"/>
      <c r="H1430" s="184" t="s">
        <v>2522</v>
      </c>
      <c r="I1430" s="184" t="s">
        <v>13</v>
      </c>
      <c r="J1430" s="183" t="s">
        <v>2523</v>
      </c>
      <c r="K1430" s="185">
        <v>44288</v>
      </c>
      <c r="L1430" s="184"/>
      <c r="M1430" s="186">
        <v>60</v>
      </c>
      <c r="N1430" s="186">
        <f>MONTH(Tableau13[[#This Row],[Date fin intervention]])</f>
        <v>4</v>
      </c>
      <c r="O1430" s="108">
        <f>YEAR(Tableau13[[#This Row],[Date fin intervention]])</f>
        <v>2021</v>
      </c>
      <c r="P1430" s="184"/>
    </row>
    <row r="1431" spans="1:16">
      <c r="A1431" s="181">
        <v>44288</v>
      </c>
      <c r="B1431" s="182">
        <v>582</v>
      </c>
      <c r="C1431" s="183" t="str">
        <f>IF(ISNA(VLOOKUP(Tableau13[[#This Row],[Code machine]],'CODE mchn'!$A$4:$C$170,2,0)),"",VLOOKUP(Tableau13[[#This Row],[Code machine]],'CODE mchn'!$A$4:$C$170,2,0))</f>
        <v>Acier</v>
      </c>
      <c r="D1431" s="184" t="str">
        <f>IF(ISNA(VLOOKUP(Tableau13[[#This Row],[Code machine]],'CODE mchn'!$A$4:$C$170,3,0)),"",VLOOKUP(Tableau13[[#This Row],[Code machine]],'CODE mchn'!$A$4:$C$170,3,0))</f>
        <v>Teurema 2</v>
      </c>
      <c r="E1431" s="105">
        <v>24428</v>
      </c>
      <c r="F1431" s="36"/>
      <c r="G1431" s="184" t="s">
        <v>49</v>
      </c>
      <c r="H1431" s="184" t="s">
        <v>1194</v>
      </c>
      <c r="I1431" s="184" t="s">
        <v>107</v>
      </c>
      <c r="J1431" s="183" t="s">
        <v>2524</v>
      </c>
      <c r="K1431" s="185">
        <v>44288</v>
      </c>
      <c r="L1431" s="184"/>
      <c r="M1431" s="186">
        <v>30</v>
      </c>
      <c r="N1431" s="186">
        <f>MONTH(Tableau13[[#This Row],[Date fin intervention]])</f>
        <v>4</v>
      </c>
      <c r="O1431" s="108">
        <f>YEAR(Tableau13[[#This Row],[Date fin intervention]])</f>
        <v>2021</v>
      </c>
      <c r="P1431" s="184"/>
    </row>
    <row r="1432" spans="1:16">
      <c r="A1432" s="181">
        <v>44288</v>
      </c>
      <c r="B1432" s="182">
        <v>607</v>
      </c>
      <c r="C1432" s="183" t="str">
        <f>IF(ISNA(VLOOKUP(Tableau13[[#This Row],[Code machine]],'CODE mchn'!$A$4:$C$170,2,0)),"",VLOOKUP(Tableau13[[#This Row],[Code machine]],'CODE mchn'!$A$4:$C$170,2,0))</f>
        <v>Acier</v>
      </c>
      <c r="D1432" s="184" t="str">
        <f>IF(ISNA(VLOOKUP(Tableau13[[#This Row],[Code machine]],'CODE mchn'!$A$4:$C$170,3,0)),"",VLOOKUP(Tableau13[[#This Row],[Code machine]],'CODE mchn'!$A$4:$C$170,3,0))</f>
        <v>Vitari 3</v>
      </c>
      <c r="E1432" s="105">
        <v>24370</v>
      </c>
      <c r="F1432" s="36"/>
      <c r="G1432" s="184" t="s">
        <v>78</v>
      </c>
      <c r="H1432" s="184" t="s">
        <v>2525</v>
      </c>
      <c r="I1432" s="184" t="s">
        <v>13</v>
      </c>
      <c r="J1432" s="183" t="s">
        <v>2526</v>
      </c>
      <c r="K1432" s="185">
        <v>44288</v>
      </c>
      <c r="L1432" s="184"/>
      <c r="M1432" s="186">
        <v>30</v>
      </c>
      <c r="N1432" s="186">
        <f>MONTH(Tableau13[[#This Row],[Date fin intervention]])</f>
        <v>4</v>
      </c>
      <c r="O1432" s="108">
        <f>YEAR(Tableau13[[#This Row],[Date fin intervention]])</f>
        <v>2021</v>
      </c>
      <c r="P1432" s="184"/>
    </row>
    <row r="1433" spans="1:16">
      <c r="A1433" s="181">
        <v>44288</v>
      </c>
      <c r="B1433" s="182">
        <v>565</v>
      </c>
      <c r="C1433" s="183" t="str">
        <f>IF(ISNA(VLOOKUP(Tableau13[[#This Row],[Code machine]],'CODE mchn'!$A$4:$C$170,2,0)),"",VLOOKUP(Tableau13[[#This Row],[Code machine]],'CODE mchn'!$A$4:$C$170,2,0))</f>
        <v>Acier</v>
      </c>
      <c r="D1433" s="184" t="str">
        <f>IF(ISNA(VLOOKUP(Tableau13[[#This Row],[Code machine]],'CODE mchn'!$A$4:$C$170,3,0)),"",VLOOKUP(Tableau13[[#This Row],[Code machine]],'CODE mchn'!$A$4:$C$170,3,0))</f>
        <v>EVG GE12</v>
      </c>
      <c r="E1433" s="105">
        <v>24371</v>
      </c>
      <c r="F1433" s="36"/>
      <c r="G1433" s="184" t="s">
        <v>2132</v>
      </c>
      <c r="H1433" s="184" t="s">
        <v>2527</v>
      </c>
      <c r="I1433" s="184" t="s">
        <v>13</v>
      </c>
      <c r="J1433" s="183" t="s">
        <v>2528</v>
      </c>
      <c r="K1433" s="185">
        <v>44288</v>
      </c>
      <c r="L1433" s="184"/>
      <c r="M1433" s="186">
        <v>240</v>
      </c>
      <c r="N1433" s="186">
        <f>MONTH(Tableau13[[#This Row],[Date fin intervention]])</f>
        <v>4</v>
      </c>
      <c r="O1433" s="108">
        <f>YEAR(Tableau13[[#This Row],[Date fin intervention]])</f>
        <v>2021</v>
      </c>
      <c r="P1433" s="184"/>
    </row>
    <row r="1434" spans="1:16">
      <c r="A1434" s="181">
        <v>44288</v>
      </c>
      <c r="B1434" s="182">
        <v>800</v>
      </c>
      <c r="C1434" s="183" t="str">
        <f>IF(ISNA(VLOOKUP(Tableau13[[#This Row],[Code machine]],'CODE mchn'!$A$4:$C$170,2,0)),"",VLOOKUP(Tableau13[[#This Row],[Code machine]],'CODE mchn'!$A$4:$C$170,2,0))</f>
        <v>Béton</v>
      </c>
      <c r="D1434" s="184" t="str">
        <f>IF(ISNA(VLOOKUP(Tableau13[[#This Row],[Code machine]],'CODE mchn'!$A$4:$C$170,3,0)),"",VLOOKUP(Tableau13[[#This Row],[Code machine]],'CODE mchn'!$A$4:$C$170,3,0))</f>
        <v>Poyatos 2</v>
      </c>
      <c r="E1434" s="105">
        <v>24302</v>
      </c>
      <c r="F1434" s="36"/>
      <c r="G1434" s="184" t="s">
        <v>128</v>
      </c>
      <c r="H1434" s="184" t="s">
        <v>2529</v>
      </c>
      <c r="I1434" s="184" t="s">
        <v>13</v>
      </c>
      <c r="J1434" s="183" t="s">
        <v>2530</v>
      </c>
      <c r="K1434" s="185">
        <v>44288</v>
      </c>
      <c r="L1434" s="184"/>
      <c r="M1434" s="186">
        <v>180</v>
      </c>
      <c r="N1434" s="186">
        <f>MONTH(Tableau13[[#This Row],[Date fin intervention]])</f>
        <v>4</v>
      </c>
      <c r="O1434" s="108">
        <f>YEAR(Tableau13[[#This Row],[Date fin intervention]])</f>
        <v>2021</v>
      </c>
      <c r="P1434" s="184"/>
    </row>
    <row r="1435" spans="1:16">
      <c r="A1435" s="181">
        <v>44288</v>
      </c>
      <c r="B1435" s="182">
        <v>565</v>
      </c>
      <c r="C1435" s="183" t="str">
        <f>IF(ISNA(VLOOKUP(Tableau13[[#This Row],[Code machine]],'CODE mchn'!$A$4:$C$170,2,0)),"",VLOOKUP(Tableau13[[#This Row],[Code machine]],'CODE mchn'!$A$4:$C$170,2,0))</f>
        <v>Acier</v>
      </c>
      <c r="D1435" s="184" t="str">
        <f>IF(ISNA(VLOOKUP(Tableau13[[#This Row],[Code machine]],'CODE mchn'!$A$4:$C$170,3,0)),"",VLOOKUP(Tableau13[[#This Row],[Code machine]],'CODE mchn'!$A$4:$C$170,3,0))</f>
        <v>EVG GE12</v>
      </c>
      <c r="E1435" s="105">
        <v>24372</v>
      </c>
      <c r="F1435" s="36"/>
      <c r="G1435" s="184" t="s">
        <v>470</v>
      </c>
      <c r="H1435" s="184" t="s">
        <v>2531</v>
      </c>
      <c r="I1435" s="184" t="s">
        <v>13</v>
      </c>
      <c r="J1435" s="183" t="s">
        <v>2532</v>
      </c>
      <c r="K1435" s="185">
        <v>44288</v>
      </c>
      <c r="L1435" s="184"/>
      <c r="M1435" s="186">
        <v>15</v>
      </c>
      <c r="N1435" s="186">
        <f>MONTH(Tableau13[[#This Row],[Date fin intervention]])</f>
        <v>4</v>
      </c>
      <c r="O1435" s="108">
        <f>YEAR(Tableau13[[#This Row],[Date fin intervention]])</f>
        <v>2021</v>
      </c>
      <c r="P1435" s="184"/>
    </row>
    <row r="1436" spans="1:16">
      <c r="A1436" s="181">
        <v>44288</v>
      </c>
      <c r="B1436" s="182">
        <v>570</v>
      </c>
      <c r="C1436" s="183" t="str">
        <f>IF(ISNA(VLOOKUP(Tableau13[[#This Row],[Code machine]],'CODE mchn'!$A$4:$C$170,2,0)),"",VLOOKUP(Tableau13[[#This Row],[Code machine]],'CODE mchn'!$A$4:$C$170,2,0))</f>
        <v>Acier</v>
      </c>
      <c r="D1436" s="184" t="str">
        <f>IF(ISNA(VLOOKUP(Tableau13[[#This Row],[Code machine]],'CODE mchn'!$A$4:$C$170,3,0)),"",VLOOKUP(Tableau13[[#This Row],[Code machine]],'CODE mchn'!$A$4:$C$170,3,0))</f>
        <v>Sigmatic</v>
      </c>
      <c r="E1436" s="105">
        <v>24712</v>
      </c>
      <c r="F1436" s="36"/>
      <c r="G1436" s="184" t="s">
        <v>2132</v>
      </c>
      <c r="H1436" s="184" t="s">
        <v>2533</v>
      </c>
      <c r="I1436" s="184" t="s">
        <v>13</v>
      </c>
      <c r="J1436" s="183" t="s">
        <v>2534</v>
      </c>
      <c r="K1436" s="185">
        <v>44288</v>
      </c>
      <c r="L1436" s="184"/>
      <c r="M1436" s="186">
        <v>120</v>
      </c>
      <c r="N1436" s="186">
        <f>MONTH(Tableau13[[#This Row],[Date fin intervention]])</f>
        <v>4</v>
      </c>
      <c r="O1436" s="108">
        <f>YEAR(Tableau13[[#This Row],[Date fin intervention]])</f>
        <v>2021</v>
      </c>
      <c r="P1436" s="184"/>
    </row>
    <row r="1437" spans="1:16">
      <c r="A1437" s="181">
        <v>44289</v>
      </c>
      <c r="B1437" s="182">
        <v>700</v>
      </c>
      <c r="C1437" s="183" t="str">
        <f>IF(ISNA(VLOOKUP(Tableau13[[#This Row],[Code machine]],'CODE mchn'!$A$4:$C$170,2,0)),"",VLOOKUP(Tableau13[[#This Row],[Code machine]],'CODE mchn'!$A$4:$C$170,2,0))</f>
        <v>Béton</v>
      </c>
      <c r="D1437" s="184" t="str">
        <f>IF(ISNA(VLOOKUP(Tableau13[[#This Row],[Code machine]],'CODE mchn'!$A$4:$C$170,3,0)),"",VLOOKUP(Tableau13[[#This Row],[Code machine]],'CODE mchn'!$A$4:$C$170,3,0))</f>
        <v>Poyatos 1</v>
      </c>
      <c r="E1437" s="105">
        <v>24303</v>
      </c>
      <c r="F1437" s="36"/>
      <c r="G1437" s="184" t="s">
        <v>2535</v>
      </c>
      <c r="H1437" s="184" t="s">
        <v>1284</v>
      </c>
      <c r="I1437" s="184" t="s">
        <v>13</v>
      </c>
      <c r="J1437" s="183" t="s">
        <v>2536</v>
      </c>
      <c r="K1437" s="185">
        <v>44289</v>
      </c>
      <c r="L1437" s="184"/>
      <c r="M1437" s="186">
        <v>90</v>
      </c>
      <c r="N1437" s="186">
        <f>MONTH(Tableau13[[#This Row],[Date fin intervention]])</f>
        <v>4</v>
      </c>
      <c r="O1437" s="108">
        <f>YEAR(Tableau13[[#This Row],[Date fin intervention]])</f>
        <v>2021</v>
      </c>
      <c r="P1437" s="184"/>
    </row>
    <row r="1438" spans="1:16">
      <c r="A1438" s="181">
        <v>44290</v>
      </c>
      <c r="B1438" s="182">
        <v>573</v>
      </c>
      <c r="C1438" s="183" t="str">
        <f>IF(ISNA(VLOOKUP(Tableau13[[#This Row],[Code machine]],'CODE mchn'!$A$4:$C$170,2,0)),"",VLOOKUP(Tableau13[[#This Row],[Code machine]],'CODE mchn'!$A$4:$C$170,2,0))</f>
        <v>Ponts roulants</v>
      </c>
      <c r="D1438" s="184" t="str">
        <f>IF(ISNA(VLOOKUP(Tableau13[[#This Row],[Code machine]],'CODE mchn'!$A$4:$C$170,3,0)),"",VLOOKUP(Tableau13[[#This Row],[Code machine]],'CODE mchn'!$A$4:$C$170,3,0))</f>
        <v xml:space="preserve">Pont roulant Demag 1 3,5T </v>
      </c>
      <c r="E1438" s="105">
        <v>24713</v>
      </c>
      <c r="F1438" s="36"/>
      <c r="G1438" s="184" t="s">
        <v>2537</v>
      </c>
      <c r="H1438" s="184" t="s">
        <v>2538</v>
      </c>
      <c r="I1438" s="184" t="s">
        <v>125</v>
      </c>
      <c r="J1438" s="183" t="s">
        <v>2539</v>
      </c>
      <c r="K1438" s="185">
        <v>44289</v>
      </c>
      <c r="L1438" s="184"/>
      <c r="M1438" s="186">
        <v>90</v>
      </c>
      <c r="N1438" s="186">
        <f>MONTH(Tableau13[[#This Row],[Date fin intervention]])</f>
        <v>4</v>
      </c>
      <c r="O1438" s="108">
        <f>YEAR(Tableau13[[#This Row],[Date fin intervention]])</f>
        <v>2021</v>
      </c>
      <c r="P1438" s="184"/>
    </row>
    <row r="1439" spans="1:16">
      <c r="A1439" s="181">
        <v>44291</v>
      </c>
      <c r="B1439" s="182">
        <v>700</v>
      </c>
      <c r="C1439" s="183" t="str">
        <f>IF(ISNA(VLOOKUP(Tableau13[[#This Row],[Code machine]],'CODE mchn'!$A$4:$C$170,2,0)),"",VLOOKUP(Tableau13[[#This Row],[Code machine]],'CODE mchn'!$A$4:$C$170,2,0))</f>
        <v>Béton</v>
      </c>
      <c r="D1439" s="184" t="str">
        <f>IF(ISNA(VLOOKUP(Tableau13[[#This Row],[Code machine]],'CODE mchn'!$A$4:$C$170,3,0)),"",VLOOKUP(Tableau13[[#This Row],[Code machine]],'CODE mchn'!$A$4:$C$170,3,0))</f>
        <v>Poyatos 1</v>
      </c>
      <c r="E1439" s="105">
        <v>24304</v>
      </c>
      <c r="F1439" s="36"/>
      <c r="G1439" s="184" t="s">
        <v>291</v>
      </c>
      <c r="H1439" s="184" t="s">
        <v>2540</v>
      </c>
      <c r="I1439" s="184" t="s">
        <v>13</v>
      </c>
      <c r="J1439" s="183" t="s">
        <v>2541</v>
      </c>
      <c r="K1439" s="185">
        <v>44291</v>
      </c>
      <c r="L1439" s="184"/>
      <c r="M1439" s="186">
        <v>90</v>
      </c>
      <c r="N1439" s="186">
        <f>MONTH(Tableau13[[#This Row],[Date fin intervention]])</f>
        <v>4</v>
      </c>
      <c r="O1439" s="108">
        <f>YEAR(Tableau13[[#This Row],[Date fin intervention]])</f>
        <v>2021</v>
      </c>
      <c r="P1439" s="184"/>
    </row>
    <row r="1440" spans="1:16">
      <c r="A1440" s="181">
        <v>44291</v>
      </c>
      <c r="B1440" s="182">
        <v>620</v>
      </c>
      <c r="C1440" s="183" t="str">
        <f>IF(ISNA(VLOOKUP(Tableau13[[#This Row],[Code machine]],'CODE mchn'!$A$4:$C$170,2,0)),"",VLOOKUP(Tableau13[[#This Row],[Code machine]],'CODE mchn'!$A$4:$C$170,2,0))</f>
        <v>Acier</v>
      </c>
      <c r="D1440" s="184" t="str">
        <f>IF(ISNA(VLOOKUP(Tableau13[[#This Row],[Code machine]],'CODE mchn'!$A$4:$C$170,3,0)),"",VLOOKUP(Tableau13[[#This Row],[Code machine]],'CODE mchn'!$A$4:$C$170,3,0))</f>
        <v>EVG PN 2</v>
      </c>
      <c r="E1440" s="105">
        <v>24714</v>
      </c>
      <c r="F1440" s="36"/>
      <c r="G1440" s="184"/>
      <c r="H1440" s="184" t="s">
        <v>2542</v>
      </c>
      <c r="I1440" s="184" t="s">
        <v>107</v>
      </c>
      <c r="J1440" s="183" t="s">
        <v>2543</v>
      </c>
      <c r="K1440" s="185">
        <v>44291</v>
      </c>
      <c r="L1440" s="184"/>
      <c r="M1440" s="186">
        <v>60</v>
      </c>
      <c r="N1440" s="186">
        <f>MONTH(Tableau13[[#This Row],[Date fin intervention]])</f>
        <v>4</v>
      </c>
      <c r="O1440" s="108">
        <f>YEAR(Tableau13[[#This Row],[Date fin intervention]])</f>
        <v>2021</v>
      </c>
      <c r="P1440" s="184"/>
    </row>
    <row r="1441" spans="1:16">
      <c r="A1441" s="181">
        <v>44291</v>
      </c>
      <c r="B1441" s="182">
        <v>569</v>
      </c>
      <c r="C1441" s="183" t="str">
        <f>IF(ISNA(VLOOKUP(Tableau13[[#This Row],[Code machine]],'CODE mchn'!$A$4:$C$170,2,0)),"",VLOOKUP(Tableau13[[#This Row],[Code machine]],'CODE mchn'!$A$4:$C$170,2,0))</f>
        <v/>
      </c>
      <c r="D1441" s="184" t="str">
        <f>IF(ISNA(VLOOKUP(Tableau13[[#This Row],[Code machine]],'CODE mchn'!$A$4:$C$170,3,0)),"",VLOOKUP(Tableau13[[#This Row],[Code machine]],'CODE mchn'!$A$4:$C$170,3,0))</f>
        <v/>
      </c>
      <c r="E1441" s="105">
        <v>24375</v>
      </c>
      <c r="F1441" s="36"/>
      <c r="G1441" s="184" t="s">
        <v>2544</v>
      </c>
      <c r="H1441" s="184" t="s">
        <v>2545</v>
      </c>
      <c r="I1441" s="184" t="s">
        <v>13</v>
      </c>
      <c r="J1441" s="183" t="s">
        <v>2546</v>
      </c>
      <c r="K1441" s="185">
        <v>44291</v>
      </c>
      <c r="L1441" s="184"/>
      <c r="M1441" s="186">
        <v>45</v>
      </c>
      <c r="N1441" s="186">
        <f>MONTH(Tableau13[[#This Row],[Date fin intervention]])</f>
        <v>4</v>
      </c>
      <c r="O1441" s="108">
        <f>YEAR(Tableau13[[#This Row],[Date fin intervention]])</f>
        <v>2021</v>
      </c>
      <c r="P1441" s="184"/>
    </row>
    <row r="1442" spans="1:16">
      <c r="A1442" s="181">
        <v>44291</v>
      </c>
      <c r="B1442" s="182">
        <v>581</v>
      </c>
      <c r="C1442" s="183" t="str">
        <f>IF(ISNA(VLOOKUP(Tableau13[[#This Row],[Code machine]],'CODE mchn'!$A$4:$C$170,2,0)),"",VLOOKUP(Tableau13[[#This Row],[Code machine]],'CODE mchn'!$A$4:$C$170,2,0))</f>
        <v>Acier</v>
      </c>
      <c r="D1442" s="184" t="str">
        <f>IF(ISNA(VLOOKUP(Tableau13[[#This Row],[Code machine]],'CODE mchn'!$A$4:$C$170,3,0)),"",VLOOKUP(Tableau13[[#This Row],[Code machine]],'CODE mchn'!$A$4:$C$170,3,0))</f>
        <v>Teurema 1</v>
      </c>
      <c r="E1442" s="105">
        <v>24429</v>
      </c>
      <c r="F1442" s="36"/>
      <c r="G1442" s="184" t="s">
        <v>664</v>
      </c>
      <c r="H1442" s="184" t="s">
        <v>2547</v>
      </c>
      <c r="I1442" s="184" t="s">
        <v>107</v>
      </c>
      <c r="J1442" s="183" t="s">
        <v>2548</v>
      </c>
      <c r="K1442" s="185">
        <v>44291</v>
      </c>
      <c r="L1442" s="184"/>
      <c r="M1442" s="186">
        <v>45</v>
      </c>
      <c r="N1442" s="186">
        <f>MONTH(Tableau13[[#This Row],[Date fin intervention]])</f>
        <v>4</v>
      </c>
      <c r="O1442" s="108">
        <f>YEAR(Tableau13[[#This Row],[Date fin intervention]])</f>
        <v>2021</v>
      </c>
      <c r="P1442" s="184"/>
    </row>
    <row r="1443" spans="1:16" ht="28.5">
      <c r="A1443" s="181">
        <v>44291</v>
      </c>
      <c r="B1443" s="182">
        <v>560</v>
      </c>
      <c r="C1443" s="183" t="str">
        <f>IF(ISNA(VLOOKUP(Tableau13[[#This Row],[Code machine]],'CODE mchn'!$A$4:$C$170,2,0)),"",VLOOKUP(Tableau13[[#This Row],[Code machine]],'CODE mchn'!$A$4:$C$170,2,0))</f>
        <v>Acier</v>
      </c>
      <c r="D1443" s="184" t="str">
        <f>IF(ISNA(VLOOKUP(Tableau13[[#This Row],[Code machine]],'CODE mchn'!$A$4:$C$170,3,0)),"",VLOOKUP(Tableau13[[#This Row],[Code machine]],'CODE mchn'!$A$4:$C$170,3,0))</f>
        <v>Schlatter</v>
      </c>
      <c r="E1443" s="105">
        <v>24374</v>
      </c>
      <c r="F1443" s="36"/>
      <c r="G1443" s="184" t="s">
        <v>2549</v>
      </c>
      <c r="H1443" s="184" t="s">
        <v>2550</v>
      </c>
      <c r="I1443" s="184" t="s">
        <v>107</v>
      </c>
      <c r="J1443" s="183" t="s">
        <v>2551</v>
      </c>
      <c r="K1443" s="185">
        <v>44291</v>
      </c>
      <c r="L1443" s="184"/>
      <c r="M1443" s="186">
        <v>120</v>
      </c>
      <c r="N1443" s="186">
        <f>MONTH(Tableau13[[#This Row],[Date fin intervention]])</f>
        <v>4</v>
      </c>
      <c r="O1443" s="108">
        <f>YEAR(Tableau13[[#This Row],[Date fin intervention]])</f>
        <v>2021</v>
      </c>
      <c r="P1443" s="184"/>
    </row>
    <row r="1444" spans="1:16">
      <c r="A1444" s="181">
        <v>44291</v>
      </c>
      <c r="B1444" s="182">
        <v>800</v>
      </c>
      <c r="C1444" s="183" t="str">
        <f>IF(ISNA(VLOOKUP(Tableau13[[#This Row],[Code machine]],'CODE mchn'!$A$4:$C$170,2,0)),"",VLOOKUP(Tableau13[[#This Row],[Code machine]],'CODE mchn'!$A$4:$C$170,2,0))</f>
        <v>Béton</v>
      </c>
      <c r="D1444" s="184" t="str">
        <f>IF(ISNA(VLOOKUP(Tableau13[[#This Row],[Code machine]],'CODE mchn'!$A$4:$C$170,3,0)),"",VLOOKUP(Tableau13[[#This Row],[Code machine]],'CODE mchn'!$A$4:$C$170,3,0))</f>
        <v>Poyatos 2</v>
      </c>
      <c r="E1444" s="105">
        <v>24306</v>
      </c>
      <c r="F1444" s="36"/>
      <c r="G1444" s="184" t="s">
        <v>118</v>
      </c>
      <c r="H1444" s="184" t="s">
        <v>2552</v>
      </c>
      <c r="I1444" s="184" t="s">
        <v>107</v>
      </c>
      <c r="J1444" s="183" t="s">
        <v>2553</v>
      </c>
      <c r="K1444" s="185">
        <v>44291</v>
      </c>
      <c r="L1444" s="184"/>
      <c r="M1444" s="186">
        <v>180</v>
      </c>
      <c r="N1444" s="186">
        <f>MONTH(Tableau13[[#This Row],[Date fin intervention]])</f>
        <v>4</v>
      </c>
      <c r="O1444" s="108">
        <f>YEAR(Tableau13[[#This Row],[Date fin intervention]])</f>
        <v>2021</v>
      </c>
      <c r="P1444" s="184"/>
    </row>
    <row r="1445" spans="1:16">
      <c r="A1445" s="181">
        <v>44292</v>
      </c>
      <c r="B1445" s="182">
        <v>700</v>
      </c>
      <c r="C1445" s="183" t="str">
        <f>IF(ISNA(VLOOKUP(Tableau13[[#This Row],[Code machine]],'CODE mchn'!$A$4:$C$170,2,0)),"",VLOOKUP(Tableau13[[#This Row],[Code machine]],'CODE mchn'!$A$4:$C$170,2,0))</f>
        <v>Béton</v>
      </c>
      <c r="D1445" s="184" t="str">
        <f>IF(ISNA(VLOOKUP(Tableau13[[#This Row],[Code machine]],'CODE mchn'!$A$4:$C$170,3,0)),"",VLOOKUP(Tableau13[[#This Row],[Code machine]],'CODE mchn'!$A$4:$C$170,3,0))</f>
        <v>Poyatos 1</v>
      </c>
      <c r="E1445" s="105">
        <v>24308</v>
      </c>
      <c r="F1445" s="36"/>
      <c r="G1445" s="184" t="s">
        <v>49</v>
      </c>
      <c r="H1445" s="184" t="s">
        <v>2554</v>
      </c>
      <c r="I1445" s="184" t="s">
        <v>13</v>
      </c>
      <c r="J1445" s="183" t="s">
        <v>2555</v>
      </c>
      <c r="K1445" s="185">
        <v>44292</v>
      </c>
      <c r="L1445" s="184"/>
      <c r="M1445" s="186">
        <v>90</v>
      </c>
      <c r="N1445" s="186">
        <f>MONTH(Tableau13[[#This Row],[Date fin intervention]])</f>
        <v>4</v>
      </c>
      <c r="O1445" s="108">
        <f>YEAR(Tableau13[[#This Row],[Date fin intervention]])</f>
        <v>2021</v>
      </c>
      <c r="P1445" s="184"/>
    </row>
    <row r="1446" spans="1:16" ht="28.5">
      <c r="A1446" s="181">
        <v>44292</v>
      </c>
      <c r="B1446" s="182">
        <v>562</v>
      </c>
      <c r="C1446" s="183" t="str">
        <f>IF(ISNA(VLOOKUP(Tableau13[[#This Row],[Code machine]],'CODE mchn'!$A$4:$C$170,2,0)),"",VLOOKUP(Tableau13[[#This Row],[Code machine]],'CODE mchn'!$A$4:$C$170,2,0))</f>
        <v>Ponts roulants</v>
      </c>
      <c r="D1446" s="184" t="str">
        <f>IF(ISNA(VLOOKUP(Tableau13[[#This Row],[Code machine]],'CODE mchn'!$A$4:$C$170,3,0)),"",VLOOKUP(Tableau13[[#This Row],[Code machine]],'CODE mchn'!$A$4:$C$170,3,0))</f>
        <v>Pont roulant GH Beasain 12T</v>
      </c>
      <c r="E1446" s="105">
        <v>24376</v>
      </c>
      <c r="F1446" s="36"/>
      <c r="G1446" s="184" t="s">
        <v>52</v>
      </c>
      <c r="H1446" s="184" t="s">
        <v>2556</v>
      </c>
      <c r="I1446" s="184" t="s">
        <v>13</v>
      </c>
      <c r="J1446" s="183" t="s">
        <v>1932</v>
      </c>
      <c r="K1446" s="185">
        <v>44292</v>
      </c>
      <c r="L1446" s="184"/>
      <c r="M1446" s="186">
        <v>90</v>
      </c>
      <c r="N1446" s="186">
        <f>MONTH(Tableau13[[#This Row],[Date fin intervention]])</f>
        <v>4</v>
      </c>
      <c r="O1446" s="108">
        <f>YEAR(Tableau13[[#This Row],[Date fin intervention]])</f>
        <v>2021</v>
      </c>
      <c r="P1446" s="184"/>
    </row>
    <row r="1447" spans="1:16">
      <c r="A1447" s="181">
        <v>44292</v>
      </c>
      <c r="B1447" s="182">
        <v>565</v>
      </c>
      <c r="C1447" s="183" t="str">
        <f>IF(ISNA(VLOOKUP(Tableau13[[#This Row],[Code machine]],'CODE mchn'!$A$4:$C$170,2,0)),"",VLOOKUP(Tableau13[[#This Row],[Code machine]],'CODE mchn'!$A$4:$C$170,2,0))</f>
        <v>Acier</v>
      </c>
      <c r="D1447" s="184" t="str">
        <f>IF(ISNA(VLOOKUP(Tableau13[[#This Row],[Code machine]],'CODE mchn'!$A$4:$C$170,3,0)),"",VLOOKUP(Tableau13[[#This Row],[Code machine]],'CODE mchn'!$A$4:$C$170,3,0))</f>
        <v>EVG GE12</v>
      </c>
      <c r="E1447" s="105">
        <v>24377</v>
      </c>
      <c r="F1447" s="36"/>
      <c r="G1447" s="184" t="s">
        <v>982</v>
      </c>
      <c r="H1447" s="184" t="s">
        <v>2557</v>
      </c>
      <c r="I1447" s="184" t="s">
        <v>107</v>
      </c>
      <c r="J1447" s="183" t="s">
        <v>2558</v>
      </c>
      <c r="K1447" s="185">
        <v>44292</v>
      </c>
      <c r="L1447" s="184"/>
      <c r="M1447" s="186">
        <v>60</v>
      </c>
      <c r="N1447" s="186">
        <f>MONTH(Tableau13[[#This Row],[Date fin intervention]])</f>
        <v>4</v>
      </c>
      <c r="O1447" s="108">
        <f>YEAR(Tableau13[[#This Row],[Date fin intervention]])</f>
        <v>2021</v>
      </c>
      <c r="P1447" s="184"/>
    </row>
    <row r="1448" spans="1:16">
      <c r="A1448" s="181">
        <v>44292</v>
      </c>
      <c r="B1448" s="182">
        <v>560</v>
      </c>
      <c r="C1448" s="183" t="str">
        <f>IF(ISNA(VLOOKUP(Tableau13[[#This Row],[Code machine]],'CODE mchn'!$A$4:$C$170,2,0)),"",VLOOKUP(Tableau13[[#This Row],[Code machine]],'CODE mchn'!$A$4:$C$170,2,0))</f>
        <v>Acier</v>
      </c>
      <c r="D1448" s="184" t="str">
        <f>IF(ISNA(VLOOKUP(Tableau13[[#This Row],[Code machine]],'CODE mchn'!$A$4:$C$170,3,0)),"",VLOOKUP(Tableau13[[#This Row],[Code machine]],'CODE mchn'!$A$4:$C$170,3,0))</f>
        <v>Schlatter</v>
      </c>
      <c r="E1448" s="105">
        <v>24378</v>
      </c>
      <c r="F1448" s="36"/>
      <c r="G1448" s="184" t="s">
        <v>2132</v>
      </c>
      <c r="H1448" s="184" t="s">
        <v>2559</v>
      </c>
      <c r="I1448" s="184" t="s">
        <v>107</v>
      </c>
      <c r="J1448" s="183" t="s">
        <v>2207</v>
      </c>
      <c r="K1448" s="185">
        <v>44292</v>
      </c>
      <c r="L1448" s="184"/>
      <c r="M1448" s="186">
        <v>60</v>
      </c>
      <c r="N1448" s="186">
        <f>MONTH(Tableau13[[#This Row],[Date fin intervention]])</f>
        <v>4</v>
      </c>
      <c r="O1448" s="108">
        <f>YEAR(Tableau13[[#This Row],[Date fin intervention]])</f>
        <v>2021</v>
      </c>
      <c r="P1448" s="184"/>
    </row>
    <row r="1449" spans="1:16">
      <c r="A1449" s="181">
        <v>44292</v>
      </c>
      <c r="B1449" s="182">
        <v>700</v>
      </c>
      <c r="C1449" s="183" t="str">
        <f>IF(ISNA(VLOOKUP(Tableau13[[#This Row],[Code machine]],'CODE mchn'!$A$4:$C$170,2,0)),"",VLOOKUP(Tableau13[[#This Row],[Code machine]],'CODE mchn'!$A$4:$C$170,2,0))</f>
        <v>Béton</v>
      </c>
      <c r="D1449" s="184" t="str">
        <f>IF(ISNA(VLOOKUP(Tableau13[[#This Row],[Code machine]],'CODE mchn'!$A$4:$C$170,3,0)),"",VLOOKUP(Tableau13[[#This Row],[Code machine]],'CODE mchn'!$A$4:$C$170,3,0))</f>
        <v>Poyatos 1</v>
      </c>
      <c r="E1449" s="105">
        <v>24307</v>
      </c>
      <c r="F1449" s="36"/>
      <c r="G1449" s="184" t="s">
        <v>46</v>
      </c>
      <c r="H1449" s="184" t="s">
        <v>2560</v>
      </c>
      <c r="I1449" s="184" t="s">
        <v>13</v>
      </c>
      <c r="J1449" s="183" t="s">
        <v>2561</v>
      </c>
      <c r="K1449" s="185">
        <v>44292</v>
      </c>
      <c r="L1449" s="184"/>
      <c r="M1449" s="186">
        <v>45</v>
      </c>
      <c r="N1449" s="186">
        <f>MONTH(Tableau13[[#This Row],[Date fin intervention]])</f>
        <v>4</v>
      </c>
      <c r="O1449" s="108">
        <f>YEAR(Tableau13[[#This Row],[Date fin intervention]])</f>
        <v>2021</v>
      </c>
      <c r="P1449" s="184"/>
    </row>
    <row r="1450" spans="1:16">
      <c r="A1450" s="181">
        <v>44292</v>
      </c>
      <c r="B1450" s="182">
        <v>605</v>
      </c>
      <c r="C1450" s="183" t="str">
        <f>IF(ISNA(VLOOKUP(Tableau13[[#This Row],[Code machine]],'CODE mchn'!$A$4:$C$170,2,0)),"",VLOOKUP(Tableau13[[#This Row],[Code machine]],'CODE mchn'!$A$4:$C$170,2,0))</f>
        <v>Acier</v>
      </c>
      <c r="D1450" s="184" t="str">
        <f>IF(ISNA(VLOOKUP(Tableau13[[#This Row],[Code machine]],'CODE mchn'!$A$4:$C$170,3,0)),"",VLOOKUP(Tableau13[[#This Row],[Code machine]],'CODE mchn'!$A$4:$C$170,3,0))</f>
        <v>Vitari 1</v>
      </c>
      <c r="E1450" s="105">
        <v>24379</v>
      </c>
      <c r="F1450" s="36"/>
      <c r="G1450" s="184" t="s">
        <v>2562</v>
      </c>
      <c r="H1450" s="184" t="s">
        <v>2563</v>
      </c>
      <c r="I1450" s="184" t="s">
        <v>13</v>
      </c>
      <c r="J1450" s="183" t="s">
        <v>722</v>
      </c>
      <c r="K1450" s="185">
        <v>44292</v>
      </c>
      <c r="L1450" s="184"/>
      <c r="M1450" s="186">
        <v>45</v>
      </c>
      <c r="N1450" s="186">
        <f>MONTH(Tableau13[[#This Row],[Date fin intervention]])</f>
        <v>4</v>
      </c>
      <c r="O1450" s="108">
        <f>YEAR(Tableau13[[#This Row],[Date fin intervention]])</f>
        <v>2021</v>
      </c>
      <c r="P1450" s="184"/>
    </row>
    <row r="1451" spans="1:16">
      <c r="A1451" s="181">
        <v>44292</v>
      </c>
      <c r="B1451" s="182">
        <v>800</v>
      </c>
      <c r="C1451" s="183" t="str">
        <f>IF(ISNA(VLOOKUP(Tableau13[[#This Row],[Code machine]],'CODE mchn'!$A$4:$C$170,2,0)),"",VLOOKUP(Tableau13[[#This Row],[Code machine]],'CODE mchn'!$A$4:$C$170,2,0))</f>
        <v>Béton</v>
      </c>
      <c r="D1451" s="184" t="str">
        <f>IF(ISNA(VLOOKUP(Tableau13[[#This Row],[Code machine]],'CODE mchn'!$A$4:$C$170,3,0)),"",VLOOKUP(Tableau13[[#This Row],[Code machine]],'CODE mchn'!$A$4:$C$170,3,0))</f>
        <v>Poyatos 2</v>
      </c>
      <c r="E1451" s="105">
        <v>24306</v>
      </c>
      <c r="F1451" s="36"/>
      <c r="G1451" s="184" t="s">
        <v>128</v>
      </c>
      <c r="H1451" s="184" t="s">
        <v>782</v>
      </c>
      <c r="I1451" s="184" t="s">
        <v>13</v>
      </c>
      <c r="J1451" s="183" t="s">
        <v>2564</v>
      </c>
      <c r="K1451" s="185">
        <v>44292</v>
      </c>
      <c r="L1451" s="184"/>
      <c r="M1451" s="186">
        <v>135</v>
      </c>
      <c r="N1451" s="186">
        <f>MONTH(Tableau13[[#This Row],[Date fin intervention]])</f>
        <v>4</v>
      </c>
      <c r="O1451" s="108">
        <f>YEAR(Tableau13[[#This Row],[Date fin intervention]])</f>
        <v>2021</v>
      </c>
      <c r="P1451" s="184"/>
    </row>
    <row r="1452" spans="1:16">
      <c r="A1452" s="181">
        <v>44292</v>
      </c>
      <c r="B1452" s="182">
        <v>800</v>
      </c>
      <c r="C1452" s="183" t="str">
        <f>IF(ISNA(VLOOKUP(Tableau13[[#This Row],[Code machine]],'CODE mchn'!$A$4:$C$170,2,0)),"",VLOOKUP(Tableau13[[#This Row],[Code machine]],'CODE mchn'!$A$4:$C$170,2,0))</f>
        <v>Béton</v>
      </c>
      <c r="D1452" s="184" t="str">
        <f>IF(ISNA(VLOOKUP(Tableau13[[#This Row],[Code machine]],'CODE mchn'!$A$4:$C$170,3,0)),"",VLOOKUP(Tableau13[[#This Row],[Code machine]],'CODE mchn'!$A$4:$C$170,3,0))</f>
        <v>Poyatos 2</v>
      </c>
      <c r="E1452" s="105">
        <v>24311</v>
      </c>
      <c r="F1452" s="36"/>
      <c r="G1452" s="184" t="s">
        <v>118</v>
      </c>
      <c r="H1452" s="184" t="s">
        <v>2565</v>
      </c>
      <c r="I1452" s="184" t="s">
        <v>13</v>
      </c>
      <c r="J1452" s="183" t="s">
        <v>2566</v>
      </c>
      <c r="K1452" s="185">
        <v>44292</v>
      </c>
      <c r="L1452" s="184"/>
      <c r="M1452" s="186">
        <v>135</v>
      </c>
      <c r="N1452" s="186">
        <f>MONTH(Tableau13[[#This Row],[Date fin intervention]])</f>
        <v>4</v>
      </c>
      <c r="O1452" s="108">
        <f>YEAR(Tableau13[[#This Row],[Date fin intervention]])</f>
        <v>2021</v>
      </c>
      <c r="P1452" s="184"/>
    </row>
    <row r="1453" spans="1:16">
      <c r="A1453" s="181">
        <v>44293</v>
      </c>
      <c r="B1453" s="182">
        <v>700</v>
      </c>
      <c r="C1453" s="183" t="str">
        <f>IF(ISNA(VLOOKUP(Tableau13[[#This Row],[Code machine]],'CODE mchn'!$A$4:$C$170,2,0)),"",VLOOKUP(Tableau13[[#This Row],[Code machine]],'CODE mchn'!$A$4:$C$170,2,0))</f>
        <v>Béton</v>
      </c>
      <c r="D1453" s="184" t="str">
        <f>IF(ISNA(VLOOKUP(Tableau13[[#This Row],[Code machine]],'CODE mchn'!$A$4:$C$170,3,0)),"",VLOOKUP(Tableau13[[#This Row],[Code machine]],'CODE mchn'!$A$4:$C$170,3,0))</f>
        <v>Poyatos 1</v>
      </c>
      <c r="E1453" s="105">
        <v>24310</v>
      </c>
      <c r="F1453" s="36"/>
      <c r="G1453" s="184" t="s">
        <v>937</v>
      </c>
      <c r="H1453" s="184" t="s">
        <v>2567</v>
      </c>
      <c r="I1453" s="184" t="s">
        <v>13</v>
      </c>
      <c r="J1453" s="183" t="s">
        <v>2568</v>
      </c>
      <c r="K1453" s="185">
        <v>44293</v>
      </c>
      <c r="L1453" s="184"/>
      <c r="M1453" s="186">
        <v>35</v>
      </c>
      <c r="N1453" s="186">
        <f>MONTH(Tableau13[[#This Row],[Date fin intervention]])</f>
        <v>4</v>
      </c>
      <c r="O1453" s="108">
        <f>YEAR(Tableau13[[#This Row],[Date fin intervention]])</f>
        <v>2021</v>
      </c>
      <c r="P1453" s="184"/>
    </row>
    <row r="1454" spans="1:16">
      <c r="A1454" s="181">
        <v>44293</v>
      </c>
      <c r="B1454" s="182">
        <v>565</v>
      </c>
      <c r="C1454" s="183" t="str">
        <f>IF(ISNA(VLOOKUP(Tableau13[[#This Row],[Code machine]],'CODE mchn'!$A$4:$C$170,2,0)),"",VLOOKUP(Tableau13[[#This Row],[Code machine]],'CODE mchn'!$A$4:$C$170,2,0))</f>
        <v>Acier</v>
      </c>
      <c r="D1454" s="184" t="str">
        <f>IF(ISNA(VLOOKUP(Tableau13[[#This Row],[Code machine]],'CODE mchn'!$A$4:$C$170,3,0)),"",VLOOKUP(Tableau13[[#This Row],[Code machine]],'CODE mchn'!$A$4:$C$170,3,0))</f>
        <v>EVG GE12</v>
      </c>
      <c r="E1454" s="105">
        <v>24380</v>
      </c>
      <c r="F1454" s="36"/>
      <c r="G1454" s="184" t="s">
        <v>2569</v>
      </c>
      <c r="H1454" s="184" t="s">
        <v>2570</v>
      </c>
      <c r="I1454" s="184" t="s">
        <v>107</v>
      </c>
      <c r="J1454" s="183" t="s">
        <v>2558</v>
      </c>
      <c r="K1454" s="185">
        <v>44293</v>
      </c>
      <c r="L1454" s="184"/>
      <c r="M1454" s="186">
        <v>30</v>
      </c>
      <c r="N1454" s="186">
        <f>MONTH(Tableau13[[#This Row],[Date fin intervention]])</f>
        <v>4</v>
      </c>
      <c r="O1454" s="108">
        <f>YEAR(Tableau13[[#This Row],[Date fin intervention]])</f>
        <v>2021</v>
      </c>
      <c r="P1454" s="184"/>
    </row>
    <row r="1455" spans="1:16">
      <c r="A1455" s="181">
        <v>44293</v>
      </c>
      <c r="B1455" s="182">
        <v>534</v>
      </c>
      <c r="C1455" s="183" t="str">
        <f>IF(ISNA(VLOOKUP(Tableau13[[#This Row],[Code machine]],'CODE mchn'!$A$4:$C$170,2,0)),"",VLOOKUP(Tableau13[[#This Row],[Code machine]],'CODE mchn'!$A$4:$C$170,2,0))</f>
        <v>Enrobage</v>
      </c>
      <c r="D1455" s="184" t="str">
        <f>IF(ISNA(VLOOKUP(Tableau13[[#This Row],[Code machine]],'CODE mchn'!$A$4:$C$170,3,0)),"",VLOOKUP(Tableau13[[#This Row],[Code machine]],'CODE mchn'!$A$4:$C$170,3,0))</f>
        <v>ELKON 2</v>
      </c>
      <c r="E1455" s="105">
        <v>24309</v>
      </c>
      <c r="F1455" s="36"/>
      <c r="G1455" s="184" t="s">
        <v>95</v>
      </c>
      <c r="H1455" s="184" t="s">
        <v>2571</v>
      </c>
      <c r="I1455" s="184" t="s">
        <v>107</v>
      </c>
      <c r="J1455" s="183" t="s">
        <v>935</v>
      </c>
      <c r="K1455" s="185">
        <v>44293</v>
      </c>
      <c r="L1455" s="184"/>
      <c r="M1455" s="186">
        <v>30</v>
      </c>
      <c r="N1455" s="186">
        <f>MONTH(Tableau13[[#This Row],[Date fin intervention]])</f>
        <v>4</v>
      </c>
      <c r="O1455" s="108">
        <f>YEAR(Tableau13[[#This Row],[Date fin intervention]])</f>
        <v>2021</v>
      </c>
      <c r="P1455" s="184"/>
    </row>
    <row r="1456" spans="1:16" ht="28.5">
      <c r="A1456" s="181">
        <v>44294</v>
      </c>
      <c r="B1456" s="182">
        <v>605</v>
      </c>
      <c r="C1456" s="183" t="str">
        <f>IF(ISNA(VLOOKUP(Tableau13[[#This Row],[Code machine]],'CODE mchn'!$A$4:$C$170,2,0)),"",VLOOKUP(Tableau13[[#This Row],[Code machine]],'CODE mchn'!$A$4:$C$170,2,0))</f>
        <v>Acier</v>
      </c>
      <c r="D1456" s="184" t="str">
        <f>IF(ISNA(VLOOKUP(Tableau13[[#This Row],[Code machine]],'CODE mchn'!$A$4:$C$170,3,0)),"",VLOOKUP(Tableau13[[#This Row],[Code machine]],'CODE mchn'!$A$4:$C$170,3,0))</f>
        <v>Vitari 1</v>
      </c>
      <c r="E1456" s="105">
        <v>24381</v>
      </c>
      <c r="F1456" s="36"/>
      <c r="G1456" s="184" t="s">
        <v>2410</v>
      </c>
      <c r="H1456" s="184" t="s">
        <v>2572</v>
      </c>
      <c r="I1456" s="184" t="s">
        <v>107</v>
      </c>
      <c r="J1456" s="183" t="s">
        <v>1577</v>
      </c>
      <c r="K1456" s="185">
        <v>44294</v>
      </c>
      <c r="L1456" s="184"/>
      <c r="M1456" s="186">
        <v>60</v>
      </c>
      <c r="N1456" s="186">
        <f>MONTH(Tableau13[[#This Row],[Date fin intervention]])</f>
        <v>4</v>
      </c>
      <c r="O1456" s="108">
        <f>YEAR(Tableau13[[#This Row],[Date fin intervention]])</f>
        <v>2021</v>
      </c>
      <c r="P1456" s="184"/>
    </row>
    <row r="1457" spans="1:16">
      <c r="A1457" s="181">
        <v>44294</v>
      </c>
      <c r="B1457" s="182">
        <v>800</v>
      </c>
      <c r="C1457" s="183" t="str">
        <f>IF(ISNA(VLOOKUP(Tableau13[[#This Row],[Code machine]],'CODE mchn'!$A$4:$C$170,2,0)),"",VLOOKUP(Tableau13[[#This Row],[Code machine]],'CODE mchn'!$A$4:$C$170,2,0))</f>
        <v>Béton</v>
      </c>
      <c r="D1457" s="184" t="str">
        <f>IF(ISNA(VLOOKUP(Tableau13[[#This Row],[Code machine]],'CODE mchn'!$A$4:$C$170,3,0)),"",VLOOKUP(Tableau13[[#This Row],[Code machine]],'CODE mchn'!$A$4:$C$170,3,0))</f>
        <v>Poyatos 2</v>
      </c>
      <c r="E1457" s="105">
        <v>24312</v>
      </c>
      <c r="F1457" s="36"/>
      <c r="G1457" s="184"/>
      <c r="H1457" s="184" t="s">
        <v>2573</v>
      </c>
      <c r="I1457" s="184" t="s">
        <v>107</v>
      </c>
      <c r="J1457" s="183" t="s">
        <v>2574</v>
      </c>
      <c r="K1457" s="185">
        <v>44294</v>
      </c>
      <c r="L1457" s="184"/>
      <c r="M1457" s="186">
        <v>60</v>
      </c>
      <c r="N1457" s="186">
        <f>MONTH(Tableau13[[#This Row],[Date fin intervention]])</f>
        <v>4</v>
      </c>
      <c r="O1457" s="108">
        <f>YEAR(Tableau13[[#This Row],[Date fin intervention]])</f>
        <v>2021</v>
      </c>
      <c r="P1457" s="184"/>
    </row>
    <row r="1458" spans="1:16">
      <c r="A1458" s="181">
        <v>44294</v>
      </c>
      <c r="B1458" s="182">
        <v>601</v>
      </c>
      <c r="C1458" s="183" t="str">
        <f>IF(ISNA(VLOOKUP(Tableau13[[#This Row],[Code machine]],'CODE mchn'!$A$4:$C$170,2,0)),"",VLOOKUP(Tableau13[[#This Row],[Code machine]],'CODE mchn'!$A$4:$C$170,2,0))</f>
        <v>Acier</v>
      </c>
      <c r="D1458" s="184" t="str">
        <f>IF(ISNA(VLOOKUP(Tableau13[[#This Row],[Code machine]],'CODE mchn'!$A$4:$C$170,3,0)),"",VLOOKUP(Tableau13[[#This Row],[Code machine]],'CODE mchn'!$A$4:$C$170,3,0))</f>
        <v>TI 9505/9</v>
      </c>
      <c r="E1458" s="105">
        <v>24721</v>
      </c>
      <c r="F1458" s="36"/>
      <c r="G1458" s="184" t="s">
        <v>2575</v>
      </c>
      <c r="H1458" s="184" t="s">
        <v>2246</v>
      </c>
      <c r="I1458" s="184" t="s">
        <v>107</v>
      </c>
      <c r="J1458" s="183" t="s">
        <v>2576</v>
      </c>
      <c r="K1458" s="185">
        <v>44294</v>
      </c>
      <c r="L1458" s="184"/>
      <c r="M1458" s="186">
        <v>60</v>
      </c>
      <c r="N1458" s="186">
        <f>MONTH(Tableau13[[#This Row],[Date fin intervention]])</f>
        <v>4</v>
      </c>
      <c r="O1458" s="108">
        <f>YEAR(Tableau13[[#This Row],[Date fin intervention]])</f>
        <v>2021</v>
      </c>
      <c r="P1458" s="184"/>
    </row>
    <row r="1459" spans="1:16">
      <c r="A1459" s="181">
        <v>44294</v>
      </c>
      <c r="B1459" s="182"/>
      <c r="C1459" s="183" t="str">
        <f>IF(ISNA(VLOOKUP(Tableau13[[#This Row],[Code machine]],'CODE mchn'!$A$4:$C$170,2,0)),"",VLOOKUP(Tableau13[[#This Row],[Code machine]],'CODE mchn'!$A$4:$C$170,2,0))</f>
        <v/>
      </c>
      <c r="D1459" s="184" t="str">
        <f>IF(ISNA(VLOOKUP(Tableau13[[#This Row],[Code machine]],'CODE mchn'!$A$4:$C$170,3,0)),"",VLOOKUP(Tableau13[[#This Row],[Code machine]],'CODE mchn'!$A$4:$C$170,3,0))</f>
        <v/>
      </c>
      <c r="E1459" s="105">
        <v>24715</v>
      </c>
      <c r="F1459" s="36"/>
      <c r="G1459" s="184" t="s">
        <v>2577</v>
      </c>
      <c r="H1459" s="184" t="s">
        <v>2578</v>
      </c>
      <c r="I1459" s="184" t="s">
        <v>107</v>
      </c>
      <c r="J1459" s="183" t="s">
        <v>2579</v>
      </c>
      <c r="K1459" s="185">
        <v>44294</v>
      </c>
      <c r="L1459" s="184"/>
      <c r="M1459" s="186">
        <v>45</v>
      </c>
      <c r="N1459" s="186">
        <f>MONTH(Tableau13[[#This Row],[Date fin intervention]])</f>
        <v>4</v>
      </c>
      <c r="O1459" s="108">
        <f>YEAR(Tableau13[[#This Row],[Date fin intervention]])</f>
        <v>2021</v>
      </c>
      <c r="P1459" s="184"/>
    </row>
    <row r="1460" spans="1:16">
      <c r="A1460" s="181">
        <v>44294</v>
      </c>
      <c r="B1460" s="182">
        <v>534</v>
      </c>
      <c r="C1460" s="183" t="str">
        <f>IF(ISNA(VLOOKUP(Tableau13[[#This Row],[Code machine]],'CODE mchn'!$A$4:$C$170,2,0)),"",VLOOKUP(Tableau13[[#This Row],[Code machine]],'CODE mchn'!$A$4:$C$170,2,0))</f>
        <v>Enrobage</v>
      </c>
      <c r="D1460" s="184" t="str">
        <f>IF(ISNA(VLOOKUP(Tableau13[[#This Row],[Code machine]],'CODE mchn'!$A$4:$C$170,3,0)),"",VLOOKUP(Tableau13[[#This Row],[Code machine]],'CODE mchn'!$A$4:$C$170,3,0))</f>
        <v>ELKON 2</v>
      </c>
      <c r="E1460" s="105">
        <v>24309</v>
      </c>
      <c r="F1460" s="36"/>
      <c r="G1460" s="184" t="s">
        <v>95</v>
      </c>
      <c r="H1460" s="184" t="s">
        <v>2580</v>
      </c>
      <c r="I1460" s="184" t="s">
        <v>13</v>
      </c>
      <c r="J1460" s="183" t="s">
        <v>2581</v>
      </c>
      <c r="K1460" s="185">
        <v>44294</v>
      </c>
      <c r="L1460" s="184"/>
      <c r="M1460" s="186">
        <v>30</v>
      </c>
      <c r="N1460" s="186">
        <f>MONTH(Tableau13[[#This Row],[Date fin intervention]])</f>
        <v>4</v>
      </c>
      <c r="O1460" s="108">
        <f>YEAR(Tableau13[[#This Row],[Date fin intervention]])</f>
        <v>2021</v>
      </c>
      <c r="P1460" s="184"/>
    </row>
    <row r="1461" spans="1:16">
      <c r="A1461" s="181">
        <v>44294</v>
      </c>
      <c r="B1461" s="182">
        <v>582</v>
      </c>
      <c r="C1461" s="183" t="str">
        <f>IF(ISNA(VLOOKUP(Tableau13[[#This Row],[Code machine]],'CODE mchn'!$A$4:$C$170,2,0)),"",VLOOKUP(Tableau13[[#This Row],[Code machine]],'CODE mchn'!$A$4:$C$170,2,0))</f>
        <v>Acier</v>
      </c>
      <c r="D1461" s="184" t="str">
        <f>IF(ISNA(VLOOKUP(Tableau13[[#This Row],[Code machine]],'CODE mchn'!$A$4:$C$170,3,0)),"",VLOOKUP(Tableau13[[#This Row],[Code machine]],'CODE mchn'!$A$4:$C$170,3,0))</f>
        <v>Teurema 2</v>
      </c>
      <c r="E1461" s="105">
        <v>24430</v>
      </c>
      <c r="F1461" s="36"/>
      <c r="G1461" s="184" t="s">
        <v>1733</v>
      </c>
      <c r="H1461" s="184" t="s">
        <v>2582</v>
      </c>
      <c r="I1461" s="184" t="s">
        <v>182</v>
      </c>
      <c r="J1461" s="183" t="s">
        <v>2336</v>
      </c>
      <c r="K1461" s="185">
        <v>44294</v>
      </c>
      <c r="L1461" s="184"/>
      <c r="M1461" s="186">
        <v>30</v>
      </c>
      <c r="N1461" s="186">
        <f>MONTH(Tableau13[[#This Row],[Date fin intervention]])</f>
        <v>4</v>
      </c>
      <c r="O1461" s="108">
        <f>YEAR(Tableau13[[#This Row],[Date fin intervention]])</f>
        <v>2021</v>
      </c>
      <c r="P1461" s="184"/>
    </row>
    <row r="1462" spans="1:16">
      <c r="A1462" s="181">
        <v>44295</v>
      </c>
      <c r="B1462" s="182">
        <v>560</v>
      </c>
      <c r="C1462" s="183" t="str">
        <f>IF(ISNA(VLOOKUP(Tableau13[[#This Row],[Code machine]],'CODE mchn'!$A$4:$C$170,2,0)),"",VLOOKUP(Tableau13[[#This Row],[Code machine]],'CODE mchn'!$A$4:$C$170,2,0))</f>
        <v>Acier</v>
      </c>
      <c r="D1462" s="184" t="str">
        <f>IF(ISNA(VLOOKUP(Tableau13[[#This Row],[Code machine]],'CODE mchn'!$A$4:$C$170,3,0)),"",VLOOKUP(Tableau13[[#This Row],[Code machine]],'CODE mchn'!$A$4:$C$170,3,0))</f>
        <v>Schlatter</v>
      </c>
      <c r="E1462" s="105">
        <v>24384</v>
      </c>
      <c r="F1462" s="36"/>
      <c r="G1462" s="184" t="s">
        <v>1256</v>
      </c>
      <c r="H1462" s="184" t="s">
        <v>2583</v>
      </c>
      <c r="I1462" s="184" t="s">
        <v>107</v>
      </c>
      <c r="J1462" s="183" t="s">
        <v>2584</v>
      </c>
      <c r="K1462" s="185">
        <v>44295</v>
      </c>
      <c r="L1462" s="184"/>
      <c r="M1462" s="186">
        <v>90</v>
      </c>
      <c r="N1462" s="186">
        <f>MONTH(Tableau13[[#This Row],[Date fin intervention]])</f>
        <v>4</v>
      </c>
      <c r="O1462" s="108">
        <f>YEAR(Tableau13[[#This Row],[Date fin intervention]])</f>
        <v>2021</v>
      </c>
      <c r="P1462" s="184"/>
    </row>
    <row r="1463" spans="1:16" ht="28.5">
      <c r="A1463" s="181">
        <v>44295</v>
      </c>
      <c r="B1463" s="182">
        <v>700</v>
      </c>
      <c r="C1463" s="183" t="str">
        <f>IF(ISNA(VLOOKUP(Tableau13[[#This Row],[Code machine]],'CODE mchn'!$A$4:$C$170,2,0)),"",VLOOKUP(Tableau13[[#This Row],[Code machine]],'CODE mchn'!$A$4:$C$170,2,0))</f>
        <v>Béton</v>
      </c>
      <c r="D1463" s="184" t="str">
        <f>IF(ISNA(VLOOKUP(Tableau13[[#This Row],[Code machine]],'CODE mchn'!$A$4:$C$170,3,0)),"",VLOOKUP(Tableau13[[#This Row],[Code machine]],'CODE mchn'!$A$4:$C$170,3,0))</f>
        <v>Poyatos 1</v>
      </c>
      <c r="E1463" s="105">
        <v>24314</v>
      </c>
      <c r="F1463" s="36"/>
      <c r="G1463" s="184"/>
      <c r="H1463" s="184" t="s">
        <v>2585</v>
      </c>
      <c r="I1463" s="184" t="s">
        <v>13</v>
      </c>
      <c r="J1463" s="183" t="s">
        <v>2586</v>
      </c>
      <c r="K1463" s="185">
        <v>44295</v>
      </c>
      <c r="L1463" s="184"/>
      <c r="M1463" s="186">
        <v>60</v>
      </c>
      <c r="N1463" s="186">
        <f>MONTH(Tableau13[[#This Row],[Date fin intervention]])</f>
        <v>4</v>
      </c>
      <c r="O1463" s="108">
        <f>YEAR(Tableau13[[#This Row],[Date fin intervention]])</f>
        <v>2021</v>
      </c>
      <c r="P1463" s="184"/>
    </row>
    <row r="1464" spans="1:16">
      <c r="A1464" s="181">
        <v>44295</v>
      </c>
      <c r="B1464" s="182">
        <v>605</v>
      </c>
      <c r="C1464" s="183" t="str">
        <f>IF(ISNA(VLOOKUP(Tableau13[[#This Row],[Code machine]],'CODE mchn'!$A$4:$C$170,2,0)),"",VLOOKUP(Tableau13[[#This Row],[Code machine]],'CODE mchn'!$A$4:$C$170,2,0))</f>
        <v>Acier</v>
      </c>
      <c r="D1464" s="184" t="str">
        <f>IF(ISNA(VLOOKUP(Tableau13[[#This Row],[Code machine]],'CODE mchn'!$A$4:$C$170,3,0)),"",VLOOKUP(Tableau13[[#This Row],[Code machine]],'CODE mchn'!$A$4:$C$170,3,0))</f>
        <v>Vitari 1</v>
      </c>
      <c r="E1464" s="105">
        <v>24383</v>
      </c>
      <c r="F1464" s="36"/>
      <c r="G1464" s="184" t="s">
        <v>78</v>
      </c>
      <c r="H1464" s="184" t="s">
        <v>2587</v>
      </c>
      <c r="I1464" s="184" t="s">
        <v>107</v>
      </c>
      <c r="J1464" s="183" t="s">
        <v>2588</v>
      </c>
      <c r="K1464" s="185">
        <v>44295</v>
      </c>
      <c r="L1464" s="184"/>
      <c r="M1464" s="186">
        <v>45</v>
      </c>
      <c r="N1464" s="186">
        <f>MONTH(Tableau13[[#This Row],[Date fin intervention]])</f>
        <v>4</v>
      </c>
      <c r="O1464" s="108">
        <f>YEAR(Tableau13[[#This Row],[Date fin intervention]])</f>
        <v>2021</v>
      </c>
      <c r="P1464" s="184"/>
    </row>
    <row r="1465" spans="1:16">
      <c r="A1465" s="181">
        <v>44295</v>
      </c>
      <c r="B1465" s="182">
        <v>700</v>
      </c>
      <c r="C1465" s="183" t="str">
        <f>IF(ISNA(VLOOKUP(Tableau13[[#This Row],[Code machine]],'CODE mchn'!$A$4:$C$170,2,0)),"",VLOOKUP(Tableau13[[#This Row],[Code machine]],'CODE mchn'!$A$4:$C$170,2,0))</f>
        <v>Béton</v>
      </c>
      <c r="D1465" s="184" t="str">
        <f>IF(ISNA(VLOOKUP(Tableau13[[#This Row],[Code machine]],'CODE mchn'!$A$4:$C$170,3,0)),"",VLOOKUP(Tableau13[[#This Row],[Code machine]],'CODE mchn'!$A$4:$C$170,3,0))</f>
        <v>Poyatos 1</v>
      </c>
      <c r="E1465" s="105">
        <v>24315</v>
      </c>
      <c r="F1465" s="36"/>
      <c r="G1465" s="184"/>
      <c r="H1465" s="184" t="s">
        <v>2589</v>
      </c>
      <c r="I1465" s="184" t="s">
        <v>13</v>
      </c>
      <c r="J1465" s="183" t="s">
        <v>2590</v>
      </c>
      <c r="K1465" s="185">
        <v>44295</v>
      </c>
      <c r="L1465" s="184"/>
      <c r="M1465" s="186">
        <v>30</v>
      </c>
      <c r="N1465" s="186">
        <f>MONTH(Tableau13[[#This Row],[Date fin intervention]])</f>
        <v>4</v>
      </c>
      <c r="O1465" s="108">
        <f>YEAR(Tableau13[[#This Row],[Date fin intervention]])</f>
        <v>2021</v>
      </c>
      <c r="P1465" s="184"/>
    </row>
    <row r="1466" spans="1:16">
      <c r="A1466" s="181">
        <v>44295</v>
      </c>
      <c r="B1466" s="182">
        <v>581</v>
      </c>
      <c r="C1466" s="183" t="str">
        <f>IF(ISNA(VLOOKUP(Tableau13[[#This Row],[Code machine]],'CODE mchn'!$A$4:$C$170,2,0)),"",VLOOKUP(Tableau13[[#This Row],[Code machine]],'CODE mchn'!$A$4:$C$170,2,0))</f>
        <v>Acier</v>
      </c>
      <c r="D1466" s="184" t="str">
        <f>IF(ISNA(VLOOKUP(Tableau13[[#This Row],[Code machine]],'CODE mchn'!$A$4:$C$170,3,0)),"",VLOOKUP(Tableau13[[#This Row],[Code machine]],'CODE mchn'!$A$4:$C$170,3,0))</f>
        <v>Teurema 1</v>
      </c>
      <c r="E1466" s="105">
        <v>24431</v>
      </c>
      <c r="F1466" s="36"/>
      <c r="G1466" s="184" t="s">
        <v>49</v>
      </c>
      <c r="H1466" s="184" t="s">
        <v>2591</v>
      </c>
      <c r="I1466" s="184" t="s">
        <v>125</v>
      </c>
      <c r="J1466" s="183" t="s">
        <v>2481</v>
      </c>
      <c r="K1466" s="185">
        <v>44295</v>
      </c>
      <c r="L1466" s="184"/>
      <c r="M1466" s="186">
        <v>15</v>
      </c>
      <c r="N1466" s="186">
        <f>MONTH(Tableau13[[#This Row],[Date fin intervention]])</f>
        <v>4</v>
      </c>
      <c r="O1466" s="108">
        <f>YEAR(Tableau13[[#This Row],[Date fin intervention]])</f>
        <v>2021</v>
      </c>
      <c r="P1466" s="184"/>
    </row>
    <row r="1467" spans="1:16">
      <c r="A1467" s="181">
        <v>44295</v>
      </c>
      <c r="B1467" s="182">
        <v>560</v>
      </c>
      <c r="C1467" s="183" t="str">
        <f>IF(ISNA(VLOOKUP(Tableau13[[#This Row],[Code machine]],'CODE mchn'!$A$4:$C$170,2,0)),"",VLOOKUP(Tableau13[[#This Row],[Code machine]],'CODE mchn'!$A$4:$C$170,2,0))</f>
        <v>Acier</v>
      </c>
      <c r="D1467" s="184" t="str">
        <f>IF(ISNA(VLOOKUP(Tableau13[[#This Row],[Code machine]],'CODE mchn'!$A$4:$C$170,3,0)),"",VLOOKUP(Tableau13[[#This Row],[Code machine]],'CODE mchn'!$A$4:$C$170,3,0))</f>
        <v>Schlatter</v>
      </c>
      <c r="E1467" s="105">
        <v>24382</v>
      </c>
      <c r="F1467" s="36"/>
      <c r="G1467" s="184" t="s">
        <v>2428</v>
      </c>
      <c r="H1467" s="184" t="s">
        <v>2592</v>
      </c>
      <c r="I1467" s="184" t="s">
        <v>107</v>
      </c>
      <c r="J1467" s="183" t="s">
        <v>2593</v>
      </c>
      <c r="K1467" s="185">
        <v>44295</v>
      </c>
      <c r="L1467" s="184"/>
      <c r="M1467" s="186">
        <v>120</v>
      </c>
      <c r="N1467" s="186">
        <f>MONTH(Tableau13[[#This Row],[Date fin intervention]])</f>
        <v>4</v>
      </c>
      <c r="O1467" s="108">
        <f>YEAR(Tableau13[[#This Row],[Date fin intervention]])</f>
        <v>2021</v>
      </c>
      <c r="P1467" s="184"/>
    </row>
    <row r="1468" spans="1:16">
      <c r="A1468" s="181">
        <v>44296</v>
      </c>
      <c r="B1468" s="182">
        <v>700</v>
      </c>
      <c r="C1468" s="183" t="str">
        <f>IF(ISNA(VLOOKUP(Tableau13[[#This Row],[Code machine]],'CODE mchn'!$A$4:$C$170,2,0)),"",VLOOKUP(Tableau13[[#This Row],[Code machine]],'CODE mchn'!$A$4:$C$170,2,0))</f>
        <v>Béton</v>
      </c>
      <c r="D1468" s="184" t="str">
        <f>IF(ISNA(VLOOKUP(Tableau13[[#This Row],[Code machine]],'CODE mchn'!$A$4:$C$170,3,0)),"",VLOOKUP(Tableau13[[#This Row],[Code machine]],'CODE mchn'!$A$4:$C$170,3,0))</f>
        <v>Poyatos 1</v>
      </c>
      <c r="E1468" s="105">
        <v>24317</v>
      </c>
      <c r="F1468" s="36"/>
      <c r="G1468" s="184"/>
      <c r="H1468" s="184"/>
      <c r="I1468" s="184" t="s">
        <v>13</v>
      </c>
      <c r="J1468" s="183" t="s">
        <v>2594</v>
      </c>
      <c r="K1468" s="185">
        <v>44296</v>
      </c>
      <c r="L1468" s="184"/>
      <c r="M1468" s="186">
        <v>90</v>
      </c>
      <c r="N1468" s="186">
        <f>MONTH(Tableau13[[#This Row],[Date fin intervention]])</f>
        <v>4</v>
      </c>
      <c r="O1468" s="108">
        <f>YEAR(Tableau13[[#This Row],[Date fin intervention]])</f>
        <v>2021</v>
      </c>
      <c r="P1468" s="184"/>
    </row>
    <row r="1469" spans="1:16">
      <c r="A1469" s="181">
        <v>44296</v>
      </c>
      <c r="B1469" s="182">
        <v>700</v>
      </c>
      <c r="C1469" s="183" t="str">
        <f>IF(ISNA(VLOOKUP(Tableau13[[#This Row],[Code machine]],'CODE mchn'!$A$4:$C$170,2,0)),"",VLOOKUP(Tableau13[[#This Row],[Code machine]],'CODE mchn'!$A$4:$C$170,2,0))</f>
        <v>Béton</v>
      </c>
      <c r="D1469" s="184" t="str">
        <f>IF(ISNA(VLOOKUP(Tableau13[[#This Row],[Code machine]],'CODE mchn'!$A$4:$C$170,3,0)),"",VLOOKUP(Tableau13[[#This Row],[Code machine]],'CODE mchn'!$A$4:$C$170,3,0))</f>
        <v>Poyatos 1</v>
      </c>
      <c r="E1469" s="105">
        <v>24316</v>
      </c>
      <c r="F1469" s="36"/>
      <c r="G1469" s="184" t="s">
        <v>213</v>
      </c>
      <c r="H1469" s="184" t="s">
        <v>2595</v>
      </c>
      <c r="I1469" s="184" t="s">
        <v>13</v>
      </c>
      <c r="J1469" s="183" t="s">
        <v>2218</v>
      </c>
      <c r="K1469" s="185">
        <v>44296</v>
      </c>
      <c r="L1469" s="184"/>
      <c r="M1469" s="186">
        <v>45</v>
      </c>
      <c r="N1469" s="186">
        <f>MONTH(Tableau13[[#This Row],[Date fin intervention]])</f>
        <v>4</v>
      </c>
      <c r="O1469" s="108">
        <f>YEAR(Tableau13[[#This Row],[Date fin intervention]])</f>
        <v>2021</v>
      </c>
      <c r="P1469" s="184"/>
    </row>
    <row r="1470" spans="1:16">
      <c r="A1470" s="181">
        <v>44296</v>
      </c>
      <c r="B1470" s="182">
        <v>800</v>
      </c>
      <c r="C1470" s="183" t="str">
        <f>IF(ISNA(VLOOKUP(Tableau13[[#This Row],[Code machine]],'CODE mchn'!$A$4:$C$170,2,0)),"",VLOOKUP(Tableau13[[#This Row],[Code machine]],'CODE mchn'!$A$4:$C$170,2,0))</f>
        <v>Béton</v>
      </c>
      <c r="D1470" s="184" t="str">
        <f>IF(ISNA(VLOOKUP(Tableau13[[#This Row],[Code machine]],'CODE mchn'!$A$4:$C$170,3,0)),"",VLOOKUP(Tableau13[[#This Row],[Code machine]],'CODE mchn'!$A$4:$C$170,3,0))</f>
        <v>Poyatos 2</v>
      </c>
      <c r="E1470" s="105">
        <v>24318</v>
      </c>
      <c r="F1470" s="36"/>
      <c r="G1470" s="184"/>
      <c r="H1470" s="184" t="s">
        <v>2596</v>
      </c>
      <c r="I1470" s="184" t="s">
        <v>13</v>
      </c>
      <c r="J1470" s="183" t="s">
        <v>2597</v>
      </c>
      <c r="K1470" s="185">
        <v>44296</v>
      </c>
      <c r="L1470" s="184"/>
      <c r="M1470" s="186">
        <v>30</v>
      </c>
      <c r="N1470" s="186">
        <f>MONTH(Tableau13[[#This Row],[Date fin intervention]])</f>
        <v>4</v>
      </c>
      <c r="O1470" s="108">
        <f>YEAR(Tableau13[[#This Row],[Date fin intervention]])</f>
        <v>2021</v>
      </c>
      <c r="P1470" s="184"/>
    </row>
    <row r="1471" spans="1:16">
      <c r="A1471" s="181">
        <v>44296</v>
      </c>
      <c r="B1471" s="182">
        <v>582</v>
      </c>
      <c r="C1471" s="183" t="str">
        <f>IF(ISNA(VLOOKUP(Tableau13[[#This Row],[Code machine]],'CODE mchn'!$A$4:$C$170,2,0)),"",VLOOKUP(Tableau13[[#This Row],[Code machine]],'CODE mchn'!$A$4:$C$170,2,0))</f>
        <v>Acier</v>
      </c>
      <c r="D1471" s="184" t="str">
        <f>IF(ISNA(VLOOKUP(Tableau13[[#This Row],[Code machine]],'CODE mchn'!$A$4:$C$170,3,0)),"",VLOOKUP(Tableau13[[#This Row],[Code machine]],'CODE mchn'!$A$4:$C$170,3,0))</f>
        <v>Teurema 2</v>
      </c>
      <c r="E1471" s="105">
        <v>24433</v>
      </c>
      <c r="F1471" s="36"/>
      <c r="G1471" s="184" t="s">
        <v>1733</v>
      </c>
      <c r="H1471" s="184" t="s">
        <v>2598</v>
      </c>
      <c r="I1471" s="184" t="s">
        <v>13</v>
      </c>
      <c r="J1471" s="183" t="s">
        <v>2336</v>
      </c>
      <c r="K1471" s="185">
        <v>44296</v>
      </c>
      <c r="L1471" s="184"/>
      <c r="M1471" s="186">
        <v>30</v>
      </c>
      <c r="N1471" s="186">
        <f>MONTH(Tableau13[[#This Row],[Date fin intervention]])</f>
        <v>4</v>
      </c>
      <c r="O1471" s="108">
        <f>YEAR(Tableau13[[#This Row],[Date fin intervention]])</f>
        <v>2021</v>
      </c>
      <c r="P1471" s="184"/>
    </row>
    <row r="1472" spans="1:16" ht="28.5">
      <c r="A1472" s="181">
        <v>44296</v>
      </c>
      <c r="B1472" s="182">
        <v>574</v>
      </c>
      <c r="C1472" s="183" t="str">
        <f>IF(ISNA(VLOOKUP(Tableau13[[#This Row],[Code machine]],'CODE mchn'!$A$4:$C$170,2,0)),"",VLOOKUP(Tableau13[[#This Row],[Code machine]],'CODE mchn'!$A$4:$C$170,2,0))</f>
        <v>Ponts roulants</v>
      </c>
      <c r="D1472" s="184" t="str">
        <f>IF(ISNA(VLOOKUP(Tableau13[[#This Row],[Code machine]],'CODE mchn'!$A$4:$C$170,3,0)),"",VLOOKUP(Tableau13[[#This Row],[Code machine]],'CODE mchn'!$A$4:$C$170,3,0))</f>
        <v>Pont roulant Demag 2 3,2T (Charge)</v>
      </c>
      <c r="E1472" s="105">
        <v>24716</v>
      </c>
      <c r="F1472" s="36"/>
      <c r="G1472" s="184" t="s">
        <v>2599</v>
      </c>
      <c r="H1472" s="184" t="s">
        <v>2600</v>
      </c>
      <c r="I1472" s="184" t="s">
        <v>2601</v>
      </c>
      <c r="J1472" s="251" t="s">
        <v>2602</v>
      </c>
      <c r="K1472" s="185">
        <v>44296</v>
      </c>
      <c r="L1472" s="184"/>
      <c r="M1472" s="186">
        <v>180</v>
      </c>
      <c r="N1472" s="186">
        <f>MONTH(Tableau13[[#This Row],[Date fin intervention]])</f>
        <v>4</v>
      </c>
      <c r="O1472" s="108">
        <f>YEAR(Tableau13[[#This Row],[Date fin intervention]])</f>
        <v>2021</v>
      </c>
      <c r="P1472" s="184"/>
    </row>
    <row r="1473" spans="1:16">
      <c r="A1473" s="181">
        <v>44296</v>
      </c>
      <c r="B1473" s="182">
        <v>581</v>
      </c>
      <c r="C1473" s="183" t="str">
        <f>IF(ISNA(VLOOKUP(Tableau13[[#This Row],[Code machine]],'CODE mchn'!$A$4:$C$170,2,0)),"",VLOOKUP(Tableau13[[#This Row],[Code machine]],'CODE mchn'!$A$4:$C$170,2,0))</f>
        <v>Acier</v>
      </c>
      <c r="D1473" s="184" t="str">
        <f>IF(ISNA(VLOOKUP(Tableau13[[#This Row],[Code machine]],'CODE mchn'!$A$4:$C$170,3,0)),"",VLOOKUP(Tableau13[[#This Row],[Code machine]],'CODE mchn'!$A$4:$C$170,3,0))</f>
        <v>Teurema 1</v>
      </c>
      <c r="E1473" s="105">
        <v>24432</v>
      </c>
      <c r="F1473" s="36"/>
      <c r="G1473" s="184" t="s">
        <v>1819</v>
      </c>
      <c r="H1473" s="184" t="s">
        <v>2603</v>
      </c>
      <c r="I1473" s="184" t="s">
        <v>107</v>
      </c>
      <c r="J1473" s="183" t="s">
        <v>2229</v>
      </c>
      <c r="K1473" s="185">
        <v>44296</v>
      </c>
      <c r="L1473" s="184"/>
      <c r="M1473" s="186">
        <v>120</v>
      </c>
      <c r="N1473" s="186">
        <f>MONTH(Tableau13[[#This Row],[Date fin intervention]])</f>
        <v>4</v>
      </c>
      <c r="O1473" s="108">
        <f>YEAR(Tableau13[[#This Row],[Date fin intervention]])</f>
        <v>2021</v>
      </c>
      <c r="P1473" s="184"/>
    </row>
    <row r="1474" spans="1:16">
      <c r="A1474" s="181">
        <v>44298</v>
      </c>
      <c r="B1474" s="182">
        <v>565</v>
      </c>
      <c r="C1474" s="183" t="str">
        <f>IF(ISNA(VLOOKUP(Tableau13[[#This Row],[Code machine]],'CODE mchn'!$A$4:$C$170,2,0)),"",VLOOKUP(Tableau13[[#This Row],[Code machine]],'CODE mchn'!$A$4:$C$170,2,0))</f>
        <v>Acier</v>
      </c>
      <c r="D1474" s="184" t="str">
        <f>IF(ISNA(VLOOKUP(Tableau13[[#This Row],[Code machine]],'CODE mchn'!$A$4:$C$170,3,0)),"",VLOOKUP(Tableau13[[#This Row],[Code machine]],'CODE mchn'!$A$4:$C$170,3,0))</f>
        <v>EVG GE12</v>
      </c>
      <c r="E1474" s="105">
        <v>24385</v>
      </c>
      <c r="F1474" s="36"/>
      <c r="G1474" s="184" t="s">
        <v>2604</v>
      </c>
      <c r="H1474" s="184" t="s">
        <v>2605</v>
      </c>
      <c r="I1474" s="184" t="s">
        <v>107</v>
      </c>
      <c r="J1474" s="251" t="s">
        <v>2606</v>
      </c>
      <c r="K1474" s="185">
        <v>44298</v>
      </c>
      <c r="L1474" s="184"/>
      <c r="M1474" s="186">
        <v>90</v>
      </c>
      <c r="N1474" s="186">
        <f>MONTH(Tableau13[[#This Row],[Date fin intervention]])</f>
        <v>4</v>
      </c>
      <c r="O1474" s="108">
        <f>YEAR(Tableau13[[#This Row],[Date fin intervention]])</f>
        <v>2021</v>
      </c>
      <c r="P1474" s="184"/>
    </row>
    <row r="1475" spans="1:16">
      <c r="A1475" s="181">
        <v>44298</v>
      </c>
      <c r="B1475" s="182">
        <v>570</v>
      </c>
      <c r="C1475" s="183" t="str">
        <f>IF(ISNA(VLOOKUP(Tableau13[[#This Row],[Code machine]],'CODE mchn'!$A$4:$C$170,2,0)),"",VLOOKUP(Tableau13[[#This Row],[Code machine]],'CODE mchn'!$A$4:$C$170,2,0))</f>
        <v>Acier</v>
      </c>
      <c r="D1475" s="184" t="str">
        <f>IF(ISNA(VLOOKUP(Tableau13[[#This Row],[Code machine]],'CODE mchn'!$A$4:$C$170,3,0)),"",VLOOKUP(Tableau13[[#This Row],[Code machine]],'CODE mchn'!$A$4:$C$170,3,0))</f>
        <v>Sigmatic</v>
      </c>
      <c r="E1475" s="105">
        <v>24717</v>
      </c>
      <c r="F1475" s="36"/>
      <c r="G1475" s="184" t="s">
        <v>2607</v>
      </c>
      <c r="H1475" s="184" t="s">
        <v>2608</v>
      </c>
      <c r="I1475" s="184" t="s">
        <v>107</v>
      </c>
      <c r="J1475" s="251" t="s">
        <v>2558</v>
      </c>
      <c r="K1475" s="185">
        <v>44298</v>
      </c>
      <c r="L1475" s="184"/>
      <c r="M1475" s="186">
        <v>60</v>
      </c>
      <c r="N1475" s="186">
        <f>MONTH(Tableau13[[#This Row],[Date fin intervention]])</f>
        <v>4</v>
      </c>
      <c r="O1475" s="108">
        <f>YEAR(Tableau13[[#This Row],[Date fin intervention]])</f>
        <v>2021</v>
      </c>
      <c r="P1475" s="184"/>
    </row>
    <row r="1476" spans="1:16">
      <c r="A1476" s="181">
        <v>44298</v>
      </c>
      <c r="B1476" s="182">
        <v>800</v>
      </c>
      <c r="C1476" s="183" t="str">
        <f>IF(ISNA(VLOOKUP(Tableau13[[#This Row],[Code machine]],'CODE mchn'!$A$4:$C$170,2,0)),"",VLOOKUP(Tableau13[[#This Row],[Code machine]],'CODE mchn'!$A$4:$C$170,2,0))</f>
        <v>Béton</v>
      </c>
      <c r="D1476" s="184" t="str">
        <f>IF(ISNA(VLOOKUP(Tableau13[[#This Row],[Code machine]],'CODE mchn'!$A$4:$C$170,3,0)),"",VLOOKUP(Tableau13[[#This Row],[Code machine]],'CODE mchn'!$A$4:$C$170,3,0))</f>
        <v>Poyatos 2</v>
      </c>
      <c r="E1476" s="105">
        <v>24324</v>
      </c>
      <c r="F1476" s="36"/>
      <c r="G1476" s="184" t="s">
        <v>185</v>
      </c>
      <c r="H1476" s="184" t="s">
        <v>356</v>
      </c>
      <c r="I1476" s="184" t="s">
        <v>13</v>
      </c>
      <c r="J1476" s="251" t="s">
        <v>2471</v>
      </c>
      <c r="K1476" s="185">
        <v>44298</v>
      </c>
      <c r="L1476" s="184"/>
      <c r="M1476" s="186">
        <v>60</v>
      </c>
      <c r="N1476" s="186">
        <f>MONTH(Tableau13[[#This Row],[Date fin intervention]])</f>
        <v>4</v>
      </c>
      <c r="O1476" s="108">
        <f>YEAR(Tableau13[[#This Row],[Date fin intervention]])</f>
        <v>2021</v>
      </c>
      <c r="P1476" s="184"/>
    </row>
    <row r="1477" spans="1:16">
      <c r="A1477" s="181">
        <v>44298</v>
      </c>
      <c r="B1477" s="182">
        <v>700</v>
      </c>
      <c r="C1477" s="183" t="str">
        <f>IF(ISNA(VLOOKUP(Tableau13[[#This Row],[Code machine]],'CODE mchn'!$A$4:$C$170,2,0)),"",VLOOKUP(Tableau13[[#This Row],[Code machine]],'CODE mchn'!$A$4:$C$170,2,0))</f>
        <v>Béton</v>
      </c>
      <c r="D1477" s="184" t="str">
        <f>IF(ISNA(VLOOKUP(Tableau13[[#This Row],[Code machine]],'CODE mchn'!$A$4:$C$170,3,0)),"",VLOOKUP(Tableau13[[#This Row],[Code machine]],'CODE mchn'!$A$4:$C$170,3,0))</f>
        <v>Poyatos 1</v>
      </c>
      <c r="E1477" s="105">
        <v>24319</v>
      </c>
      <c r="F1477" s="36"/>
      <c r="G1477" s="184" t="s">
        <v>2535</v>
      </c>
      <c r="H1477" s="184" t="s">
        <v>2609</v>
      </c>
      <c r="I1477" s="184" t="s">
        <v>107</v>
      </c>
      <c r="J1477" s="251" t="s">
        <v>2610</v>
      </c>
      <c r="K1477" s="185">
        <v>44298</v>
      </c>
      <c r="L1477" s="184"/>
      <c r="M1477" s="186">
        <v>45</v>
      </c>
      <c r="N1477" s="186">
        <f>MONTH(Tableau13[[#This Row],[Date fin intervention]])</f>
        <v>4</v>
      </c>
      <c r="O1477" s="108">
        <f>YEAR(Tableau13[[#This Row],[Date fin intervention]])</f>
        <v>2021</v>
      </c>
      <c r="P1477" s="184"/>
    </row>
    <row r="1478" spans="1:16">
      <c r="A1478" s="181">
        <v>44299</v>
      </c>
      <c r="B1478" s="182">
        <v>560</v>
      </c>
      <c r="C1478" s="183" t="str">
        <f>IF(ISNA(VLOOKUP(Tableau13[[#This Row],[Code machine]],'CODE mchn'!$A$4:$C$170,2,0)),"",VLOOKUP(Tableau13[[#This Row],[Code machine]],'CODE mchn'!$A$4:$C$170,2,0))</f>
        <v>Acier</v>
      </c>
      <c r="D1478" s="184" t="str">
        <f>IF(ISNA(VLOOKUP(Tableau13[[#This Row],[Code machine]],'CODE mchn'!$A$4:$C$170,3,0)),"",VLOOKUP(Tableau13[[#This Row],[Code machine]],'CODE mchn'!$A$4:$C$170,3,0))</f>
        <v>Schlatter</v>
      </c>
      <c r="E1478" s="105">
        <v>24387</v>
      </c>
      <c r="F1478" s="36"/>
      <c r="G1478" s="184" t="s">
        <v>2569</v>
      </c>
      <c r="H1478" s="184" t="s">
        <v>2611</v>
      </c>
      <c r="I1478" s="184" t="s">
        <v>13</v>
      </c>
      <c r="J1478" s="251" t="s">
        <v>722</v>
      </c>
      <c r="K1478" s="185">
        <v>44299</v>
      </c>
      <c r="L1478" s="184"/>
      <c r="M1478" s="186">
        <v>45</v>
      </c>
      <c r="N1478" s="186">
        <f>MONTH(Tableau13[[#This Row],[Date fin intervention]])</f>
        <v>4</v>
      </c>
      <c r="O1478" s="108">
        <f>YEAR(Tableau13[[#This Row],[Date fin intervention]])</f>
        <v>2021</v>
      </c>
      <c r="P1478" s="184"/>
    </row>
    <row r="1479" spans="1:16">
      <c r="A1479" s="181">
        <v>44299</v>
      </c>
      <c r="B1479" s="182">
        <v>800</v>
      </c>
      <c r="C1479" s="183" t="str">
        <f>IF(ISNA(VLOOKUP(Tableau13[[#This Row],[Code machine]],'CODE mchn'!$A$4:$C$170,2,0)),"",VLOOKUP(Tableau13[[#This Row],[Code machine]],'CODE mchn'!$A$4:$C$170,2,0))</f>
        <v>Béton</v>
      </c>
      <c r="D1479" s="184" t="str">
        <f>IF(ISNA(VLOOKUP(Tableau13[[#This Row],[Code machine]],'CODE mchn'!$A$4:$C$170,3,0)),"",VLOOKUP(Tableau13[[#This Row],[Code machine]],'CODE mchn'!$A$4:$C$170,3,0))</f>
        <v>Poyatos 2</v>
      </c>
      <c r="E1479" s="105">
        <v>24321</v>
      </c>
      <c r="F1479" s="36"/>
      <c r="G1479" s="184" t="s">
        <v>2257</v>
      </c>
      <c r="H1479" s="184" t="s">
        <v>2612</v>
      </c>
      <c r="I1479" s="184" t="s">
        <v>182</v>
      </c>
      <c r="J1479" s="251" t="s">
        <v>2613</v>
      </c>
      <c r="K1479" s="185">
        <v>44299</v>
      </c>
      <c r="L1479" s="184"/>
      <c r="M1479" s="186">
        <v>45</v>
      </c>
      <c r="N1479" s="186">
        <f>MONTH(Tableau13[[#This Row],[Date fin intervention]])</f>
        <v>4</v>
      </c>
      <c r="O1479" s="108">
        <f>YEAR(Tableau13[[#This Row],[Date fin intervention]])</f>
        <v>2021</v>
      </c>
      <c r="P1479" s="184"/>
    </row>
    <row r="1480" spans="1:16">
      <c r="A1480" s="181">
        <v>44299</v>
      </c>
      <c r="B1480" s="182">
        <v>607</v>
      </c>
      <c r="C1480" s="183" t="str">
        <f>IF(ISNA(VLOOKUP(Tableau13[[#This Row],[Code machine]],'CODE mchn'!$A$4:$C$170,2,0)),"",VLOOKUP(Tableau13[[#This Row],[Code machine]],'CODE mchn'!$A$4:$C$170,2,0))</f>
        <v>Acier</v>
      </c>
      <c r="D1480" s="184" t="str">
        <f>IF(ISNA(VLOOKUP(Tableau13[[#This Row],[Code machine]],'CODE mchn'!$A$4:$C$170,3,0)),"",VLOOKUP(Tableau13[[#This Row],[Code machine]],'CODE mchn'!$A$4:$C$170,3,0))</f>
        <v>Vitari 3</v>
      </c>
      <c r="E1480" s="105">
        <v>24386</v>
      </c>
      <c r="F1480" s="36"/>
      <c r="G1480" s="184" t="s">
        <v>10</v>
      </c>
      <c r="H1480" s="184" t="s">
        <v>2614</v>
      </c>
      <c r="I1480" s="184" t="s">
        <v>2601</v>
      </c>
      <c r="J1480" s="251" t="s">
        <v>2602</v>
      </c>
      <c r="K1480" s="185">
        <v>44299</v>
      </c>
      <c r="L1480" s="184"/>
      <c r="M1480" s="186">
        <v>35</v>
      </c>
      <c r="N1480" s="186">
        <f>MONTH(Tableau13[[#This Row],[Date fin intervention]])</f>
        <v>4</v>
      </c>
      <c r="O1480" s="108">
        <f>YEAR(Tableau13[[#This Row],[Date fin intervention]])</f>
        <v>2021</v>
      </c>
      <c r="P1480" s="184"/>
    </row>
    <row r="1481" spans="1:16">
      <c r="A1481" s="181">
        <v>44299</v>
      </c>
      <c r="B1481" s="182">
        <v>533</v>
      </c>
      <c r="C1481" s="183" t="str">
        <f>IF(ISNA(VLOOKUP(Tableau13[[#This Row],[Code machine]],'CODE mchn'!$A$4:$C$170,2,0)),"",VLOOKUP(Tableau13[[#This Row],[Code machine]],'CODE mchn'!$A$4:$C$170,2,0))</f>
        <v>Enrobage</v>
      </c>
      <c r="D1481" s="184" t="str">
        <f>IF(ISNA(VLOOKUP(Tableau13[[#This Row],[Code machine]],'CODE mchn'!$A$4:$C$170,3,0)),"",VLOOKUP(Tableau13[[#This Row],[Code machine]],'CODE mchn'!$A$4:$C$170,3,0))</f>
        <v>CAROSSEL</v>
      </c>
      <c r="E1481" s="105">
        <v>24322</v>
      </c>
      <c r="F1481" s="36"/>
      <c r="G1481" s="184" t="s">
        <v>128</v>
      </c>
      <c r="H1481" s="184" t="s">
        <v>2615</v>
      </c>
      <c r="I1481" s="184" t="s">
        <v>107</v>
      </c>
      <c r="J1481" s="251" t="s">
        <v>596</v>
      </c>
      <c r="K1481" s="185">
        <v>44299</v>
      </c>
      <c r="L1481" s="184"/>
      <c r="M1481" s="186">
        <v>30</v>
      </c>
      <c r="N1481" s="186">
        <f>MONTH(Tableau13[[#This Row],[Date fin intervention]])</f>
        <v>4</v>
      </c>
      <c r="O1481" s="108">
        <f>YEAR(Tableau13[[#This Row],[Date fin intervention]])</f>
        <v>2021</v>
      </c>
      <c r="P1481" s="184"/>
    </row>
    <row r="1482" spans="1:16" ht="28.5">
      <c r="A1482" s="181">
        <v>44299</v>
      </c>
      <c r="B1482" s="182">
        <v>581</v>
      </c>
      <c r="C1482" s="183" t="str">
        <f>IF(ISNA(VLOOKUP(Tableau13[[#This Row],[Code machine]],'CODE mchn'!$A$4:$C$170,2,0)),"",VLOOKUP(Tableau13[[#This Row],[Code machine]],'CODE mchn'!$A$4:$C$170,2,0))</f>
        <v>Acier</v>
      </c>
      <c r="D1482" s="184" t="str">
        <f>IF(ISNA(VLOOKUP(Tableau13[[#This Row],[Code machine]],'CODE mchn'!$A$4:$C$170,3,0)),"",VLOOKUP(Tableau13[[#This Row],[Code machine]],'CODE mchn'!$A$4:$C$170,3,0))</f>
        <v>Teurema 1</v>
      </c>
      <c r="E1482" s="105">
        <v>24435</v>
      </c>
      <c r="F1482" s="36"/>
      <c r="G1482" s="184" t="s">
        <v>2361</v>
      </c>
      <c r="H1482" s="184" t="s">
        <v>2616</v>
      </c>
      <c r="I1482" s="184" t="s">
        <v>2601</v>
      </c>
      <c r="J1482" s="251" t="s">
        <v>2617</v>
      </c>
      <c r="K1482" s="185">
        <v>44299</v>
      </c>
      <c r="L1482" s="184"/>
      <c r="M1482" s="186">
        <v>180</v>
      </c>
      <c r="N1482" s="186">
        <f>MONTH(Tableau13[[#This Row],[Date fin intervention]])</f>
        <v>4</v>
      </c>
      <c r="O1482" s="108">
        <f>YEAR(Tableau13[[#This Row],[Date fin intervention]])</f>
        <v>2021</v>
      </c>
      <c r="P1482" s="184"/>
    </row>
    <row r="1483" spans="1:16">
      <c r="A1483" s="181">
        <v>44299</v>
      </c>
      <c r="B1483" s="182">
        <v>582</v>
      </c>
      <c r="C1483" s="183" t="str">
        <f>IF(ISNA(VLOOKUP(Tableau13[[#This Row],[Code machine]],'CODE mchn'!$A$4:$C$170,2,0)),"",VLOOKUP(Tableau13[[#This Row],[Code machine]],'CODE mchn'!$A$4:$C$170,2,0))</f>
        <v>Acier</v>
      </c>
      <c r="D1483" s="184" t="str">
        <f>IF(ISNA(VLOOKUP(Tableau13[[#This Row],[Code machine]],'CODE mchn'!$A$4:$C$170,3,0)),"",VLOOKUP(Tableau13[[#This Row],[Code machine]],'CODE mchn'!$A$4:$C$170,3,0))</f>
        <v>Teurema 2</v>
      </c>
      <c r="E1483" s="105">
        <v>24434</v>
      </c>
      <c r="F1483" s="36"/>
      <c r="G1483" s="184" t="s">
        <v>2122</v>
      </c>
      <c r="H1483" s="184" t="s">
        <v>2618</v>
      </c>
      <c r="I1483" s="184" t="s">
        <v>13</v>
      </c>
      <c r="J1483" s="251" t="s">
        <v>2468</v>
      </c>
      <c r="K1483" s="185">
        <v>44299</v>
      </c>
      <c r="L1483" s="184"/>
      <c r="M1483" s="186">
        <v>120</v>
      </c>
      <c r="N1483" s="186">
        <f>MONTH(Tableau13[[#This Row],[Date fin intervention]])</f>
        <v>4</v>
      </c>
      <c r="O1483" s="108">
        <f>YEAR(Tableau13[[#This Row],[Date fin intervention]])</f>
        <v>2021</v>
      </c>
      <c r="P1483" s="184"/>
    </row>
    <row r="1484" spans="1:16">
      <c r="A1484" s="181">
        <v>44299</v>
      </c>
      <c r="B1484" s="182">
        <v>700</v>
      </c>
      <c r="C1484" s="183" t="str">
        <f>IF(ISNA(VLOOKUP(Tableau13[[#This Row],[Code machine]],'CODE mchn'!$A$4:$C$170,2,0)),"",VLOOKUP(Tableau13[[#This Row],[Code machine]],'CODE mchn'!$A$4:$C$170,2,0))</f>
        <v>Béton</v>
      </c>
      <c r="D1484" s="184" t="str">
        <f>IF(ISNA(VLOOKUP(Tableau13[[#This Row],[Code machine]],'CODE mchn'!$A$4:$C$170,3,0)),"",VLOOKUP(Tableau13[[#This Row],[Code machine]],'CODE mchn'!$A$4:$C$170,3,0))</f>
        <v>Poyatos 1</v>
      </c>
      <c r="E1484" s="105">
        <v>24320</v>
      </c>
      <c r="F1484" s="36"/>
      <c r="G1484" s="184" t="s">
        <v>2619</v>
      </c>
      <c r="H1484" s="184" t="s">
        <v>2620</v>
      </c>
      <c r="I1484" s="184" t="s">
        <v>13</v>
      </c>
      <c r="J1484" s="251"/>
      <c r="K1484" s="185">
        <v>44299</v>
      </c>
      <c r="L1484" s="184"/>
      <c r="M1484" s="186">
        <v>10</v>
      </c>
      <c r="N1484" s="186">
        <f>MONTH(Tableau13[[#This Row],[Date fin intervention]])</f>
        <v>4</v>
      </c>
      <c r="O1484" s="108">
        <f>YEAR(Tableau13[[#This Row],[Date fin intervention]])</f>
        <v>2021</v>
      </c>
      <c r="P1484" s="184"/>
    </row>
    <row r="1485" spans="1:16">
      <c r="A1485" s="181">
        <v>44300</v>
      </c>
      <c r="B1485" s="182">
        <v>590</v>
      </c>
      <c r="C1485" s="183" t="str">
        <f>IF(ISNA(VLOOKUP(Tableau13[[#This Row],[Code machine]],'CODE mchn'!$A$4:$C$170,2,0)),"",VLOOKUP(Tableau13[[#This Row],[Code machine]],'CODE mchn'!$A$4:$C$170,2,0))</f>
        <v>Acier</v>
      </c>
      <c r="D1485" s="184" t="str">
        <f>IF(ISNA(VLOOKUP(Tableau13[[#This Row],[Code machine]],'CODE mchn'!$A$4:$C$170,3,0)),"",VLOOKUP(Tableau13[[#This Row],[Code machine]],'CODE mchn'!$A$4:$C$170,3,0))</f>
        <v>Teurema 3</v>
      </c>
      <c r="E1485" s="105">
        <v>24437</v>
      </c>
      <c r="F1485" s="36"/>
      <c r="G1485" s="184" t="s">
        <v>1819</v>
      </c>
      <c r="H1485" s="184" t="s">
        <v>1650</v>
      </c>
      <c r="I1485" s="184" t="s">
        <v>107</v>
      </c>
      <c r="J1485" s="251" t="s">
        <v>596</v>
      </c>
      <c r="K1485" s="185">
        <v>44300</v>
      </c>
      <c r="L1485" s="184"/>
      <c r="M1485" s="186">
        <v>30</v>
      </c>
      <c r="N1485" s="186">
        <f>MONTH(Tableau13[[#This Row],[Date fin intervention]])</f>
        <v>4</v>
      </c>
      <c r="O1485" s="108">
        <f>YEAR(Tableau13[[#This Row],[Date fin intervention]])</f>
        <v>2021</v>
      </c>
      <c r="P1485" s="184"/>
    </row>
    <row r="1486" spans="1:16">
      <c r="A1486" s="181">
        <v>44300</v>
      </c>
      <c r="B1486" s="182">
        <v>581</v>
      </c>
      <c r="C1486" s="183" t="str">
        <f>IF(ISNA(VLOOKUP(Tableau13[[#This Row],[Code machine]],'CODE mchn'!$A$4:$C$170,2,0)),"",VLOOKUP(Tableau13[[#This Row],[Code machine]],'CODE mchn'!$A$4:$C$170,2,0))</f>
        <v>Acier</v>
      </c>
      <c r="D1486" s="184" t="str">
        <f>IF(ISNA(VLOOKUP(Tableau13[[#This Row],[Code machine]],'CODE mchn'!$A$4:$C$170,3,0)),"",VLOOKUP(Tableau13[[#This Row],[Code machine]],'CODE mchn'!$A$4:$C$170,3,0))</f>
        <v>Teurema 1</v>
      </c>
      <c r="E1486" s="105">
        <v>24438</v>
      </c>
      <c r="F1486" s="36"/>
      <c r="G1486" s="184" t="s">
        <v>49</v>
      </c>
      <c r="H1486" s="184" t="s">
        <v>2621</v>
      </c>
      <c r="I1486" s="184" t="s">
        <v>107</v>
      </c>
      <c r="J1486" s="251" t="s">
        <v>2622</v>
      </c>
      <c r="K1486" s="185">
        <v>44300</v>
      </c>
      <c r="L1486" s="184"/>
      <c r="M1486" s="186">
        <v>30</v>
      </c>
      <c r="N1486" s="186">
        <f>MONTH(Tableau13[[#This Row],[Date fin intervention]])</f>
        <v>4</v>
      </c>
      <c r="O1486" s="108">
        <f>YEAR(Tableau13[[#This Row],[Date fin intervention]])</f>
        <v>2021</v>
      </c>
      <c r="P1486" s="184"/>
    </row>
    <row r="1487" spans="1:16">
      <c r="A1487" s="181">
        <v>44300</v>
      </c>
      <c r="B1487" s="182">
        <v>533</v>
      </c>
      <c r="C1487" s="183" t="str">
        <f>IF(ISNA(VLOOKUP(Tableau13[[#This Row],[Code machine]],'CODE mchn'!$A$4:$C$170,2,0)),"",VLOOKUP(Tableau13[[#This Row],[Code machine]],'CODE mchn'!$A$4:$C$170,2,0))</f>
        <v>Enrobage</v>
      </c>
      <c r="D1487" s="184" t="str">
        <f>IF(ISNA(VLOOKUP(Tableau13[[#This Row],[Code machine]],'CODE mchn'!$A$4:$C$170,3,0)),"",VLOOKUP(Tableau13[[#This Row],[Code machine]],'CODE mchn'!$A$4:$C$170,3,0))</f>
        <v>CAROSSEL</v>
      </c>
      <c r="E1487" s="105">
        <v>24323</v>
      </c>
      <c r="F1487" s="36"/>
      <c r="G1487" s="184" t="s">
        <v>95</v>
      </c>
      <c r="H1487" s="184" t="s">
        <v>2623</v>
      </c>
      <c r="I1487" s="184" t="s">
        <v>125</v>
      </c>
      <c r="J1487" s="251" t="s">
        <v>2237</v>
      </c>
      <c r="K1487" s="185">
        <v>44300</v>
      </c>
      <c r="L1487" s="184"/>
      <c r="M1487" s="186">
        <v>25</v>
      </c>
      <c r="N1487" s="186">
        <f>MONTH(Tableau13[[#This Row],[Date fin intervention]])</f>
        <v>4</v>
      </c>
      <c r="O1487" s="108">
        <f>YEAR(Tableau13[[#This Row],[Date fin intervention]])</f>
        <v>2021</v>
      </c>
      <c r="P1487" s="184"/>
    </row>
    <row r="1488" spans="1:16">
      <c r="A1488" s="181">
        <v>44300</v>
      </c>
      <c r="B1488" s="182">
        <v>573</v>
      </c>
      <c r="C1488" s="183" t="str">
        <f>IF(ISNA(VLOOKUP(Tableau13[[#This Row],[Code machine]],'CODE mchn'!$A$4:$C$170,2,0)),"",VLOOKUP(Tableau13[[#This Row],[Code machine]],'CODE mchn'!$A$4:$C$170,2,0))</f>
        <v>Ponts roulants</v>
      </c>
      <c r="D1488" s="184" t="str">
        <f>IF(ISNA(VLOOKUP(Tableau13[[#This Row],[Code machine]],'CODE mchn'!$A$4:$C$170,3,0)),"",VLOOKUP(Tableau13[[#This Row],[Code machine]],'CODE mchn'!$A$4:$C$170,3,0))</f>
        <v xml:space="preserve">Pont roulant Demag 1 3,5T </v>
      </c>
      <c r="E1488" s="105">
        <v>24718</v>
      </c>
      <c r="F1488" s="36"/>
      <c r="G1488" s="184" t="s">
        <v>2599</v>
      </c>
      <c r="H1488" s="184" t="s">
        <v>2624</v>
      </c>
      <c r="I1488" s="184" t="s">
        <v>2625</v>
      </c>
      <c r="J1488" s="251" t="s">
        <v>2626</v>
      </c>
      <c r="K1488" s="185">
        <v>44301</v>
      </c>
      <c r="L1488" s="184"/>
      <c r="M1488" s="186">
        <f>8*60</f>
        <v>480</v>
      </c>
      <c r="N1488" s="186">
        <f>MONTH(Tableau13[[#This Row],[Date fin intervention]])</f>
        <v>4</v>
      </c>
      <c r="O1488" s="108">
        <f>YEAR(Tableau13[[#This Row],[Date fin intervention]])</f>
        <v>2021</v>
      </c>
      <c r="P1488" s="184"/>
    </row>
    <row r="1489" spans="1:16">
      <c r="A1489" s="181">
        <v>44300</v>
      </c>
      <c r="B1489" s="182">
        <v>582</v>
      </c>
      <c r="C1489" s="183" t="str">
        <f>IF(ISNA(VLOOKUP(Tableau13[[#This Row],[Code machine]],'CODE mchn'!$A$4:$C$170,2,0)),"",VLOOKUP(Tableau13[[#This Row],[Code machine]],'CODE mchn'!$A$4:$C$170,2,0))</f>
        <v>Acier</v>
      </c>
      <c r="D1489" s="184" t="str">
        <f>IF(ISNA(VLOOKUP(Tableau13[[#This Row],[Code machine]],'CODE mchn'!$A$4:$C$170,3,0)),"",VLOOKUP(Tableau13[[#This Row],[Code machine]],'CODE mchn'!$A$4:$C$170,3,0))</f>
        <v>Teurema 2</v>
      </c>
      <c r="E1489" s="105">
        <v>24436</v>
      </c>
      <c r="F1489" s="36"/>
      <c r="G1489" s="184" t="s">
        <v>2411</v>
      </c>
      <c r="H1489" s="184" t="s">
        <v>2616</v>
      </c>
      <c r="I1489" s="184" t="s">
        <v>2601</v>
      </c>
      <c r="J1489" s="251" t="s">
        <v>2627</v>
      </c>
      <c r="K1489" s="185">
        <v>44300</v>
      </c>
      <c r="L1489" s="184"/>
      <c r="M1489" s="186">
        <v>120</v>
      </c>
      <c r="N1489" s="186">
        <f>MONTH(Tableau13[[#This Row],[Date fin intervention]])</f>
        <v>4</v>
      </c>
      <c r="O1489" s="108">
        <f>YEAR(Tableau13[[#This Row],[Date fin intervention]])</f>
        <v>2021</v>
      </c>
      <c r="P1489" s="184"/>
    </row>
    <row r="1490" spans="1:16">
      <c r="A1490" s="181">
        <v>44301</v>
      </c>
      <c r="B1490" s="182">
        <v>565</v>
      </c>
      <c r="C1490" s="183" t="str">
        <f>IF(ISNA(VLOOKUP(Tableau13[[#This Row],[Code machine]],'CODE mchn'!$A$4:$C$170,2,0)),"",VLOOKUP(Tableau13[[#This Row],[Code machine]],'CODE mchn'!$A$4:$C$170,2,0))</f>
        <v>Acier</v>
      </c>
      <c r="D1490" s="184" t="str">
        <f>IF(ISNA(VLOOKUP(Tableau13[[#This Row],[Code machine]],'CODE mchn'!$A$4:$C$170,3,0)),"",VLOOKUP(Tableau13[[#This Row],[Code machine]],'CODE mchn'!$A$4:$C$170,3,0))</f>
        <v>EVG GE12</v>
      </c>
      <c r="E1490" s="105">
        <v>24390</v>
      </c>
      <c r="F1490" s="36"/>
      <c r="G1490" s="184" t="s">
        <v>2628</v>
      </c>
      <c r="H1490" s="184" t="s">
        <v>2629</v>
      </c>
      <c r="I1490" s="184" t="s">
        <v>107</v>
      </c>
      <c r="J1490" s="251" t="s">
        <v>2630</v>
      </c>
      <c r="K1490" s="185">
        <v>44301</v>
      </c>
      <c r="L1490" s="184"/>
      <c r="M1490" s="186">
        <v>60</v>
      </c>
      <c r="N1490" s="186">
        <f>MONTH(Tableau13[[#This Row],[Date fin intervention]])</f>
        <v>4</v>
      </c>
      <c r="O1490" s="108">
        <f>YEAR(Tableau13[[#This Row],[Date fin intervention]])</f>
        <v>2021</v>
      </c>
      <c r="P1490" s="184"/>
    </row>
    <row r="1491" spans="1:16">
      <c r="A1491" s="181">
        <v>44301</v>
      </c>
      <c r="B1491" s="182">
        <v>560</v>
      </c>
      <c r="C1491" s="183" t="str">
        <f>IF(ISNA(VLOOKUP(Tableau13[[#This Row],[Code machine]],'CODE mchn'!$A$4:$C$170,2,0)),"",VLOOKUP(Tableau13[[#This Row],[Code machine]],'CODE mchn'!$A$4:$C$170,2,0))</f>
        <v>Acier</v>
      </c>
      <c r="D1491" s="184" t="str">
        <f>IF(ISNA(VLOOKUP(Tableau13[[#This Row],[Code machine]],'CODE mchn'!$A$4:$C$170,3,0)),"",VLOOKUP(Tableau13[[#This Row],[Code machine]],'CODE mchn'!$A$4:$C$170,3,0))</f>
        <v>Schlatter</v>
      </c>
      <c r="E1491" s="105">
        <v>24389</v>
      </c>
      <c r="F1491" s="36"/>
      <c r="G1491" s="184" t="s">
        <v>2569</v>
      </c>
      <c r="H1491" s="184" t="s">
        <v>2631</v>
      </c>
      <c r="I1491" s="184" t="s">
        <v>182</v>
      </c>
      <c r="J1491" s="251" t="s">
        <v>722</v>
      </c>
      <c r="K1491" s="185">
        <v>44301</v>
      </c>
      <c r="L1491" s="184"/>
      <c r="M1491" s="186">
        <v>450</v>
      </c>
      <c r="N1491" s="186">
        <f>MONTH(Tableau13[[#This Row],[Date fin intervention]])</f>
        <v>4</v>
      </c>
      <c r="O1491" s="108">
        <f>YEAR(Tableau13[[#This Row],[Date fin intervention]])</f>
        <v>2021</v>
      </c>
      <c r="P1491" s="184"/>
    </row>
    <row r="1492" spans="1:16">
      <c r="A1492" s="181">
        <v>44302</v>
      </c>
      <c r="B1492" s="182">
        <v>565</v>
      </c>
      <c r="C1492" s="183" t="str">
        <f>IF(ISNA(VLOOKUP(Tableau13[[#This Row],[Code machine]],'CODE mchn'!$A$4:$C$170,2,0)),"",VLOOKUP(Tableau13[[#This Row],[Code machine]],'CODE mchn'!$A$4:$C$170,2,0))</f>
        <v>Acier</v>
      </c>
      <c r="D1492" s="184" t="str">
        <f>IF(ISNA(VLOOKUP(Tableau13[[#This Row],[Code machine]],'CODE mchn'!$A$4:$C$170,3,0)),"",VLOOKUP(Tableau13[[#This Row],[Code machine]],'CODE mchn'!$A$4:$C$170,3,0))</f>
        <v>EVG GE12</v>
      </c>
      <c r="E1492" s="105">
        <v>24388</v>
      </c>
      <c r="F1492" s="36"/>
      <c r="G1492" s="184" t="s">
        <v>2632</v>
      </c>
      <c r="H1492" s="184" t="s">
        <v>2633</v>
      </c>
      <c r="I1492" s="184" t="s">
        <v>107</v>
      </c>
      <c r="J1492" s="251" t="s">
        <v>2634</v>
      </c>
      <c r="K1492" s="185">
        <v>44302</v>
      </c>
      <c r="L1492" s="184"/>
      <c r="M1492" s="186">
        <v>60</v>
      </c>
      <c r="N1492" s="186">
        <f>MONTH(Tableau13[[#This Row],[Date fin intervention]])</f>
        <v>4</v>
      </c>
      <c r="O1492" s="108">
        <f>YEAR(Tableau13[[#This Row],[Date fin intervention]])</f>
        <v>2021</v>
      </c>
      <c r="P1492" s="184"/>
    </row>
    <row r="1493" spans="1:16" ht="28.5">
      <c r="A1493" s="181">
        <v>44302</v>
      </c>
      <c r="B1493" s="182">
        <v>574</v>
      </c>
      <c r="C1493" s="183" t="str">
        <f>IF(ISNA(VLOOKUP(Tableau13[[#This Row],[Code machine]],'CODE mchn'!$A$4:$C$170,2,0)),"",VLOOKUP(Tableau13[[#This Row],[Code machine]],'CODE mchn'!$A$4:$C$170,2,0))</f>
        <v>Ponts roulants</v>
      </c>
      <c r="D1493" s="184" t="str">
        <f>IF(ISNA(VLOOKUP(Tableau13[[#This Row],[Code machine]],'CODE mchn'!$A$4:$C$170,3,0)),"",VLOOKUP(Tableau13[[#This Row],[Code machine]],'CODE mchn'!$A$4:$C$170,3,0))</f>
        <v>Pont roulant Demag 2 3,2T (Charge)</v>
      </c>
      <c r="E1493" s="105">
        <v>24719</v>
      </c>
      <c r="F1493" s="36"/>
      <c r="G1493" s="184"/>
      <c r="H1493" s="184" t="s">
        <v>2480</v>
      </c>
      <c r="I1493" s="184" t="s">
        <v>107</v>
      </c>
      <c r="J1493" s="251" t="s">
        <v>1984</v>
      </c>
      <c r="K1493" s="185">
        <v>44302</v>
      </c>
      <c r="L1493" s="184"/>
      <c r="M1493" s="186">
        <v>120</v>
      </c>
      <c r="N1493" s="186">
        <f>MONTH(Tableau13[[#This Row],[Date fin intervention]])</f>
        <v>4</v>
      </c>
      <c r="O1493" s="108">
        <f>YEAR(Tableau13[[#This Row],[Date fin intervention]])</f>
        <v>2021</v>
      </c>
      <c r="P1493" s="184"/>
    </row>
    <row r="1494" spans="1:16">
      <c r="A1494" s="181">
        <v>44303</v>
      </c>
      <c r="B1494" s="182">
        <v>700</v>
      </c>
      <c r="C1494" s="183" t="str">
        <f>IF(ISNA(VLOOKUP(Tableau13[[#This Row],[Code machine]],'CODE mchn'!$A$4:$C$170,2,0)),"",VLOOKUP(Tableau13[[#This Row],[Code machine]],'CODE mchn'!$A$4:$C$170,2,0))</f>
        <v>Béton</v>
      </c>
      <c r="D1494" s="184" t="str">
        <f>IF(ISNA(VLOOKUP(Tableau13[[#This Row],[Code machine]],'CODE mchn'!$A$4:$C$170,3,0)),"",VLOOKUP(Tableau13[[#This Row],[Code machine]],'CODE mchn'!$A$4:$C$170,3,0))</f>
        <v>Poyatos 1</v>
      </c>
      <c r="E1494" s="105">
        <v>24326</v>
      </c>
      <c r="F1494" s="36"/>
      <c r="G1494" s="184" t="s">
        <v>291</v>
      </c>
      <c r="H1494" s="184" t="s">
        <v>2635</v>
      </c>
      <c r="I1494" s="184" t="s">
        <v>107</v>
      </c>
      <c r="J1494" s="251" t="s">
        <v>2636</v>
      </c>
      <c r="K1494" s="185">
        <v>44303</v>
      </c>
      <c r="L1494" s="184"/>
      <c r="M1494" s="186">
        <v>60</v>
      </c>
      <c r="N1494" s="186">
        <f>MONTH(Tableau13[[#This Row],[Date fin intervention]])</f>
        <v>4</v>
      </c>
      <c r="O1494" s="108">
        <f>YEAR(Tableau13[[#This Row],[Date fin intervention]])</f>
        <v>2021</v>
      </c>
      <c r="P1494" s="184"/>
    </row>
    <row r="1495" spans="1:16" ht="28.5">
      <c r="A1495" s="181">
        <v>44303</v>
      </c>
      <c r="B1495" s="182">
        <v>568</v>
      </c>
      <c r="C1495" s="183" t="str">
        <f>IF(ISNA(VLOOKUP(Tableau13[[#This Row],[Code machine]],'CODE mchn'!$A$4:$C$170,2,0)),"",VLOOKUP(Tableau13[[#This Row],[Code machine]],'CODE mchn'!$A$4:$C$170,2,0))</f>
        <v>Ponts roulants</v>
      </c>
      <c r="D1495" s="184" t="str">
        <f>IF(ISNA(VLOOKUP(Tableau13[[#This Row],[Code machine]],'CODE mchn'!$A$4:$C$170,3,0)),"",VLOOKUP(Tableau13[[#This Row],[Code machine]],'CODE mchn'!$A$4:$C$170,3,0))</f>
        <v>Pont roulant Demag 5T (milieu)</v>
      </c>
      <c r="E1495" s="105">
        <v>24391</v>
      </c>
      <c r="F1495" s="36"/>
      <c r="G1495" s="184" t="s">
        <v>2537</v>
      </c>
      <c r="H1495" s="184" t="s">
        <v>2637</v>
      </c>
      <c r="I1495" s="184" t="s">
        <v>182</v>
      </c>
      <c r="J1495" s="251" t="s">
        <v>2638</v>
      </c>
      <c r="K1495" s="185">
        <v>44302</v>
      </c>
      <c r="L1495" s="184"/>
      <c r="M1495" s="186">
        <v>45</v>
      </c>
      <c r="N1495" s="186">
        <f>MONTH(Tableau13[[#This Row],[Date fin intervention]])</f>
        <v>4</v>
      </c>
      <c r="O1495" s="108">
        <f>YEAR(Tableau13[[#This Row],[Date fin intervention]])</f>
        <v>2021</v>
      </c>
      <c r="P1495" s="184"/>
    </row>
    <row r="1496" spans="1:16">
      <c r="A1496" s="181">
        <v>44303</v>
      </c>
      <c r="B1496" s="182">
        <v>570</v>
      </c>
      <c r="C1496" s="183" t="str">
        <f>IF(ISNA(VLOOKUP(Tableau13[[#This Row],[Code machine]],'CODE mchn'!$A$4:$C$170,2,0)),"",VLOOKUP(Tableau13[[#This Row],[Code machine]],'CODE mchn'!$A$4:$C$170,2,0))</f>
        <v>Acier</v>
      </c>
      <c r="D1496" s="184" t="str">
        <f>IF(ISNA(VLOOKUP(Tableau13[[#This Row],[Code machine]],'CODE mchn'!$A$4:$C$170,3,0)),"",VLOOKUP(Tableau13[[#This Row],[Code machine]],'CODE mchn'!$A$4:$C$170,3,0))</f>
        <v>Sigmatic</v>
      </c>
      <c r="E1496" s="105">
        <v>24720</v>
      </c>
      <c r="F1496" s="36"/>
      <c r="G1496" s="184" t="s">
        <v>2599</v>
      </c>
      <c r="H1496" s="184" t="s">
        <v>2639</v>
      </c>
      <c r="I1496" s="184" t="s">
        <v>107</v>
      </c>
      <c r="J1496" s="251" t="s">
        <v>2588</v>
      </c>
      <c r="K1496" s="185">
        <v>44303</v>
      </c>
      <c r="L1496" s="184"/>
      <c r="M1496" s="186">
        <v>45</v>
      </c>
      <c r="N1496" s="186">
        <f>MONTH(Tableau13[[#This Row],[Date fin intervention]])</f>
        <v>4</v>
      </c>
      <c r="O1496" s="108">
        <f>YEAR(Tableau13[[#This Row],[Date fin intervention]])</f>
        <v>2021</v>
      </c>
      <c r="P1496" s="184"/>
    </row>
    <row r="1497" spans="1:16">
      <c r="A1497" s="181">
        <v>44303</v>
      </c>
      <c r="B1497" s="182">
        <v>800</v>
      </c>
      <c r="C1497" s="183" t="str">
        <f>IF(ISNA(VLOOKUP(Tableau13[[#This Row],[Code machine]],'CODE mchn'!$A$4:$C$170,2,0)),"",VLOOKUP(Tableau13[[#This Row],[Code machine]],'CODE mchn'!$A$4:$C$170,2,0))</f>
        <v>Béton</v>
      </c>
      <c r="D1497" s="184" t="str">
        <f>IF(ISNA(VLOOKUP(Tableau13[[#This Row],[Code machine]],'CODE mchn'!$A$4:$C$170,3,0)),"",VLOOKUP(Tableau13[[#This Row],[Code machine]],'CODE mchn'!$A$4:$C$170,3,0))</f>
        <v>Poyatos 2</v>
      </c>
      <c r="E1497" s="105">
        <v>24325</v>
      </c>
      <c r="F1497" s="36"/>
      <c r="G1497" s="184" t="s">
        <v>682</v>
      </c>
      <c r="H1497" s="184" t="s">
        <v>2640</v>
      </c>
      <c r="I1497" s="184" t="s">
        <v>107</v>
      </c>
      <c r="J1497" s="251" t="s">
        <v>2641</v>
      </c>
      <c r="K1497" s="185">
        <v>44303</v>
      </c>
      <c r="L1497" s="184"/>
      <c r="M1497" s="186">
        <v>155</v>
      </c>
      <c r="N1497" s="186">
        <f>MONTH(Tableau13[[#This Row],[Date fin intervention]])</f>
        <v>4</v>
      </c>
      <c r="O1497" s="108">
        <f>YEAR(Tableau13[[#This Row],[Date fin intervention]])</f>
        <v>2021</v>
      </c>
      <c r="P1497" s="184"/>
    </row>
    <row r="1498" spans="1:16">
      <c r="A1498" s="181">
        <v>44305</v>
      </c>
      <c r="B1498" s="182">
        <v>700</v>
      </c>
      <c r="C1498" s="183" t="str">
        <f>IF(ISNA(VLOOKUP(Tableau13[[#This Row],[Code machine]],'CODE mchn'!$A$4:$C$170,2,0)),"",VLOOKUP(Tableau13[[#This Row],[Code machine]],'CODE mchn'!$A$4:$C$170,2,0))</f>
        <v>Béton</v>
      </c>
      <c r="D1498" s="184" t="str">
        <f>IF(ISNA(VLOOKUP(Tableau13[[#This Row],[Code machine]],'CODE mchn'!$A$4:$C$170,3,0)),"",VLOOKUP(Tableau13[[#This Row],[Code machine]],'CODE mchn'!$A$4:$C$170,3,0))</f>
        <v>Poyatos 1</v>
      </c>
      <c r="E1498" s="105">
        <v>24328</v>
      </c>
      <c r="F1498" s="36"/>
      <c r="G1498" s="184" t="s">
        <v>1847</v>
      </c>
      <c r="H1498" s="184" t="s">
        <v>2642</v>
      </c>
      <c r="I1498" s="184" t="s">
        <v>107</v>
      </c>
      <c r="J1498" s="251" t="s">
        <v>2643</v>
      </c>
      <c r="K1498" s="185">
        <v>44305</v>
      </c>
      <c r="L1498" s="184"/>
      <c r="M1498" s="186">
        <v>45</v>
      </c>
      <c r="N1498" s="186">
        <f>MONTH(Tableau13[[#This Row],[Date fin intervention]])</f>
        <v>4</v>
      </c>
      <c r="O1498" s="108">
        <f>YEAR(Tableau13[[#This Row],[Date fin intervention]])</f>
        <v>2021</v>
      </c>
      <c r="P1498" s="184"/>
    </row>
    <row r="1499" spans="1:16">
      <c r="A1499" s="181">
        <v>44305</v>
      </c>
      <c r="B1499" s="182">
        <v>700</v>
      </c>
      <c r="C1499" s="183" t="str">
        <f>IF(ISNA(VLOOKUP(Tableau13[[#This Row],[Code machine]],'CODE mchn'!$A$4:$C$170,2,0)),"",VLOOKUP(Tableau13[[#This Row],[Code machine]],'CODE mchn'!$A$4:$C$170,2,0))</f>
        <v>Béton</v>
      </c>
      <c r="D1499" s="184" t="str">
        <f>IF(ISNA(VLOOKUP(Tableau13[[#This Row],[Code machine]],'CODE mchn'!$A$4:$C$170,3,0)),"",VLOOKUP(Tableau13[[#This Row],[Code machine]],'CODE mchn'!$A$4:$C$170,3,0))</f>
        <v>Poyatos 1</v>
      </c>
      <c r="E1499" s="105">
        <v>24327</v>
      </c>
      <c r="F1499" s="36"/>
      <c r="G1499" s="184" t="s">
        <v>46</v>
      </c>
      <c r="H1499" s="184" t="s">
        <v>2644</v>
      </c>
      <c r="I1499" s="184" t="s">
        <v>107</v>
      </c>
      <c r="J1499" s="251" t="s">
        <v>2645</v>
      </c>
      <c r="K1499" s="185">
        <v>44305</v>
      </c>
      <c r="L1499" s="184"/>
      <c r="M1499" s="186">
        <v>30</v>
      </c>
      <c r="N1499" s="186">
        <f>MONTH(Tableau13[[#This Row],[Date fin intervention]])</f>
        <v>4</v>
      </c>
      <c r="O1499" s="108">
        <f>YEAR(Tableau13[[#This Row],[Date fin intervention]])</f>
        <v>2021</v>
      </c>
      <c r="P1499" s="184"/>
    </row>
    <row r="1500" spans="1:16" ht="28.5">
      <c r="A1500" s="181">
        <v>44306</v>
      </c>
      <c r="B1500" s="182">
        <v>568</v>
      </c>
      <c r="C1500" s="183" t="str">
        <f>IF(ISNA(VLOOKUP(Tableau13[[#This Row],[Code machine]],'CODE mchn'!$A$4:$C$170,2,0)),"",VLOOKUP(Tableau13[[#This Row],[Code machine]],'CODE mchn'!$A$4:$C$170,2,0))</f>
        <v>Ponts roulants</v>
      </c>
      <c r="D1500" s="184" t="str">
        <f>IF(ISNA(VLOOKUP(Tableau13[[#This Row],[Code machine]],'CODE mchn'!$A$4:$C$170,3,0)),"",VLOOKUP(Tableau13[[#This Row],[Code machine]],'CODE mchn'!$A$4:$C$170,3,0))</f>
        <v>Pont roulant Demag 5T (milieu)</v>
      </c>
      <c r="E1500" s="105">
        <v>24391</v>
      </c>
      <c r="F1500" s="36"/>
      <c r="G1500" s="184" t="s">
        <v>2537</v>
      </c>
      <c r="H1500" s="184" t="s">
        <v>2637</v>
      </c>
      <c r="I1500" s="184" t="s">
        <v>13</v>
      </c>
      <c r="J1500" s="251" t="s">
        <v>2646</v>
      </c>
      <c r="K1500" s="185">
        <v>44306</v>
      </c>
      <c r="L1500" s="184"/>
      <c r="M1500" s="186">
        <v>45</v>
      </c>
      <c r="N1500" s="186">
        <f>MONTH(Tableau13[[#This Row],[Date fin intervention]])</f>
        <v>4</v>
      </c>
      <c r="O1500" s="108">
        <f>YEAR(Tableau13[[#This Row],[Date fin intervention]])</f>
        <v>2021</v>
      </c>
      <c r="P1500" s="184"/>
    </row>
    <row r="1501" spans="1:16">
      <c r="A1501" s="181">
        <v>44306</v>
      </c>
      <c r="B1501" s="182">
        <v>582</v>
      </c>
      <c r="C1501" s="183" t="str">
        <f>IF(ISNA(VLOOKUP(Tableau13[[#This Row],[Code machine]],'CODE mchn'!$A$4:$C$170,2,0)),"",VLOOKUP(Tableau13[[#This Row],[Code machine]],'CODE mchn'!$A$4:$C$170,2,0))</f>
        <v>Acier</v>
      </c>
      <c r="D1501" s="184" t="str">
        <f>IF(ISNA(VLOOKUP(Tableau13[[#This Row],[Code machine]],'CODE mchn'!$A$4:$C$170,3,0)),"",VLOOKUP(Tableau13[[#This Row],[Code machine]],'CODE mchn'!$A$4:$C$170,3,0))</f>
        <v>Teurema 2</v>
      </c>
      <c r="E1501" s="105">
        <v>24441</v>
      </c>
      <c r="F1501" s="36"/>
      <c r="G1501" s="184" t="s">
        <v>2411</v>
      </c>
      <c r="H1501" s="184" t="s">
        <v>2647</v>
      </c>
      <c r="I1501" s="184" t="s">
        <v>107</v>
      </c>
      <c r="J1501" s="251" t="s">
        <v>2648</v>
      </c>
      <c r="K1501" s="185">
        <v>44306</v>
      </c>
      <c r="L1501" s="184"/>
      <c r="M1501" s="186">
        <v>45</v>
      </c>
      <c r="N1501" s="186">
        <f>MONTH(Tableau13[[#This Row],[Date fin intervention]])</f>
        <v>4</v>
      </c>
      <c r="O1501" s="108">
        <f>YEAR(Tableau13[[#This Row],[Date fin intervention]])</f>
        <v>2021</v>
      </c>
      <c r="P1501" s="184"/>
    </row>
    <row r="1502" spans="1:16">
      <c r="A1502" s="181">
        <v>44307</v>
      </c>
      <c r="B1502" s="182">
        <v>565</v>
      </c>
      <c r="C1502" s="183" t="str">
        <f>IF(ISNA(VLOOKUP(Tableau13[[#This Row],[Code machine]],'CODE mchn'!$A$4:$C$170,2,0)),"",VLOOKUP(Tableau13[[#This Row],[Code machine]],'CODE mchn'!$A$4:$C$170,2,0))</f>
        <v>Acier</v>
      </c>
      <c r="D1502" s="184" t="str">
        <f>IF(ISNA(VLOOKUP(Tableau13[[#This Row],[Code machine]],'CODE mchn'!$A$4:$C$170,3,0)),"",VLOOKUP(Tableau13[[#This Row],[Code machine]],'CODE mchn'!$A$4:$C$170,3,0))</f>
        <v>EVG GE12</v>
      </c>
      <c r="E1502" s="105">
        <v>24392</v>
      </c>
      <c r="F1502" s="36"/>
      <c r="G1502" s="184" t="s">
        <v>2607</v>
      </c>
      <c r="H1502" s="184" t="s">
        <v>2649</v>
      </c>
      <c r="I1502" s="184" t="s">
        <v>107</v>
      </c>
      <c r="J1502" s="251" t="s">
        <v>2558</v>
      </c>
      <c r="K1502" s="185">
        <v>44307</v>
      </c>
      <c r="L1502" s="184"/>
      <c r="M1502" s="186">
        <v>30</v>
      </c>
      <c r="N1502" s="186">
        <f>MONTH(Tableau13[[#This Row],[Date fin intervention]])</f>
        <v>4</v>
      </c>
      <c r="O1502" s="108">
        <f>YEAR(Tableau13[[#This Row],[Date fin intervention]])</f>
        <v>2021</v>
      </c>
      <c r="P1502" s="184"/>
    </row>
    <row r="1503" spans="1:16">
      <c r="A1503" s="181">
        <v>44307</v>
      </c>
      <c r="B1503" s="182">
        <v>800</v>
      </c>
      <c r="C1503" s="183" t="str">
        <f>IF(ISNA(VLOOKUP(Tableau13[[#This Row],[Code machine]],'CODE mchn'!$A$4:$C$170,2,0)),"",VLOOKUP(Tableau13[[#This Row],[Code machine]],'CODE mchn'!$A$4:$C$170,2,0))</f>
        <v>Béton</v>
      </c>
      <c r="D1503" s="184" t="str">
        <f>IF(ISNA(VLOOKUP(Tableau13[[#This Row],[Code machine]],'CODE mchn'!$A$4:$C$170,3,0)),"",VLOOKUP(Tableau13[[#This Row],[Code machine]],'CODE mchn'!$A$4:$C$170,3,0))</f>
        <v>Poyatos 2</v>
      </c>
      <c r="E1503" s="105">
        <v>24329</v>
      </c>
      <c r="F1503" s="36"/>
      <c r="G1503" s="184" t="s">
        <v>2650</v>
      </c>
      <c r="H1503" s="184" t="s">
        <v>2651</v>
      </c>
      <c r="I1503" s="184" t="s">
        <v>107</v>
      </c>
      <c r="J1503" s="251" t="s">
        <v>2652</v>
      </c>
      <c r="K1503" s="185">
        <v>44307</v>
      </c>
      <c r="L1503" s="184"/>
      <c r="M1503" s="186">
        <v>180</v>
      </c>
      <c r="N1503" s="186">
        <f>MONTH(Tableau13[[#This Row],[Date fin intervention]])</f>
        <v>4</v>
      </c>
      <c r="O1503" s="108">
        <f>YEAR(Tableau13[[#This Row],[Date fin intervention]])</f>
        <v>2021</v>
      </c>
      <c r="P1503" s="184"/>
    </row>
    <row r="1504" spans="1:16">
      <c r="A1504" s="181">
        <v>44308</v>
      </c>
      <c r="B1504" s="182">
        <v>582</v>
      </c>
      <c r="C1504" s="183" t="str">
        <f>IF(ISNA(VLOOKUP(Tableau13[[#This Row],[Code machine]],'CODE mchn'!$A$4:$C$170,2,0)),"",VLOOKUP(Tableau13[[#This Row],[Code machine]],'CODE mchn'!$A$4:$C$170,2,0))</f>
        <v>Acier</v>
      </c>
      <c r="D1504" s="184" t="str">
        <f>IF(ISNA(VLOOKUP(Tableau13[[#This Row],[Code machine]],'CODE mchn'!$A$4:$C$170,3,0)),"",VLOOKUP(Tableau13[[#This Row],[Code machine]],'CODE mchn'!$A$4:$C$170,3,0))</f>
        <v>Teurema 2</v>
      </c>
      <c r="E1504" s="105">
        <v>24440</v>
      </c>
      <c r="F1504" s="36"/>
      <c r="G1504" s="184" t="s">
        <v>1813</v>
      </c>
      <c r="H1504" s="184" t="s">
        <v>1194</v>
      </c>
      <c r="I1504" s="184" t="s">
        <v>107</v>
      </c>
      <c r="J1504" s="251" t="s">
        <v>2653</v>
      </c>
      <c r="K1504" s="185">
        <v>44308</v>
      </c>
      <c r="L1504" s="184"/>
      <c r="M1504" s="186">
        <v>35</v>
      </c>
      <c r="N1504" s="186">
        <f>MONTH(Tableau13[[#This Row],[Date fin intervention]])</f>
        <v>4</v>
      </c>
      <c r="O1504" s="108">
        <f>YEAR(Tableau13[[#This Row],[Date fin intervention]])</f>
        <v>2021</v>
      </c>
      <c r="P1504" s="184"/>
    </row>
    <row r="1505" spans="1:16">
      <c r="A1505" s="181">
        <v>44308</v>
      </c>
      <c r="B1505" s="182">
        <v>581</v>
      </c>
      <c r="C1505" s="183" t="str">
        <f>IF(ISNA(VLOOKUP(Tableau13[[#This Row],[Code machine]],'CODE mchn'!$A$4:$C$170,2,0)),"",VLOOKUP(Tableau13[[#This Row],[Code machine]],'CODE mchn'!$A$4:$C$170,2,0))</f>
        <v>Acier</v>
      </c>
      <c r="D1505" s="184" t="str">
        <f>IF(ISNA(VLOOKUP(Tableau13[[#This Row],[Code machine]],'CODE mchn'!$A$4:$C$170,3,0)),"",VLOOKUP(Tableau13[[#This Row],[Code machine]],'CODE mchn'!$A$4:$C$170,3,0))</f>
        <v>Teurema 1</v>
      </c>
      <c r="E1505" s="105">
        <v>24439</v>
      </c>
      <c r="F1505" s="36"/>
      <c r="G1505" s="184" t="s">
        <v>49</v>
      </c>
      <c r="H1505" s="184" t="s">
        <v>776</v>
      </c>
      <c r="I1505" s="184" t="s">
        <v>107</v>
      </c>
      <c r="J1505" s="251" t="s">
        <v>2654</v>
      </c>
      <c r="K1505" s="185">
        <v>44308</v>
      </c>
      <c r="L1505" s="184"/>
      <c r="M1505" s="186">
        <v>30</v>
      </c>
      <c r="N1505" s="186">
        <f>MONTH(Tableau13[[#This Row],[Date fin intervention]])</f>
        <v>4</v>
      </c>
      <c r="O1505" s="108">
        <f>YEAR(Tableau13[[#This Row],[Date fin intervention]])</f>
        <v>2021</v>
      </c>
      <c r="P1505" s="184"/>
    </row>
    <row r="1506" spans="1:16">
      <c r="A1506" s="181">
        <v>44308</v>
      </c>
      <c r="B1506" s="182">
        <v>800</v>
      </c>
      <c r="C1506" s="183" t="str">
        <f>IF(ISNA(VLOOKUP(Tableau13[[#This Row],[Code machine]],'CODE mchn'!$A$4:$C$170,2,0)),"",VLOOKUP(Tableau13[[#This Row],[Code machine]],'CODE mchn'!$A$4:$C$170,2,0))</f>
        <v>Béton</v>
      </c>
      <c r="D1506" s="184" t="str">
        <f>IF(ISNA(VLOOKUP(Tableau13[[#This Row],[Code machine]],'CODE mchn'!$A$4:$C$170,3,0)),"",VLOOKUP(Tableau13[[#This Row],[Code machine]],'CODE mchn'!$A$4:$C$170,3,0))</f>
        <v>Poyatos 2</v>
      </c>
      <c r="E1506" s="105">
        <v>24330</v>
      </c>
      <c r="F1506" s="36"/>
      <c r="G1506" s="184" t="s">
        <v>185</v>
      </c>
      <c r="H1506" s="184" t="s">
        <v>356</v>
      </c>
      <c r="I1506" s="184" t="s">
        <v>125</v>
      </c>
      <c r="J1506" s="251" t="s">
        <v>2471</v>
      </c>
      <c r="K1506" s="185">
        <v>44308</v>
      </c>
      <c r="L1506" s="184"/>
      <c r="M1506" s="186">
        <v>30</v>
      </c>
      <c r="N1506" s="186">
        <f>MONTH(Tableau13[[#This Row],[Date fin intervention]])</f>
        <v>4</v>
      </c>
      <c r="O1506" s="108">
        <f>YEAR(Tableau13[[#This Row],[Date fin intervention]])</f>
        <v>2021</v>
      </c>
      <c r="P1506" s="184"/>
    </row>
    <row r="1507" spans="1:16">
      <c r="A1507" s="181">
        <v>44309</v>
      </c>
      <c r="B1507" s="182">
        <v>582</v>
      </c>
      <c r="C1507" s="183" t="str">
        <f>IF(ISNA(VLOOKUP(Tableau13[[#This Row],[Code machine]],'CODE mchn'!$A$4:$C$170,2,0)),"",VLOOKUP(Tableau13[[#This Row],[Code machine]],'CODE mchn'!$A$4:$C$170,2,0))</f>
        <v>Acier</v>
      </c>
      <c r="D1507" s="184" t="str">
        <f>IF(ISNA(VLOOKUP(Tableau13[[#This Row],[Code machine]],'CODE mchn'!$A$4:$C$170,3,0)),"",VLOOKUP(Tableau13[[#This Row],[Code machine]],'CODE mchn'!$A$4:$C$170,3,0))</f>
        <v>Teurema 2</v>
      </c>
      <c r="E1507" s="105">
        <v>24442</v>
      </c>
      <c r="F1507" s="36"/>
      <c r="G1507" s="184" t="s">
        <v>2122</v>
      </c>
      <c r="H1507" s="184" t="s">
        <v>2655</v>
      </c>
      <c r="I1507" s="184" t="s">
        <v>107</v>
      </c>
      <c r="J1507" s="251" t="s">
        <v>2656</v>
      </c>
      <c r="K1507" s="185">
        <v>44309</v>
      </c>
      <c r="L1507" s="184"/>
      <c r="M1507" s="186">
        <v>60</v>
      </c>
      <c r="N1507" s="186">
        <f>MONTH(Tableau13[[#This Row],[Date fin intervention]])</f>
        <v>4</v>
      </c>
      <c r="O1507" s="108">
        <f>YEAR(Tableau13[[#This Row],[Date fin intervention]])</f>
        <v>2021</v>
      </c>
      <c r="P1507" s="184"/>
    </row>
    <row r="1508" spans="1:16">
      <c r="A1508" s="181">
        <v>44309</v>
      </c>
      <c r="B1508" s="182">
        <v>700</v>
      </c>
      <c r="C1508" s="183" t="str">
        <f>IF(ISNA(VLOOKUP(Tableau13[[#This Row],[Code machine]],'CODE mchn'!$A$4:$C$170,2,0)),"",VLOOKUP(Tableau13[[#This Row],[Code machine]],'CODE mchn'!$A$4:$C$170,2,0))</f>
        <v>Béton</v>
      </c>
      <c r="D1508" s="184" t="str">
        <f>IF(ISNA(VLOOKUP(Tableau13[[#This Row],[Code machine]],'CODE mchn'!$A$4:$C$170,3,0)),"",VLOOKUP(Tableau13[[#This Row],[Code machine]],'CODE mchn'!$A$4:$C$170,3,0))</f>
        <v>Poyatos 1</v>
      </c>
      <c r="E1508" s="105">
        <v>24331</v>
      </c>
      <c r="F1508" s="36"/>
      <c r="G1508" s="184" t="s">
        <v>291</v>
      </c>
      <c r="H1508" s="184" t="s">
        <v>2657</v>
      </c>
      <c r="I1508" s="184" t="s">
        <v>107</v>
      </c>
      <c r="J1508" s="251" t="s">
        <v>2658</v>
      </c>
      <c r="K1508" s="185">
        <v>44309</v>
      </c>
      <c r="L1508" s="184"/>
      <c r="M1508" s="186">
        <v>120</v>
      </c>
      <c r="N1508" s="186">
        <f>MONTH(Tableau13[[#This Row],[Date fin intervention]])</f>
        <v>4</v>
      </c>
      <c r="O1508" s="108">
        <f>YEAR(Tableau13[[#This Row],[Date fin intervention]])</f>
        <v>2021</v>
      </c>
      <c r="P1508" s="184"/>
    </row>
    <row r="1509" spans="1:16" ht="28.5">
      <c r="A1509" s="181">
        <v>44310</v>
      </c>
      <c r="B1509" s="182">
        <v>583</v>
      </c>
      <c r="C1509" s="183" t="str">
        <f>IF(ISNA(VLOOKUP(Tableau13[[#This Row],[Code machine]],'CODE mchn'!$A$4:$C$170,2,0)),"",VLOOKUP(Tableau13[[#This Row],[Code machine]],'CODE mchn'!$A$4:$C$170,2,0))</f>
        <v>Ponts roulants</v>
      </c>
      <c r="D1509" s="184" t="str">
        <f>IF(ISNA(VLOOKUP(Tableau13[[#This Row],[Code machine]],'CODE mchn'!$A$4:$C$170,3,0)),"",VLOOKUP(Tableau13[[#This Row],[Code machine]],'CODE mchn'!$A$4:$C$170,3,0))</f>
        <v>Pont roulant Abus 5T (teurema1)</v>
      </c>
      <c r="E1509" s="105">
        <v>24443</v>
      </c>
      <c r="F1509" s="36"/>
      <c r="G1509" s="184" t="s">
        <v>916</v>
      </c>
      <c r="H1509" s="184" t="s">
        <v>2657</v>
      </c>
      <c r="I1509" s="184" t="s">
        <v>107</v>
      </c>
      <c r="J1509" s="251" t="s">
        <v>2658</v>
      </c>
      <c r="K1509" s="185">
        <v>44310</v>
      </c>
      <c r="L1509" s="184"/>
      <c r="M1509" s="186">
        <v>60</v>
      </c>
      <c r="N1509" s="186">
        <f>MONTH(Tableau13[[#This Row],[Date fin intervention]])</f>
        <v>4</v>
      </c>
      <c r="O1509" s="108">
        <f>YEAR(Tableau13[[#This Row],[Date fin intervention]])</f>
        <v>2021</v>
      </c>
      <c r="P1509" s="184"/>
    </row>
    <row r="1510" spans="1:16">
      <c r="A1510" s="181">
        <v>44312</v>
      </c>
      <c r="B1510" s="182">
        <v>560</v>
      </c>
      <c r="C1510" s="183" t="str">
        <f>IF(ISNA(VLOOKUP(Tableau13[[#This Row],[Code machine]],'CODE mchn'!$A$4:$C$170,2,0)),"",VLOOKUP(Tableau13[[#This Row],[Code machine]],'CODE mchn'!$A$4:$C$170,2,0))</f>
        <v>Acier</v>
      </c>
      <c r="D1510" s="184" t="str">
        <f>IF(ISNA(VLOOKUP(Tableau13[[#This Row],[Code machine]],'CODE mchn'!$A$4:$C$170,3,0)),"",VLOOKUP(Tableau13[[#This Row],[Code machine]],'CODE mchn'!$A$4:$C$170,3,0))</f>
        <v>Schlatter</v>
      </c>
      <c r="E1510" s="105">
        <v>24394</v>
      </c>
      <c r="F1510" s="36"/>
      <c r="G1510" s="184" t="s">
        <v>726</v>
      </c>
      <c r="H1510" s="184" t="s">
        <v>2659</v>
      </c>
      <c r="I1510" s="184" t="s">
        <v>101</v>
      </c>
      <c r="J1510" s="251" t="s">
        <v>2660</v>
      </c>
      <c r="K1510" s="185">
        <v>44312</v>
      </c>
      <c r="L1510" s="184"/>
      <c r="M1510" s="186">
        <v>60</v>
      </c>
      <c r="N1510" s="186">
        <f>MONTH(Tableau13[[#This Row],[Date fin intervention]])</f>
        <v>4</v>
      </c>
      <c r="O1510" s="108">
        <f>YEAR(Tableau13[[#This Row],[Date fin intervention]])</f>
        <v>2021</v>
      </c>
      <c r="P1510" s="184"/>
    </row>
    <row r="1511" spans="1:16">
      <c r="A1511" s="181">
        <v>44312</v>
      </c>
      <c r="B1511" s="182">
        <v>700</v>
      </c>
      <c r="C1511" s="183" t="str">
        <f>IF(ISNA(VLOOKUP(Tableau13[[#This Row],[Code machine]],'CODE mchn'!$A$4:$C$170,2,0)),"",VLOOKUP(Tableau13[[#This Row],[Code machine]],'CODE mchn'!$A$4:$C$170,2,0))</f>
        <v>Béton</v>
      </c>
      <c r="D1511" s="184" t="str">
        <f>IF(ISNA(VLOOKUP(Tableau13[[#This Row],[Code machine]],'CODE mchn'!$A$4:$C$170,3,0)),"",VLOOKUP(Tableau13[[#This Row],[Code machine]],'CODE mchn'!$A$4:$C$170,3,0))</f>
        <v>Poyatos 1</v>
      </c>
      <c r="E1511" s="105">
        <v>24332</v>
      </c>
      <c r="F1511" s="36"/>
      <c r="G1511" s="184" t="s">
        <v>2661</v>
      </c>
      <c r="H1511" s="184"/>
      <c r="I1511" s="184" t="s">
        <v>8</v>
      </c>
      <c r="J1511" s="251" t="s">
        <v>2662</v>
      </c>
      <c r="K1511" s="185">
        <v>44312</v>
      </c>
      <c r="L1511" s="184"/>
      <c r="M1511" s="186">
        <v>60</v>
      </c>
      <c r="N1511" s="186">
        <f>MONTH(Tableau13[[#This Row],[Date fin intervention]])</f>
        <v>4</v>
      </c>
      <c r="O1511" s="108">
        <f>YEAR(Tableau13[[#This Row],[Date fin intervention]])</f>
        <v>2021</v>
      </c>
      <c r="P1511" s="184"/>
    </row>
    <row r="1512" spans="1:16">
      <c r="A1512" s="181">
        <v>44312</v>
      </c>
      <c r="B1512" s="182">
        <v>700</v>
      </c>
      <c r="C1512" s="183" t="str">
        <f>IF(ISNA(VLOOKUP(Tableau13[[#This Row],[Code machine]],'CODE mchn'!$A$4:$C$170,2,0)),"",VLOOKUP(Tableau13[[#This Row],[Code machine]],'CODE mchn'!$A$4:$C$170,2,0))</f>
        <v>Béton</v>
      </c>
      <c r="D1512" s="184" t="str">
        <f>IF(ISNA(VLOOKUP(Tableau13[[#This Row],[Code machine]],'CODE mchn'!$A$4:$C$170,3,0)),"",VLOOKUP(Tableau13[[#This Row],[Code machine]],'CODE mchn'!$A$4:$C$170,3,0))</f>
        <v>Poyatos 1</v>
      </c>
      <c r="E1512" s="105">
        <v>24333</v>
      </c>
      <c r="F1512" s="36"/>
      <c r="G1512" s="184" t="s">
        <v>2663</v>
      </c>
      <c r="H1512" s="184"/>
      <c r="I1512" s="184" t="s">
        <v>107</v>
      </c>
      <c r="J1512" s="251" t="s">
        <v>2664</v>
      </c>
      <c r="K1512" s="185">
        <v>44312</v>
      </c>
      <c r="L1512" s="184"/>
      <c r="M1512" s="186">
        <v>30</v>
      </c>
      <c r="N1512" s="186">
        <f>MONTH(Tableau13[[#This Row],[Date fin intervention]])</f>
        <v>4</v>
      </c>
      <c r="O1512" s="108">
        <f>YEAR(Tableau13[[#This Row],[Date fin intervention]])</f>
        <v>2021</v>
      </c>
      <c r="P1512" s="184"/>
    </row>
    <row r="1513" spans="1:16" ht="28.5">
      <c r="A1513" s="181">
        <v>44313</v>
      </c>
      <c r="B1513" s="182">
        <v>583</v>
      </c>
      <c r="C1513" s="183" t="str">
        <f>IF(ISNA(VLOOKUP(Tableau13[[#This Row],[Code machine]],'CODE mchn'!$A$4:$C$170,2,0)),"",VLOOKUP(Tableau13[[#This Row],[Code machine]],'CODE mchn'!$A$4:$C$170,2,0))</f>
        <v>Ponts roulants</v>
      </c>
      <c r="D1513" s="184" t="str">
        <f>IF(ISNA(VLOOKUP(Tableau13[[#This Row],[Code machine]],'CODE mchn'!$A$4:$C$170,3,0)),"",VLOOKUP(Tableau13[[#This Row],[Code machine]],'CODE mchn'!$A$4:$C$170,3,0))</f>
        <v>Pont roulant Abus 5T (teurema1)</v>
      </c>
      <c r="E1513" s="105">
        <v>24444</v>
      </c>
      <c r="F1513" s="36"/>
      <c r="G1513" s="184" t="s">
        <v>2665</v>
      </c>
      <c r="H1513" s="184" t="s">
        <v>2666</v>
      </c>
      <c r="I1513" s="184" t="s">
        <v>107</v>
      </c>
      <c r="J1513" s="251" t="s">
        <v>2667</v>
      </c>
      <c r="K1513" s="185">
        <v>44313</v>
      </c>
      <c r="L1513" s="184"/>
      <c r="M1513" s="186">
        <v>45</v>
      </c>
      <c r="N1513" s="186">
        <f>MONTH(Tableau13[[#This Row],[Date fin intervention]])</f>
        <v>4</v>
      </c>
      <c r="O1513" s="108">
        <f>YEAR(Tableau13[[#This Row],[Date fin intervention]])</f>
        <v>2021</v>
      </c>
      <c r="P1513" s="184"/>
    </row>
    <row r="1514" spans="1:16">
      <c r="A1514" s="181">
        <v>44313</v>
      </c>
      <c r="B1514" s="182">
        <v>581</v>
      </c>
      <c r="C1514" s="183" t="str">
        <f>IF(ISNA(VLOOKUP(Tableau13[[#This Row],[Code machine]],'CODE mchn'!$A$4:$C$170,2,0)),"",VLOOKUP(Tableau13[[#This Row],[Code machine]],'CODE mchn'!$A$4:$C$170,2,0))</f>
        <v>Acier</v>
      </c>
      <c r="D1514" s="184" t="str">
        <f>IF(ISNA(VLOOKUP(Tableau13[[#This Row],[Code machine]],'CODE mchn'!$A$4:$C$170,3,0)),"",VLOOKUP(Tableau13[[#This Row],[Code machine]],'CODE mchn'!$A$4:$C$170,3,0))</f>
        <v>Teurema 1</v>
      </c>
      <c r="E1514" s="105">
        <v>24446</v>
      </c>
      <c r="F1514" s="36"/>
      <c r="G1514" s="184" t="s">
        <v>2074</v>
      </c>
      <c r="H1514" s="184" t="s">
        <v>933</v>
      </c>
      <c r="I1514" s="184" t="s">
        <v>107</v>
      </c>
      <c r="J1514" s="251" t="s">
        <v>596</v>
      </c>
      <c r="K1514" s="185">
        <v>44313</v>
      </c>
      <c r="L1514" s="184"/>
      <c r="M1514" s="186">
        <v>150</v>
      </c>
      <c r="N1514" s="186">
        <f>MONTH(Tableau13[[#This Row],[Date fin intervention]])</f>
        <v>4</v>
      </c>
      <c r="O1514" s="108">
        <f>YEAR(Tableau13[[#This Row],[Date fin intervention]])</f>
        <v>2021</v>
      </c>
      <c r="P1514" s="184"/>
    </row>
    <row r="1515" spans="1:16" ht="28.5">
      <c r="A1515" s="181">
        <v>44314</v>
      </c>
      <c r="B1515" s="182">
        <v>581</v>
      </c>
      <c r="C1515" s="183" t="str">
        <f>IF(ISNA(VLOOKUP(Tableau13[[#This Row],[Code machine]],'CODE mchn'!$A$4:$C$170,2,0)),"",VLOOKUP(Tableau13[[#This Row],[Code machine]],'CODE mchn'!$A$4:$C$170,2,0))</f>
        <v>Acier</v>
      </c>
      <c r="D1515" s="184" t="str">
        <f>IF(ISNA(VLOOKUP(Tableau13[[#This Row],[Code machine]],'CODE mchn'!$A$4:$C$170,3,0)),"",VLOOKUP(Tableau13[[#This Row],[Code machine]],'CODE mchn'!$A$4:$C$170,3,0))</f>
        <v>Teurema 1</v>
      </c>
      <c r="E1515" s="105">
        <v>24445</v>
      </c>
      <c r="F1515" s="36"/>
      <c r="G1515" s="184" t="s">
        <v>2361</v>
      </c>
      <c r="H1515" s="184" t="s">
        <v>2668</v>
      </c>
      <c r="I1515" s="184" t="s">
        <v>107</v>
      </c>
      <c r="J1515" s="251" t="s">
        <v>2669</v>
      </c>
      <c r="K1515" s="185">
        <v>44314</v>
      </c>
      <c r="L1515" s="184"/>
      <c r="M1515" s="186">
        <v>120</v>
      </c>
      <c r="N1515" s="186">
        <f>MONTH(Tableau13[[#This Row],[Date fin intervention]])</f>
        <v>4</v>
      </c>
      <c r="O1515" s="108">
        <f>YEAR(Tableau13[[#This Row],[Date fin intervention]])</f>
        <v>2021</v>
      </c>
      <c r="P1515" s="184"/>
    </row>
    <row r="1516" spans="1:16">
      <c r="A1516" s="181">
        <v>44315</v>
      </c>
      <c r="B1516" s="182">
        <v>606</v>
      </c>
      <c r="C1516" s="183" t="str">
        <f>IF(ISNA(VLOOKUP(Tableau13[[#This Row],[Code machine]],'CODE mchn'!$A$4:$C$170,2,0)),"",VLOOKUP(Tableau13[[#This Row],[Code machine]],'CODE mchn'!$A$4:$C$170,2,0))</f>
        <v>Acier</v>
      </c>
      <c r="D1516" s="184" t="str">
        <f>IF(ISNA(VLOOKUP(Tableau13[[#This Row],[Code machine]],'CODE mchn'!$A$4:$C$170,3,0)),"",VLOOKUP(Tableau13[[#This Row],[Code machine]],'CODE mchn'!$A$4:$C$170,3,0))</f>
        <v>Vitari 2</v>
      </c>
      <c r="E1516" s="105">
        <v>24395</v>
      </c>
      <c r="F1516" s="36"/>
      <c r="G1516" s="184" t="s">
        <v>2670</v>
      </c>
      <c r="H1516" s="184" t="s">
        <v>2671</v>
      </c>
      <c r="I1516" s="184" t="s">
        <v>107</v>
      </c>
      <c r="J1516" s="251" t="s">
        <v>2672</v>
      </c>
      <c r="K1516" s="185">
        <v>44315</v>
      </c>
      <c r="L1516" s="184"/>
      <c r="M1516" s="186">
        <v>150</v>
      </c>
      <c r="N1516" s="186">
        <f>MONTH(Tableau13[[#This Row],[Date fin intervention]])</f>
        <v>4</v>
      </c>
      <c r="O1516" s="108">
        <f>YEAR(Tableau13[[#This Row],[Date fin intervention]])</f>
        <v>2021</v>
      </c>
      <c r="P1516" s="184"/>
    </row>
    <row r="1517" spans="1:16">
      <c r="A1517" s="181">
        <v>44316</v>
      </c>
      <c r="B1517" s="182">
        <v>565</v>
      </c>
      <c r="C1517" s="183" t="str">
        <f>IF(ISNA(VLOOKUP(Tableau13[[#This Row],[Code machine]],'CODE mchn'!$A$4:$C$170,2,0)),"",VLOOKUP(Tableau13[[#This Row],[Code machine]],'CODE mchn'!$A$4:$C$170,2,0))</f>
        <v>Acier</v>
      </c>
      <c r="D1517" s="184" t="str">
        <f>IF(ISNA(VLOOKUP(Tableau13[[#This Row],[Code machine]],'CODE mchn'!$A$4:$C$170,3,0)),"",VLOOKUP(Tableau13[[#This Row],[Code machine]],'CODE mchn'!$A$4:$C$170,3,0))</f>
        <v>EVG GE12</v>
      </c>
      <c r="E1517" s="105">
        <v>24396</v>
      </c>
      <c r="F1517" s="36"/>
      <c r="G1517" s="184" t="s">
        <v>2673</v>
      </c>
      <c r="H1517" s="184" t="s">
        <v>2674</v>
      </c>
      <c r="I1517" s="184" t="s">
        <v>107</v>
      </c>
      <c r="J1517" s="251" t="s">
        <v>2675</v>
      </c>
      <c r="K1517" s="185">
        <v>44316</v>
      </c>
      <c r="L1517" s="184"/>
      <c r="M1517" s="186">
        <v>150</v>
      </c>
      <c r="N1517" s="186">
        <f>MONTH(Tableau13[[#This Row],[Date fin intervention]])</f>
        <v>4</v>
      </c>
      <c r="O1517" s="108">
        <f>YEAR(Tableau13[[#This Row],[Date fin intervention]])</f>
        <v>2021</v>
      </c>
      <c r="P1517" s="184"/>
    </row>
    <row r="1518" spans="1:16">
      <c r="A1518" s="238">
        <v>44317</v>
      </c>
      <c r="B1518" s="239">
        <v>565</v>
      </c>
      <c r="C1518" s="240" t="str">
        <f>IF(ISNA(VLOOKUP(Tableau13[[#This Row],[Code machine]],'CODE mchn'!$A$4:$C$170,2,0)),"",VLOOKUP(Tableau13[[#This Row],[Code machine]],'CODE mchn'!$A$4:$C$170,2,0))</f>
        <v>Acier</v>
      </c>
      <c r="D1518" s="241" t="str">
        <f>IF(ISNA(VLOOKUP(Tableau13[[#This Row],[Code machine]],'CODE mchn'!$A$4:$C$170,3,0)),"",VLOOKUP(Tableau13[[#This Row],[Code machine]],'CODE mchn'!$A$4:$C$170,3,0))</f>
        <v>EVG GE12</v>
      </c>
      <c r="E1518" s="239"/>
      <c r="F1518" s="241"/>
      <c r="G1518" s="241" t="s">
        <v>4122</v>
      </c>
      <c r="H1518" s="241" t="s">
        <v>4120</v>
      </c>
      <c r="I1518" s="241" t="s">
        <v>30</v>
      </c>
      <c r="J1518" s="249" t="s">
        <v>4123</v>
      </c>
      <c r="K1518" s="242">
        <v>44317</v>
      </c>
      <c r="L1518" s="241"/>
      <c r="M1518" s="243">
        <v>45</v>
      </c>
      <c r="N1518" s="243">
        <f>MONTH(Tableau13[[#This Row],[Date fin intervention]])</f>
        <v>5</v>
      </c>
      <c r="O1518" s="243">
        <f>YEAR(Tableau13[[#This Row],[Date fin intervention]])</f>
        <v>2021</v>
      </c>
      <c r="P1518" s="241"/>
    </row>
    <row r="1519" spans="1:16">
      <c r="A1519" s="238">
        <v>44317</v>
      </c>
      <c r="B1519" s="239">
        <v>565</v>
      </c>
      <c r="C1519" s="240" t="str">
        <f>IF(ISNA(VLOOKUP(Tableau13[[#This Row],[Code machine]],'CODE mchn'!$A$4:$C$170,2,0)),"",VLOOKUP(Tableau13[[#This Row],[Code machine]],'CODE mchn'!$A$4:$C$170,2,0))</f>
        <v>Acier</v>
      </c>
      <c r="D1519" s="241" t="str">
        <f>IF(ISNA(VLOOKUP(Tableau13[[#This Row],[Code machine]],'CODE mchn'!$A$4:$C$170,3,0)),"",VLOOKUP(Tableau13[[#This Row],[Code machine]],'CODE mchn'!$A$4:$C$170,3,0))</f>
        <v>EVG GE12</v>
      </c>
      <c r="E1519" s="239"/>
      <c r="F1519" s="241"/>
      <c r="G1519" s="241" t="s">
        <v>2864</v>
      </c>
      <c r="H1519" s="241" t="s">
        <v>4120</v>
      </c>
      <c r="I1519" s="241" t="s">
        <v>30</v>
      </c>
      <c r="J1519" s="249" t="s">
        <v>4123</v>
      </c>
      <c r="K1519" s="242">
        <v>44317</v>
      </c>
      <c r="L1519" s="241"/>
      <c r="M1519" s="243">
        <v>45</v>
      </c>
      <c r="N1519" s="243">
        <f>MONTH(Tableau13[[#This Row],[Date fin intervention]])</f>
        <v>5</v>
      </c>
      <c r="O1519" s="243">
        <f>YEAR(Tableau13[[#This Row],[Date fin intervention]])</f>
        <v>2021</v>
      </c>
      <c r="P1519" s="241"/>
    </row>
    <row r="1520" spans="1:16">
      <c r="A1520" s="181">
        <v>44318</v>
      </c>
      <c r="B1520" s="182">
        <v>565</v>
      </c>
      <c r="C1520" s="183" t="str">
        <f>IF(ISNA(VLOOKUP(Tableau13[[#This Row],[Code machine]],'CODE mchn'!$A$4:$C$170,2,0)),"",VLOOKUP(Tableau13[[#This Row],[Code machine]],'CODE mchn'!$A$4:$C$170,2,0))</f>
        <v>Acier</v>
      </c>
      <c r="D1520" s="184" t="str">
        <f>IF(ISNA(VLOOKUP(Tableau13[[#This Row],[Code machine]],'CODE mchn'!$A$4:$C$170,3,0)),"",VLOOKUP(Tableau13[[#This Row],[Code machine]],'CODE mchn'!$A$4:$C$170,3,0))</f>
        <v>EVG GE12</v>
      </c>
      <c r="E1520" s="105">
        <v>25153</v>
      </c>
      <c r="F1520" s="36"/>
      <c r="G1520" s="184"/>
      <c r="H1520" s="184" t="s">
        <v>2676</v>
      </c>
      <c r="I1520" s="184" t="s">
        <v>2677</v>
      </c>
      <c r="J1520" s="251" t="s">
        <v>2678</v>
      </c>
      <c r="K1520" s="185">
        <v>44318</v>
      </c>
      <c r="L1520" s="184"/>
      <c r="M1520" s="186">
        <v>360</v>
      </c>
      <c r="N1520" s="186">
        <f>MONTH(Tableau13[[#This Row],[Date fin intervention]])</f>
        <v>5</v>
      </c>
      <c r="O1520" s="108">
        <f>YEAR(Tableau13[[#This Row],[Date fin intervention]])</f>
        <v>2021</v>
      </c>
      <c r="P1520" s="184"/>
    </row>
    <row r="1521" spans="1:16">
      <c r="A1521" s="181">
        <v>44319</v>
      </c>
      <c r="B1521" s="182">
        <v>582</v>
      </c>
      <c r="C1521" s="183" t="str">
        <f>IF(ISNA(VLOOKUP(Tableau13[[#This Row],[Code machine]],'CODE mchn'!$A$4:$C$170,2,0)),"",VLOOKUP(Tableau13[[#This Row],[Code machine]],'CODE mchn'!$A$4:$C$170,2,0))</f>
        <v>Acier</v>
      </c>
      <c r="D1521" s="184" t="str">
        <f>IF(ISNA(VLOOKUP(Tableau13[[#This Row],[Code machine]],'CODE mchn'!$A$4:$C$170,3,0)),"",VLOOKUP(Tableau13[[#This Row],[Code machine]],'CODE mchn'!$A$4:$C$170,3,0))</f>
        <v>Teurema 2</v>
      </c>
      <c r="E1521" s="105">
        <v>25201</v>
      </c>
      <c r="F1521" s="36"/>
      <c r="G1521" s="184" t="s">
        <v>2599</v>
      </c>
      <c r="H1521" s="184" t="s">
        <v>2679</v>
      </c>
      <c r="I1521" s="184" t="s">
        <v>107</v>
      </c>
      <c r="J1521" s="251" t="s">
        <v>1812</v>
      </c>
      <c r="K1521" s="185">
        <v>44319</v>
      </c>
      <c r="L1521" s="184"/>
      <c r="M1521" s="186">
        <v>60</v>
      </c>
      <c r="N1521" s="186">
        <f>MONTH(Tableau13[[#This Row],[Date fin intervention]])</f>
        <v>5</v>
      </c>
      <c r="O1521" s="108">
        <f>YEAR(Tableau13[[#This Row],[Date fin intervention]])</f>
        <v>2021</v>
      </c>
      <c r="P1521" s="184"/>
    </row>
    <row r="1522" spans="1:16">
      <c r="A1522" s="181">
        <v>44319</v>
      </c>
      <c r="B1522" s="182">
        <v>581</v>
      </c>
      <c r="C1522" s="183" t="str">
        <f>IF(ISNA(VLOOKUP(Tableau13[[#This Row],[Code machine]],'CODE mchn'!$A$4:$C$170,2,0)),"",VLOOKUP(Tableau13[[#This Row],[Code machine]],'CODE mchn'!$A$4:$C$170,2,0))</f>
        <v>Acier</v>
      </c>
      <c r="D1522" s="184" t="str">
        <f>IF(ISNA(VLOOKUP(Tableau13[[#This Row],[Code machine]],'CODE mchn'!$A$4:$C$170,3,0)),"",VLOOKUP(Tableau13[[#This Row],[Code machine]],'CODE mchn'!$A$4:$C$170,3,0))</f>
        <v>Teurema 1</v>
      </c>
      <c r="E1522" s="105">
        <v>25202</v>
      </c>
      <c r="F1522" s="36"/>
      <c r="G1522" s="184" t="s">
        <v>2680</v>
      </c>
      <c r="H1522" s="184" t="s">
        <v>2681</v>
      </c>
      <c r="I1522" s="184" t="s">
        <v>131</v>
      </c>
      <c r="J1522" s="251" t="s">
        <v>2460</v>
      </c>
      <c r="K1522" s="185">
        <v>44319</v>
      </c>
      <c r="L1522" s="184"/>
      <c r="M1522" s="186">
        <v>45</v>
      </c>
      <c r="N1522" s="186">
        <f>MONTH(Tableau13[[#This Row],[Date fin intervention]])</f>
        <v>5</v>
      </c>
      <c r="O1522" s="108">
        <f>YEAR(Tableau13[[#This Row],[Date fin intervention]])</f>
        <v>2021</v>
      </c>
      <c r="P1522" s="184"/>
    </row>
    <row r="1523" spans="1:16">
      <c r="A1523" s="181">
        <v>44319</v>
      </c>
      <c r="B1523" s="182">
        <v>582</v>
      </c>
      <c r="C1523" s="183" t="str">
        <f>IF(ISNA(VLOOKUP(Tableau13[[#This Row],[Code machine]],'CODE mchn'!$A$4:$C$170,2,0)),"",VLOOKUP(Tableau13[[#This Row],[Code machine]],'CODE mchn'!$A$4:$C$170,2,0))</f>
        <v>Acier</v>
      </c>
      <c r="D1523" s="184" t="str">
        <f>IF(ISNA(VLOOKUP(Tableau13[[#This Row],[Code machine]],'CODE mchn'!$A$4:$C$170,3,0)),"",VLOOKUP(Tableau13[[#This Row],[Code machine]],'CODE mchn'!$A$4:$C$170,3,0))</f>
        <v>Teurema 2</v>
      </c>
      <c r="E1523" s="105">
        <v>25202</v>
      </c>
      <c r="F1523" s="36"/>
      <c r="G1523" s="184" t="s">
        <v>2682</v>
      </c>
      <c r="H1523" s="184" t="s">
        <v>2681</v>
      </c>
      <c r="I1523" s="184" t="s">
        <v>131</v>
      </c>
      <c r="J1523" s="251" t="s">
        <v>2460</v>
      </c>
      <c r="K1523" s="185">
        <v>44319</v>
      </c>
      <c r="L1523" s="184"/>
      <c r="M1523" s="186">
        <v>45</v>
      </c>
      <c r="N1523" s="186">
        <f>MONTH(Tableau13[[#This Row],[Date fin intervention]])</f>
        <v>5</v>
      </c>
      <c r="O1523" s="108">
        <f>YEAR(Tableau13[[#This Row],[Date fin intervention]])</f>
        <v>2021</v>
      </c>
      <c r="P1523" s="184"/>
    </row>
    <row r="1524" spans="1:16">
      <c r="A1524" s="181">
        <v>44319</v>
      </c>
      <c r="B1524" s="182">
        <v>604</v>
      </c>
      <c r="C1524" s="183" t="str">
        <f>IF(ISNA(VLOOKUP(Tableau13[[#This Row],[Code machine]],'CODE mchn'!$A$4:$C$170,2,0)),"",VLOOKUP(Tableau13[[#This Row],[Code machine]],'CODE mchn'!$A$4:$C$170,2,0))</f>
        <v>Acier</v>
      </c>
      <c r="D1524" s="184" t="str">
        <f>IF(ISNA(VLOOKUP(Tableau13[[#This Row],[Code machine]],'CODE mchn'!$A$4:$C$170,3,0)),"",VLOOKUP(Tableau13[[#This Row],[Code machine]],'CODE mchn'!$A$4:$C$170,3,0))</f>
        <v>TI</v>
      </c>
      <c r="E1524" s="105">
        <v>25151</v>
      </c>
      <c r="F1524" s="36"/>
      <c r="G1524" s="184" t="s">
        <v>10</v>
      </c>
      <c r="H1524" s="184" t="s">
        <v>2683</v>
      </c>
      <c r="I1524" s="184" t="s">
        <v>107</v>
      </c>
      <c r="J1524" s="251" t="s">
        <v>2684</v>
      </c>
      <c r="K1524" s="185">
        <v>44319</v>
      </c>
      <c r="L1524" s="184"/>
      <c r="M1524" s="186">
        <v>45</v>
      </c>
      <c r="N1524" s="186">
        <f>MONTH(Tableau13[[#This Row],[Date fin intervention]])</f>
        <v>5</v>
      </c>
      <c r="O1524" s="108">
        <f>YEAR(Tableau13[[#This Row],[Date fin intervention]])</f>
        <v>2021</v>
      </c>
      <c r="P1524" s="184"/>
    </row>
    <row r="1525" spans="1:16">
      <c r="A1525" s="181">
        <v>44319</v>
      </c>
      <c r="B1525" s="182">
        <v>565</v>
      </c>
      <c r="C1525" s="183" t="str">
        <f>IF(ISNA(VLOOKUP(Tableau13[[#This Row],[Code machine]],'CODE mchn'!$A$4:$C$170,2,0)),"",VLOOKUP(Tableau13[[#This Row],[Code machine]],'CODE mchn'!$A$4:$C$170,2,0))</f>
        <v>Acier</v>
      </c>
      <c r="D1525" s="184" t="str">
        <f>IF(ISNA(VLOOKUP(Tableau13[[#This Row],[Code machine]],'CODE mchn'!$A$4:$C$170,3,0)),"",VLOOKUP(Tableau13[[#This Row],[Code machine]],'CODE mchn'!$A$4:$C$170,3,0))</f>
        <v>EVG GE12</v>
      </c>
      <c r="E1525" s="105">
        <v>25154</v>
      </c>
      <c r="F1525" s="36"/>
      <c r="G1525" s="184" t="s">
        <v>1720</v>
      </c>
      <c r="H1525" s="184" t="s">
        <v>2685</v>
      </c>
      <c r="I1525" s="184" t="s">
        <v>107</v>
      </c>
      <c r="J1525" s="251" t="s">
        <v>2686</v>
      </c>
      <c r="K1525" s="185">
        <v>44319</v>
      </c>
      <c r="L1525" s="184"/>
      <c r="M1525" s="186">
        <v>45</v>
      </c>
      <c r="N1525" s="186">
        <f>MONTH(Tableau13[[#This Row],[Date fin intervention]])</f>
        <v>5</v>
      </c>
      <c r="O1525" s="108">
        <f>YEAR(Tableau13[[#This Row],[Date fin intervention]])</f>
        <v>2021</v>
      </c>
      <c r="P1525" s="184"/>
    </row>
    <row r="1526" spans="1:16">
      <c r="A1526" s="181">
        <v>44319</v>
      </c>
      <c r="B1526" s="182">
        <v>700</v>
      </c>
      <c r="C1526" s="183" t="str">
        <f>IF(ISNA(VLOOKUP(Tableau13[[#This Row],[Code machine]],'CODE mchn'!$A$4:$C$170,2,0)),"",VLOOKUP(Tableau13[[#This Row],[Code machine]],'CODE mchn'!$A$4:$C$170,2,0))</f>
        <v>Béton</v>
      </c>
      <c r="D1526" s="184" t="str">
        <f>IF(ISNA(VLOOKUP(Tableau13[[#This Row],[Code machine]],'CODE mchn'!$A$4:$C$170,3,0)),"",VLOOKUP(Tableau13[[#This Row],[Code machine]],'CODE mchn'!$A$4:$C$170,3,0))</f>
        <v>Poyatos 1</v>
      </c>
      <c r="E1526" s="105">
        <v>25052</v>
      </c>
      <c r="F1526" s="36"/>
      <c r="G1526" s="184" t="s">
        <v>46</v>
      </c>
      <c r="H1526" s="184" t="s">
        <v>2687</v>
      </c>
      <c r="I1526" s="184" t="s">
        <v>107</v>
      </c>
      <c r="J1526" s="251" t="s">
        <v>2688</v>
      </c>
      <c r="K1526" s="185">
        <v>44319</v>
      </c>
      <c r="L1526" s="184"/>
      <c r="M1526" s="186">
        <v>150</v>
      </c>
      <c r="N1526" s="186">
        <f>MONTH(Tableau13[[#This Row],[Date fin intervention]])</f>
        <v>5</v>
      </c>
      <c r="O1526" s="108">
        <f>YEAR(Tableau13[[#This Row],[Date fin intervention]])</f>
        <v>2021</v>
      </c>
      <c r="P1526" s="184"/>
    </row>
    <row r="1527" spans="1:16">
      <c r="A1527" s="181">
        <v>44319</v>
      </c>
      <c r="B1527" s="182">
        <v>700</v>
      </c>
      <c r="C1527" s="183" t="str">
        <f>IF(ISNA(VLOOKUP(Tableau13[[#This Row],[Code machine]],'CODE mchn'!$A$4:$C$170,2,0)),"",VLOOKUP(Tableau13[[#This Row],[Code machine]],'CODE mchn'!$A$4:$C$170,2,0))</f>
        <v>Béton</v>
      </c>
      <c r="D1527" s="184" t="str">
        <f>IF(ISNA(VLOOKUP(Tableau13[[#This Row],[Code machine]],'CODE mchn'!$A$4:$C$170,3,0)),"",VLOOKUP(Tableau13[[#This Row],[Code machine]],'CODE mchn'!$A$4:$C$170,3,0))</f>
        <v>Poyatos 1</v>
      </c>
      <c r="E1527" s="105">
        <v>25051</v>
      </c>
      <c r="F1527" s="36"/>
      <c r="G1527" s="184" t="s">
        <v>2689</v>
      </c>
      <c r="H1527" s="184" t="s">
        <v>2690</v>
      </c>
      <c r="I1527" s="184" t="s">
        <v>107</v>
      </c>
      <c r="J1527" s="251" t="s">
        <v>2691</v>
      </c>
      <c r="K1527" s="185">
        <v>44319</v>
      </c>
      <c r="L1527" s="184"/>
      <c r="M1527" s="186">
        <v>150</v>
      </c>
      <c r="N1527" s="186">
        <f>MONTH(Tableau13[[#This Row],[Date fin intervention]])</f>
        <v>5</v>
      </c>
      <c r="O1527" s="108">
        <f>YEAR(Tableau13[[#This Row],[Date fin intervention]])</f>
        <v>2021</v>
      </c>
      <c r="P1527" s="184"/>
    </row>
    <row r="1528" spans="1:16">
      <c r="A1528" s="181">
        <v>44320</v>
      </c>
      <c r="B1528" s="182">
        <v>570</v>
      </c>
      <c r="C1528" s="183" t="str">
        <f>IF(ISNA(VLOOKUP(Tableau13[[#This Row],[Code machine]],'CODE mchn'!$A$4:$C$170,2,0)),"",VLOOKUP(Tableau13[[#This Row],[Code machine]],'CODE mchn'!$A$4:$C$170,2,0))</f>
        <v>Acier</v>
      </c>
      <c r="D1528" s="184" t="str">
        <f>IF(ISNA(VLOOKUP(Tableau13[[#This Row],[Code machine]],'CODE mchn'!$A$4:$C$170,3,0)),"",VLOOKUP(Tableau13[[#This Row],[Code machine]],'CODE mchn'!$A$4:$C$170,3,0))</f>
        <v>Sigmatic</v>
      </c>
      <c r="E1528" s="105">
        <v>25101</v>
      </c>
      <c r="F1528" s="36"/>
      <c r="G1528" s="184" t="s">
        <v>916</v>
      </c>
      <c r="H1528" s="184" t="s">
        <v>2692</v>
      </c>
      <c r="I1528" s="184" t="s">
        <v>107</v>
      </c>
      <c r="J1528" s="251" t="s">
        <v>2693</v>
      </c>
      <c r="K1528" s="185">
        <v>44320</v>
      </c>
      <c r="L1528" s="184"/>
      <c r="M1528" s="186">
        <v>90</v>
      </c>
      <c r="N1528" s="186">
        <f>MONTH(Tableau13[[#This Row],[Date fin intervention]])</f>
        <v>5</v>
      </c>
      <c r="O1528" s="108">
        <f>YEAR(Tableau13[[#This Row],[Date fin intervention]])</f>
        <v>2021</v>
      </c>
      <c r="P1528" s="184"/>
    </row>
    <row r="1529" spans="1:16">
      <c r="A1529" s="181">
        <v>44320</v>
      </c>
      <c r="B1529" s="182">
        <v>800</v>
      </c>
      <c r="C1529" s="183" t="str">
        <f>IF(ISNA(VLOOKUP(Tableau13[[#This Row],[Code machine]],'CODE mchn'!$A$4:$C$170,2,0)),"",VLOOKUP(Tableau13[[#This Row],[Code machine]],'CODE mchn'!$A$4:$C$170,2,0))</f>
        <v>Béton</v>
      </c>
      <c r="D1529" s="184" t="str">
        <f>IF(ISNA(VLOOKUP(Tableau13[[#This Row],[Code machine]],'CODE mchn'!$A$4:$C$170,3,0)),"",VLOOKUP(Tableau13[[#This Row],[Code machine]],'CODE mchn'!$A$4:$C$170,3,0))</f>
        <v>Poyatos 2</v>
      </c>
      <c r="E1529" s="105">
        <v>25054</v>
      </c>
      <c r="F1529" s="36"/>
      <c r="G1529" s="184" t="s">
        <v>120</v>
      </c>
      <c r="H1529" s="184" t="s">
        <v>2694</v>
      </c>
      <c r="I1529" s="184" t="s">
        <v>107</v>
      </c>
      <c r="J1529" s="251" t="s">
        <v>2643</v>
      </c>
      <c r="K1529" s="185">
        <v>44320</v>
      </c>
      <c r="L1529" s="184"/>
      <c r="M1529" s="186">
        <v>60</v>
      </c>
      <c r="N1529" s="186">
        <f>MONTH(Tableau13[[#This Row],[Date fin intervention]])</f>
        <v>5</v>
      </c>
      <c r="O1529" s="108">
        <f>YEAR(Tableau13[[#This Row],[Date fin intervention]])</f>
        <v>2021</v>
      </c>
      <c r="P1529" s="184"/>
    </row>
    <row r="1530" spans="1:16">
      <c r="A1530" s="181">
        <v>44320</v>
      </c>
      <c r="B1530" s="182">
        <v>800</v>
      </c>
      <c r="C1530" s="183" t="str">
        <f>IF(ISNA(VLOOKUP(Tableau13[[#This Row],[Code machine]],'CODE mchn'!$A$4:$C$170,2,0)),"",VLOOKUP(Tableau13[[#This Row],[Code machine]],'CODE mchn'!$A$4:$C$170,2,0))</f>
        <v>Béton</v>
      </c>
      <c r="D1530" s="184" t="str">
        <f>IF(ISNA(VLOOKUP(Tableau13[[#This Row],[Code machine]],'CODE mchn'!$A$4:$C$170,3,0)),"",VLOOKUP(Tableau13[[#This Row],[Code machine]],'CODE mchn'!$A$4:$C$170,3,0))</f>
        <v>Poyatos 2</v>
      </c>
      <c r="E1530" s="105">
        <v>25056</v>
      </c>
      <c r="F1530" s="36"/>
      <c r="G1530" s="184" t="s">
        <v>118</v>
      </c>
      <c r="H1530" s="184" t="s">
        <v>1502</v>
      </c>
      <c r="I1530" s="184" t="s">
        <v>107</v>
      </c>
      <c r="J1530" s="251" t="s">
        <v>2695</v>
      </c>
      <c r="K1530" s="185">
        <v>44320</v>
      </c>
      <c r="L1530" s="184"/>
      <c r="M1530" s="186">
        <v>60</v>
      </c>
      <c r="N1530" s="186">
        <f>MONTH(Tableau13[[#This Row],[Date fin intervention]])</f>
        <v>5</v>
      </c>
      <c r="O1530" s="108">
        <f>YEAR(Tableau13[[#This Row],[Date fin intervention]])</f>
        <v>2021</v>
      </c>
      <c r="P1530" s="184"/>
    </row>
    <row r="1531" spans="1:16" ht="28.5">
      <c r="A1531" s="181">
        <v>44320</v>
      </c>
      <c r="B1531" s="182">
        <v>571</v>
      </c>
      <c r="C1531" s="183" t="str">
        <f>IF(ISNA(VLOOKUP(Tableau13[[#This Row],[Code machine]],'CODE mchn'!$A$4:$C$170,2,0)),"",VLOOKUP(Tableau13[[#This Row],[Code machine]],'CODE mchn'!$A$4:$C$170,2,0))</f>
        <v>Acier</v>
      </c>
      <c r="D1531" s="184" t="str">
        <f>IF(ISNA(VLOOKUP(Tableau13[[#This Row],[Code machine]],'CODE mchn'!$A$4:$C$170,3,0)),"",VLOOKUP(Tableau13[[#This Row],[Code machine]],'CODE mchn'!$A$4:$C$170,3,0))</f>
        <v>EVG PN 1</v>
      </c>
      <c r="E1531" s="105">
        <v>25102</v>
      </c>
      <c r="F1531" s="36"/>
      <c r="G1531" s="184" t="s">
        <v>2696</v>
      </c>
      <c r="H1531" s="184" t="s">
        <v>2697</v>
      </c>
      <c r="I1531" s="184" t="s">
        <v>2601</v>
      </c>
      <c r="J1531" s="251" t="s">
        <v>2698</v>
      </c>
      <c r="K1531" s="185">
        <v>44320</v>
      </c>
      <c r="L1531" s="184"/>
      <c r="M1531" s="186">
        <v>60</v>
      </c>
      <c r="N1531" s="186">
        <f>MONTH(Tableau13[[#This Row],[Date fin intervention]])</f>
        <v>5</v>
      </c>
      <c r="O1531" s="108">
        <f>YEAR(Tableau13[[#This Row],[Date fin intervention]])</f>
        <v>2021</v>
      </c>
      <c r="P1531" s="184"/>
    </row>
    <row r="1532" spans="1:16">
      <c r="A1532" s="181">
        <v>44320</v>
      </c>
      <c r="B1532" s="182">
        <v>534</v>
      </c>
      <c r="C1532" s="183" t="str">
        <f>IF(ISNA(VLOOKUP(Tableau13[[#This Row],[Code machine]],'CODE mchn'!$A$4:$C$170,2,0)),"",VLOOKUP(Tableau13[[#This Row],[Code machine]],'CODE mchn'!$A$4:$C$170,2,0))</f>
        <v>Enrobage</v>
      </c>
      <c r="D1532" s="184" t="str">
        <f>IF(ISNA(VLOOKUP(Tableau13[[#This Row],[Code machine]],'CODE mchn'!$A$4:$C$170,3,0)),"",VLOOKUP(Tableau13[[#This Row],[Code machine]],'CODE mchn'!$A$4:$C$170,3,0))</f>
        <v>ELKON 2</v>
      </c>
      <c r="E1532" s="105">
        <v>25057</v>
      </c>
      <c r="F1532" s="36"/>
      <c r="G1532" s="184" t="s">
        <v>95</v>
      </c>
      <c r="H1532" s="184" t="s">
        <v>2699</v>
      </c>
      <c r="I1532" s="184" t="s">
        <v>107</v>
      </c>
      <c r="J1532" s="251" t="s">
        <v>2700</v>
      </c>
      <c r="K1532" s="185">
        <v>44320</v>
      </c>
      <c r="L1532" s="184"/>
      <c r="M1532" s="186">
        <v>35</v>
      </c>
      <c r="N1532" s="186">
        <f>MONTH(Tableau13[[#This Row],[Date fin intervention]])</f>
        <v>5</v>
      </c>
      <c r="O1532" s="108">
        <f>YEAR(Tableau13[[#This Row],[Date fin intervention]])</f>
        <v>2021</v>
      </c>
      <c r="P1532" s="184"/>
    </row>
    <row r="1533" spans="1:16">
      <c r="A1533" s="181">
        <v>44320</v>
      </c>
      <c r="B1533" s="182">
        <v>800</v>
      </c>
      <c r="C1533" s="183" t="str">
        <f>IF(ISNA(VLOOKUP(Tableau13[[#This Row],[Code machine]],'CODE mchn'!$A$4:$C$170,2,0)),"",VLOOKUP(Tableau13[[#This Row],[Code machine]],'CODE mchn'!$A$4:$C$170,2,0))</f>
        <v>Béton</v>
      </c>
      <c r="D1533" s="184" t="str">
        <f>IF(ISNA(VLOOKUP(Tableau13[[#This Row],[Code machine]],'CODE mchn'!$A$4:$C$170,3,0)),"",VLOOKUP(Tableau13[[#This Row],[Code machine]],'CODE mchn'!$A$4:$C$170,3,0))</f>
        <v>Poyatos 2</v>
      </c>
      <c r="E1533" s="105">
        <v>25055</v>
      </c>
      <c r="F1533" s="36"/>
      <c r="G1533" s="184" t="s">
        <v>1283</v>
      </c>
      <c r="H1533" s="184" t="s">
        <v>2701</v>
      </c>
      <c r="I1533" s="184" t="s">
        <v>8</v>
      </c>
      <c r="J1533" s="251" t="s">
        <v>2702</v>
      </c>
      <c r="K1533" s="185">
        <v>44320</v>
      </c>
      <c r="L1533" s="184"/>
      <c r="M1533" s="186">
        <v>30</v>
      </c>
      <c r="N1533" s="186">
        <f>MONTH(Tableau13[[#This Row],[Date fin intervention]])</f>
        <v>5</v>
      </c>
      <c r="O1533" s="108">
        <f>YEAR(Tableau13[[#This Row],[Date fin intervention]])</f>
        <v>2021</v>
      </c>
      <c r="P1533" s="184"/>
    </row>
    <row r="1534" spans="1:16">
      <c r="A1534" s="181">
        <v>44320</v>
      </c>
      <c r="B1534" s="182">
        <v>800</v>
      </c>
      <c r="C1534" s="183" t="str">
        <f>IF(ISNA(VLOOKUP(Tableau13[[#This Row],[Code machine]],'CODE mchn'!$A$4:$C$170,2,0)),"",VLOOKUP(Tableau13[[#This Row],[Code machine]],'CODE mchn'!$A$4:$C$170,2,0))</f>
        <v>Béton</v>
      </c>
      <c r="D1534" s="184" t="str">
        <f>IF(ISNA(VLOOKUP(Tableau13[[#This Row],[Code machine]],'CODE mchn'!$A$4:$C$170,3,0)),"",VLOOKUP(Tableau13[[#This Row],[Code machine]],'CODE mchn'!$A$4:$C$170,3,0))</f>
        <v>Poyatos 2</v>
      </c>
      <c r="E1534" s="105">
        <v>25058</v>
      </c>
      <c r="F1534" s="36"/>
      <c r="G1534" s="184" t="s">
        <v>2703</v>
      </c>
      <c r="H1534" s="184" t="s">
        <v>2704</v>
      </c>
      <c r="I1534" s="184" t="s">
        <v>107</v>
      </c>
      <c r="J1534" s="251" t="s">
        <v>2705</v>
      </c>
      <c r="K1534" s="185">
        <v>44320</v>
      </c>
      <c r="L1534" s="184"/>
      <c r="M1534" s="186">
        <v>30</v>
      </c>
      <c r="N1534" s="186">
        <f>MONTH(Tableau13[[#This Row],[Date fin intervention]])</f>
        <v>5</v>
      </c>
      <c r="O1534" s="108">
        <f>YEAR(Tableau13[[#This Row],[Date fin intervention]])</f>
        <v>2021</v>
      </c>
      <c r="P1534" s="184"/>
    </row>
    <row r="1535" spans="1:16">
      <c r="A1535" s="181">
        <v>44320</v>
      </c>
      <c r="B1535" s="182">
        <v>800</v>
      </c>
      <c r="C1535" s="183" t="str">
        <f>IF(ISNA(VLOOKUP(Tableau13[[#This Row],[Code machine]],'CODE mchn'!$A$4:$C$170,2,0)),"",VLOOKUP(Tableau13[[#This Row],[Code machine]],'CODE mchn'!$A$4:$C$170,2,0))</f>
        <v>Béton</v>
      </c>
      <c r="D1535" s="184" t="str">
        <f>IF(ISNA(VLOOKUP(Tableau13[[#This Row],[Code machine]],'CODE mchn'!$A$4:$C$170,3,0)),"",VLOOKUP(Tableau13[[#This Row],[Code machine]],'CODE mchn'!$A$4:$C$170,3,0))</f>
        <v>Poyatos 2</v>
      </c>
      <c r="E1535" s="105">
        <v>25053</v>
      </c>
      <c r="F1535" s="36"/>
      <c r="G1535" s="184" t="s">
        <v>185</v>
      </c>
      <c r="H1535" s="184" t="s">
        <v>2706</v>
      </c>
      <c r="I1535" s="184" t="s">
        <v>107</v>
      </c>
      <c r="J1535" s="251" t="s">
        <v>2707</v>
      </c>
      <c r="K1535" s="185">
        <v>44320</v>
      </c>
      <c r="L1535" s="184"/>
      <c r="M1535" s="186">
        <v>180</v>
      </c>
      <c r="N1535" s="186">
        <f>MONTH(Tableau13[[#This Row],[Date fin intervention]])</f>
        <v>5</v>
      </c>
      <c r="O1535" s="108">
        <f>YEAR(Tableau13[[#This Row],[Date fin intervention]])</f>
        <v>2021</v>
      </c>
      <c r="P1535" s="184"/>
    </row>
    <row r="1536" spans="1:16">
      <c r="A1536" s="181">
        <v>44320</v>
      </c>
      <c r="B1536" s="182">
        <v>582</v>
      </c>
      <c r="C1536" s="183" t="str">
        <f>IF(ISNA(VLOOKUP(Tableau13[[#This Row],[Code machine]],'CODE mchn'!$A$4:$C$170,2,0)),"",VLOOKUP(Tableau13[[#This Row],[Code machine]],'CODE mchn'!$A$4:$C$170,2,0))</f>
        <v>Acier</v>
      </c>
      <c r="D1536" s="184" t="str">
        <f>IF(ISNA(VLOOKUP(Tableau13[[#This Row],[Code machine]],'CODE mchn'!$A$4:$C$170,3,0)),"",VLOOKUP(Tableau13[[#This Row],[Code machine]],'CODE mchn'!$A$4:$C$170,3,0))</f>
        <v>Teurema 2</v>
      </c>
      <c r="E1536" s="105">
        <v>25204</v>
      </c>
      <c r="F1536" s="36"/>
      <c r="G1536" s="184" t="s">
        <v>1653</v>
      </c>
      <c r="H1536" s="184" t="s">
        <v>2708</v>
      </c>
      <c r="I1536" s="184" t="s">
        <v>107</v>
      </c>
      <c r="J1536" s="251" t="s">
        <v>2627</v>
      </c>
      <c r="K1536" s="185">
        <v>44320</v>
      </c>
      <c r="L1536" s="184"/>
      <c r="M1536" s="186">
        <v>120</v>
      </c>
      <c r="N1536" s="186">
        <f>MONTH(Tableau13[[#This Row],[Date fin intervention]])</f>
        <v>5</v>
      </c>
      <c r="O1536" s="108">
        <f>YEAR(Tableau13[[#This Row],[Date fin intervention]])</f>
        <v>2021</v>
      </c>
      <c r="P1536" s="184"/>
    </row>
    <row r="1537" spans="1:16">
      <c r="A1537" s="181">
        <v>44320</v>
      </c>
      <c r="B1537" s="182">
        <v>582</v>
      </c>
      <c r="C1537" s="183" t="str">
        <f>IF(ISNA(VLOOKUP(Tableau13[[#This Row],[Code machine]],'CODE mchn'!$A$4:$C$170,2,0)),"",VLOOKUP(Tableau13[[#This Row],[Code machine]],'CODE mchn'!$A$4:$C$170,2,0))</f>
        <v>Acier</v>
      </c>
      <c r="D1537" s="184" t="str">
        <f>IF(ISNA(VLOOKUP(Tableau13[[#This Row],[Code machine]],'CODE mchn'!$A$4:$C$170,3,0)),"",VLOOKUP(Tableau13[[#This Row],[Code machine]],'CODE mchn'!$A$4:$C$170,3,0))</f>
        <v>Teurema 2</v>
      </c>
      <c r="E1537" s="105">
        <v>25205</v>
      </c>
      <c r="F1537" s="36"/>
      <c r="G1537" s="184" t="s">
        <v>880</v>
      </c>
      <c r="H1537" s="184" t="s">
        <v>2517</v>
      </c>
      <c r="I1537" s="184" t="s">
        <v>107</v>
      </c>
      <c r="J1537" s="251" t="s">
        <v>2627</v>
      </c>
      <c r="K1537" s="185">
        <v>44320</v>
      </c>
      <c r="L1537" s="184"/>
      <c r="M1537" s="186">
        <v>120</v>
      </c>
      <c r="N1537" s="186">
        <f>MONTH(Tableau13[[#This Row],[Date fin intervention]])</f>
        <v>5</v>
      </c>
      <c r="O1537" s="108">
        <f>YEAR(Tableau13[[#This Row],[Date fin intervention]])</f>
        <v>2021</v>
      </c>
      <c r="P1537" s="184"/>
    </row>
    <row r="1538" spans="1:16" ht="28.5">
      <c r="A1538" s="181">
        <v>44321</v>
      </c>
      <c r="B1538" s="182">
        <v>570</v>
      </c>
      <c r="C1538" s="183" t="str">
        <f>IF(ISNA(VLOOKUP(Tableau13[[#This Row],[Code machine]],'CODE mchn'!$A$4:$C$170,2,0)),"",VLOOKUP(Tableau13[[#This Row],[Code machine]],'CODE mchn'!$A$4:$C$170,2,0))</f>
        <v>Acier</v>
      </c>
      <c r="D1538" s="184" t="str">
        <f>IF(ISNA(VLOOKUP(Tableau13[[#This Row],[Code machine]],'CODE mchn'!$A$4:$C$170,3,0)),"",VLOOKUP(Tableau13[[#This Row],[Code machine]],'CODE mchn'!$A$4:$C$170,3,0))</f>
        <v>Sigmatic</v>
      </c>
      <c r="E1538" s="105">
        <v>25103</v>
      </c>
      <c r="F1538" s="36"/>
      <c r="G1538" s="184" t="s">
        <v>2709</v>
      </c>
      <c r="H1538" s="184" t="s">
        <v>2710</v>
      </c>
      <c r="I1538" s="184" t="s">
        <v>107</v>
      </c>
      <c r="J1538" s="251" t="s">
        <v>1600</v>
      </c>
      <c r="K1538" s="185">
        <v>44321</v>
      </c>
      <c r="L1538" s="184"/>
      <c r="M1538" s="186">
        <v>60</v>
      </c>
      <c r="N1538" s="186">
        <f>MONTH(Tableau13[[#This Row],[Date fin intervention]])</f>
        <v>5</v>
      </c>
      <c r="O1538" s="108">
        <f>YEAR(Tableau13[[#This Row],[Date fin intervention]])</f>
        <v>2021</v>
      </c>
      <c r="P1538" s="184"/>
    </row>
    <row r="1539" spans="1:16">
      <c r="A1539" s="181">
        <v>44321</v>
      </c>
      <c r="B1539" s="182"/>
      <c r="C1539" s="183" t="str">
        <f>IF(ISNA(VLOOKUP(Tableau13[[#This Row],[Code machine]],'CODE mchn'!$A$4:$C$170,2,0)),"",VLOOKUP(Tableau13[[#This Row],[Code machine]],'CODE mchn'!$A$4:$C$170,2,0))</f>
        <v/>
      </c>
      <c r="D1539" s="184" t="str">
        <f>IF(ISNA(VLOOKUP(Tableau13[[#This Row],[Code machine]],'CODE mchn'!$A$4:$C$170,3,0)),"",VLOOKUP(Tableau13[[#This Row],[Code machine]],'CODE mchn'!$A$4:$C$170,3,0))</f>
        <v/>
      </c>
      <c r="E1539" s="105">
        <v>25203</v>
      </c>
      <c r="F1539" s="36"/>
      <c r="G1539" s="184"/>
      <c r="H1539" s="184"/>
      <c r="I1539" s="184" t="s">
        <v>30</v>
      </c>
      <c r="J1539" s="251" t="s">
        <v>2711</v>
      </c>
      <c r="K1539" s="185">
        <v>44320</v>
      </c>
      <c r="L1539" s="184"/>
      <c r="M1539" s="186">
        <v>60</v>
      </c>
      <c r="N1539" s="186">
        <f>MONTH(Tableau13[[#This Row],[Date fin intervention]])</f>
        <v>5</v>
      </c>
      <c r="O1539" s="108">
        <f>YEAR(Tableau13[[#This Row],[Date fin intervention]])</f>
        <v>2021</v>
      </c>
      <c r="P1539" s="184"/>
    </row>
    <row r="1540" spans="1:16">
      <c r="A1540" s="181">
        <v>44322</v>
      </c>
      <c r="B1540" s="182">
        <v>700</v>
      </c>
      <c r="C1540" s="183" t="str">
        <f>IF(ISNA(VLOOKUP(Tableau13[[#This Row],[Code machine]],'CODE mchn'!$A$4:$C$170,2,0)),"",VLOOKUP(Tableau13[[#This Row],[Code machine]],'CODE mchn'!$A$4:$C$170,2,0))</f>
        <v>Béton</v>
      </c>
      <c r="D1540" s="184" t="str">
        <f>IF(ISNA(VLOOKUP(Tableau13[[#This Row],[Code machine]],'CODE mchn'!$A$4:$C$170,3,0)),"",VLOOKUP(Tableau13[[#This Row],[Code machine]],'CODE mchn'!$A$4:$C$170,3,0))</f>
        <v>Poyatos 1</v>
      </c>
      <c r="E1540" s="105">
        <v>25060</v>
      </c>
      <c r="F1540" s="36"/>
      <c r="G1540" s="184" t="s">
        <v>118</v>
      </c>
      <c r="H1540" s="184" t="s">
        <v>1502</v>
      </c>
      <c r="I1540" s="184" t="s">
        <v>2712</v>
      </c>
      <c r="J1540" s="251" t="s">
        <v>722</v>
      </c>
      <c r="K1540" s="185">
        <v>44322</v>
      </c>
      <c r="L1540" s="184"/>
      <c r="M1540" s="186">
        <v>60</v>
      </c>
      <c r="N1540" s="186">
        <f>MONTH(Tableau13[[#This Row],[Date fin intervention]])</f>
        <v>5</v>
      </c>
      <c r="O1540" s="108">
        <f>YEAR(Tableau13[[#This Row],[Date fin intervention]])</f>
        <v>2021</v>
      </c>
      <c r="P1540" s="184"/>
    </row>
    <row r="1541" spans="1:16">
      <c r="A1541" s="181">
        <v>44322</v>
      </c>
      <c r="B1541" s="182">
        <v>565</v>
      </c>
      <c r="C1541" s="183" t="str">
        <f>IF(ISNA(VLOOKUP(Tableau13[[#This Row],[Code machine]],'CODE mchn'!$A$4:$C$170,2,0)),"",VLOOKUP(Tableau13[[#This Row],[Code machine]],'CODE mchn'!$A$4:$C$170,2,0))</f>
        <v>Acier</v>
      </c>
      <c r="D1541" s="184" t="str">
        <f>IF(ISNA(VLOOKUP(Tableau13[[#This Row],[Code machine]],'CODE mchn'!$A$4:$C$170,3,0)),"",VLOOKUP(Tableau13[[#This Row],[Code machine]],'CODE mchn'!$A$4:$C$170,3,0))</f>
        <v>EVG GE12</v>
      </c>
      <c r="E1541" s="105">
        <v>25156</v>
      </c>
      <c r="F1541" s="36"/>
      <c r="G1541" s="184" t="s">
        <v>161</v>
      </c>
      <c r="H1541" s="184" t="s">
        <v>2713</v>
      </c>
      <c r="I1541" s="184" t="s">
        <v>107</v>
      </c>
      <c r="J1541" s="251" t="s">
        <v>1731</v>
      </c>
      <c r="K1541" s="185">
        <v>44322</v>
      </c>
      <c r="L1541" s="184"/>
      <c r="M1541" s="186">
        <v>45</v>
      </c>
      <c r="N1541" s="186">
        <f>MONTH(Tableau13[[#This Row],[Date fin intervention]])</f>
        <v>5</v>
      </c>
      <c r="O1541" s="108">
        <f>YEAR(Tableau13[[#This Row],[Date fin intervention]])</f>
        <v>2021</v>
      </c>
      <c r="P1541" s="184"/>
    </row>
    <row r="1542" spans="1:16">
      <c r="A1542" s="181">
        <v>44322</v>
      </c>
      <c r="B1542" s="182">
        <v>580</v>
      </c>
      <c r="C1542" s="183" t="str">
        <f>IF(ISNA(VLOOKUP(Tableau13[[#This Row],[Code machine]],'CODE mchn'!$A$4:$C$170,2,0)),"",VLOOKUP(Tableau13[[#This Row],[Code machine]],'CODE mchn'!$A$4:$C$170,2,0))</f>
        <v>Acier</v>
      </c>
      <c r="D1542" s="184" t="str">
        <f>IF(ISNA(VLOOKUP(Tableau13[[#This Row],[Code machine]],'CODE mchn'!$A$4:$C$170,3,0)),"",VLOOKUP(Tableau13[[#This Row],[Code machine]],'CODE mchn'!$A$4:$C$170,3,0))</f>
        <v>Techno Impiante</v>
      </c>
      <c r="E1542" s="105">
        <v>25206</v>
      </c>
      <c r="F1542" s="36"/>
      <c r="G1542" s="184" t="s">
        <v>1644</v>
      </c>
      <c r="H1542" s="184" t="s">
        <v>2714</v>
      </c>
      <c r="I1542" s="184" t="s">
        <v>107</v>
      </c>
      <c r="J1542" s="251" t="s">
        <v>2715</v>
      </c>
      <c r="K1542" s="185">
        <v>44322</v>
      </c>
      <c r="L1542" s="184"/>
      <c r="M1542" s="186">
        <v>35</v>
      </c>
      <c r="N1542" s="186">
        <f>MONTH(Tableau13[[#This Row],[Date fin intervention]])</f>
        <v>5</v>
      </c>
      <c r="O1542" s="108">
        <f>YEAR(Tableau13[[#This Row],[Date fin intervention]])</f>
        <v>2021</v>
      </c>
      <c r="P1542" s="184"/>
    </row>
    <row r="1543" spans="1:16">
      <c r="A1543" s="181">
        <v>44322</v>
      </c>
      <c r="B1543" s="182">
        <v>581</v>
      </c>
      <c r="C1543" s="183" t="str">
        <f>IF(ISNA(VLOOKUP(Tableau13[[#This Row],[Code machine]],'CODE mchn'!$A$4:$C$170,2,0)),"",VLOOKUP(Tableau13[[#This Row],[Code machine]],'CODE mchn'!$A$4:$C$170,2,0))</f>
        <v>Acier</v>
      </c>
      <c r="D1543" s="184" t="str">
        <f>IF(ISNA(VLOOKUP(Tableau13[[#This Row],[Code machine]],'CODE mchn'!$A$4:$C$170,3,0)),"",VLOOKUP(Tableau13[[#This Row],[Code machine]],'CODE mchn'!$A$4:$C$170,3,0))</f>
        <v>Teurema 1</v>
      </c>
      <c r="E1543" s="105">
        <v>25207</v>
      </c>
      <c r="F1543" s="36"/>
      <c r="G1543" s="184" t="s">
        <v>2716</v>
      </c>
      <c r="H1543" s="184" t="s">
        <v>1194</v>
      </c>
      <c r="I1543" s="184" t="s">
        <v>107</v>
      </c>
      <c r="J1543" s="251" t="s">
        <v>2717</v>
      </c>
      <c r="K1543" s="185">
        <v>44322</v>
      </c>
      <c r="L1543" s="184"/>
      <c r="M1543" s="186">
        <v>30</v>
      </c>
      <c r="N1543" s="186">
        <f>MONTH(Tableau13[[#This Row],[Date fin intervention]])</f>
        <v>5</v>
      </c>
      <c r="O1543" s="108">
        <f>YEAR(Tableau13[[#This Row],[Date fin intervention]])</f>
        <v>2021</v>
      </c>
      <c r="P1543" s="184"/>
    </row>
    <row r="1544" spans="1:16">
      <c r="A1544" s="181">
        <v>44322</v>
      </c>
      <c r="B1544" s="182">
        <v>700</v>
      </c>
      <c r="C1544" s="183" t="str">
        <f>IF(ISNA(VLOOKUP(Tableau13[[#This Row],[Code machine]],'CODE mchn'!$A$4:$C$170,2,0)),"",VLOOKUP(Tableau13[[#This Row],[Code machine]],'CODE mchn'!$A$4:$C$170,2,0))</f>
        <v>Béton</v>
      </c>
      <c r="D1544" s="184" t="str">
        <f>IF(ISNA(VLOOKUP(Tableau13[[#This Row],[Code machine]],'CODE mchn'!$A$4:$C$170,3,0)),"",VLOOKUP(Tableau13[[#This Row],[Code machine]],'CODE mchn'!$A$4:$C$170,3,0))</f>
        <v>Poyatos 1</v>
      </c>
      <c r="E1544" s="105">
        <v>25059</v>
      </c>
      <c r="F1544" s="36"/>
      <c r="G1544" s="184" t="s">
        <v>2718</v>
      </c>
      <c r="H1544" s="184" t="s">
        <v>2719</v>
      </c>
      <c r="I1544" s="184" t="s">
        <v>107</v>
      </c>
      <c r="J1544" s="251" t="s">
        <v>2720</v>
      </c>
      <c r="K1544" s="185">
        <v>44322</v>
      </c>
      <c r="L1544" s="184"/>
      <c r="M1544" s="186">
        <v>180</v>
      </c>
      <c r="N1544" s="186">
        <f>MONTH(Tableau13[[#This Row],[Date fin intervention]])</f>
        <v>5</v>
      </c>
      <c r="O1544" s="108">
        <f>YEAR(Tableau13[[#This Row],[Date fin intervention]])</f>
        <v>2021</v>
      </c>
      <c r="P1544" s="184"/>
    </row>
    <row r="1545" spans="1:16">
      <c r="A1545" s="181">
        <v>44322</v>
      </c>
      <c r="B1545" s="182">
        <v>607</v>
      </c>
      <c r="C1545" s="183" t="str">
        <f>IF(ISNA(VLOOKUP(Tableau13[[#This Row],[Code machine]],'CODE mchn'!$A$4:$C$170,2,0)),"",VLOOKUP(Tableau13[[#This Row],[Code machine]],'CODE mchn'!$A$4:$C$170,2,0))</f>
        <v>Acier</v>
      </c>
      <c r="D1545" s="184" t="str">
        <f>IF(ISNA(VLOOKUP(Tableau13[[#This Row],[Code machine]],'CODE mchn'!$A$4:$C$170,3,0)),"",VLOOKUP(Tableau13[[#This Row],[Code machine]],'CODE mchn'!$A$4:$C$170,3,0))</f>
        <v>Vitari 3</v>
      </c>
      <c r="E1545" s="105"/>
      <c r="F1545" s="36"/>
      <c r="G1545" s="184" t="s">
        <v>10</v>
      </c>
      <c r="H1545" s="184" t="s">
        <v>479</v>
      </c>
      <c r="I1545" s="184" t="s">
        <v>101</v>
      </c>
      <c r="J1545" s="251" t="s">
        <v>2763</v>
      </c>
      <c r="K1545" s="185">
        <v>44347</v>
      </c>
      <c r="L1545" s="184"/>
      <c r="M1545" s="186">
        <f>8*60*20</f>
        <v>9600</v>
      </c>
      <c r="N1545" s="186">
        <f>MONTH(Tableau13[[#This Row],[Date fin intervention]])</f>
        <v>5</v>
      </c>
      <c r="O1545" s="186">
        <f>YEAR(Tableau13[[#This Row],[Date fin intervention]])</f>
        <v>2021</v>
      </c>
      <c r="P1545" s="184"/>
    </row>
    <row r="1546" spans="1:16" ht="28.5">
      <c r="A1546" s="181">
        <v>44323</v>
      </c>
      <c r="B1546" s="182">
        <v>800</v>
      </c>
      <c r="C1546" s="183" t="str">
        <f>IF(ISNA(VLOOKUP(Tableau13[[#This Row],[Code machine]],'CODE mchn'!$A$4:$C$170,2,0)),"",VLOOKUP(Tableau13[[#This Row],[Code machine]],'CODE mchn'!$A$4:$C$170,2,0))</f>
        <v>Béton</v>
      </c>
      <c r="D1546" s="184" t="str">
        <f>IF(ISNA(VLOOKUP(Tableau13[[#This Row],[Code machine]],'CODE mchn'!$A$4:$C$170,3,0)),"",VLOOKUP(Tableau13[[#This Row],[Code machine]],'CODE mchn'!$A$4:$C$170,3,0))</f>
        <v>Poyatos 2</v>
      </c>
      <c r="E1546" s="105">
        <v>25061</v>
      </c>
      <c r="F1546" s="36"/>
      <c r="G1546" s="184" t="s">
        <v>2721</v>
      </c>
      <c r="H1546" s="184" t="s">
        <v>2722</v>
      </c>
      <c r="I1546" s="184" t="s">
        <v>107</v>
      </c>
      <c r="J1546" s="251" t="s">
        <v>2723</v>
      </c>
      <c r="K1546" s="185">
        <v>44323</v>
      </c>
      <c r="L1546" s="184"/>
      <c r="M1546" s="186">
        <v>420</v>
      </c>
      <c r="N1546" s="186">
        <f>MONTH(Tableau13[[#This Row],[Date fin intervention]])</f>
        <v>5</v>
      </c>
      <c r="O1546" s="108">
        <f>YEAR(Tableau13[[#This Row],[Date fin intervention]])</f>
        <v>2021</v>
      </c>
      <c r="P1546" s="184"/>
    </row>
    <row r="1547" spans="1:16">
      <c r="A1547" s="181">
        <v>44323</v>
      </c>
      <c r="B1547" s="182">
        <v>700</v>
      </c>
      <c r="C1547" s="183" t="str">
        <f>IF(ISNA(VLOOKUP(Tableau13[[#This Row],[Code machine]],'CODE mchn'!$A$4:$C$170,2,0)),"",VLOOKUP(Tableau13[[#This Row],[Code machine]],'CODE mchn'!$A$4:$C$170,2,0))</f>
        <v>Béton</v>
      </c>
      <c r="D1547" s="184" t="str">
        <f>IF(ISNA(VLOOKUP(Tableau13[[#This Row],[Code machine]],'CODE mchn'!$A$4:$C$170,3,0)),"",VLOOKUP(Tableau13[[#This Row],[Code machine]],'CODE mchn'!$A$4:$C$170,3,0))</f>
        <v>Poyatos 1</v>
      </c>
      <c r="E1547" s="105">
        <v>25062</v>
      </c>
      <c r="F1547" s="36"/>
      <c r="G1547" s="184" t="s">
        <v>1283</v>
      </c>
      <c r="H1547" s="184" t="s">
        <v>2724</v>
      </c>
      <c r="I1547" s="184" t="s">
        <v>107</v>
      </c>
      <c r="J1547" s="251" t="s">
        <v>2488</v>
      </c>
      <c r="K1547" s="185">
        <v>44323</v>
      </c>
      <c r="L1547" s="184"/>
      <c r="M1547" s="186">
        <v>30</v>
      </c>
      <c r="N1547" s="186">
        <f>MONTH(Tableau13[[#This Row],[Date fin intervention]])</f>
        <v>5</v>
      </c>
      <c r="O1547" s="108">
        <f>YEAR(Tableau13[[#This Row],[Date fin intervention]])</f>
        <v>2021</v>
      </c>
      <c r="P1547" s="184"/>
    </row>
    <row r="1548" spans="1:16">
      <c r="A1548" s="181">
        <v>44323</v>
      </c>
      <c r="B1548" s="182">
        <v>700</v>
      </c>
      <c r="C1548" s="183" t="str">
        <f>IF(ISNA(VLOOKUP(Tableau13[[#This Row],[Code machine]],'CODE mchn'!$A$4:$C$170,2,0)),"",VLOOKUP(Tableau13[[#This Row],[Code machine]],'CODE mchn'!$A$4:$C$170,2,0))</f>
        <v>Béton</v>
      </c>
      <c r="D1548" s="184" t="str">
        <f>IF(ISNA(VLOOKUP(Tableau13[[#This Row],[Code machine]],'CODE mchn'!$A$4:$C$170,3,0)),"",VLOOKUP(Tableau13[[#This Row],[Code machine]],'CODE mchn'!$A$4:$C$170,3,0))</f>
        <v>Poyatos 1</v>
      </c>
      <c r="E1548" s="105">
        <v>25062</v>
      </c>
      <c r="F1548" s="36"/>
      <c r="G1548" s="184" t="s">
        <v>1283</v>
      </c>
      <c r="H1548" s="184" t="s">
        <v>2725</v>
      </c>
      <c r="I1548" s="184" t="s">
        <v>2726</v>
      </c>
      <c r="J1548" s="251" t="s">
        <v>2727</v>
      </c>
      <c r="K1548" s="185">
        <v>44323</v>
      </c>
      <c r="L1548" s="184"/>
      <c r="M1548" s="186">
        <v>30</v>
      </c>
      <c r="N1548" s="186">
        <f>MONTH(Tableau13[[#This Row],[Date fin intervention]])</f>
        <v>5</v>
      </c>
      <c r="O1548" s="108">
        <f>YEAR(Tableau13[[#This Row],[Date fin intervention]])</f>
        <v>2021</v>
      </c>
      <c r="P1548" s="184"/>
    </row>
    <row r="1549" spans="1:16" ht="28.5">
      <c r="A1549" s="181">
        <v>44324</v>
      </c>
      <c r="B1549" s="182">
        <v>582</v>
      </c>
      <c r="C1549" s="183" t="str">
        <f>IF(ISNA(VLOOKUP(Tableau13[[#This Row],[Code machine]],'CODE mchn'!$A$4:$C$170,2,0)),"",VLOOKUP(Tableau13[[#This Row],[Code machine]],'CODE mchn'!$A$4:$C$170,2,0))</f>
        <v>Acier</v>
      </c>
      <c r="D1549" s="184" t="str">
        <f>IF(ISNA(VLOOKUP(Tableau13[[#This Row],[Code machine]],'CODE mchn'!$A$4:$C$170,3,0)),"",VLOOKUP(Tableau13[[#This Row],[Code machine]],'CODE mchn'!$A$4:$C$170,3,0))</f>
        <v>Teurema 2</v>
      </c>
      <c r="E1549" s="105">
        <v>25209</v>
      </c>
      <c r="F1549" s="36"/>
      <c r="G1549" s="184" t="s">
        <v>2067</v>
      </c>
      <c r="H1549" s="184" t="s">
        <v>2728</v>
      </c>
      <c r="I1549" s="184" t="s">
        <v>2729</v>
      </c>
      <c r="J1549" s="251" t="s">
        <v>2730</v>
      </c>
      <c r="K1549" s="185">
        <v>44331</v>
      </c>
      <c r="L1549" s="184"/>
      <c r="M1549" s="186"/>
      <c r="N1549" s="186">
        <f>MONTH(Tableau13[[#This Row],[Date fin intervention]])</f>
        <v>5</v>
      </c>
      <c r="O1549" s="108">
        <f>YEAR(Tableau13[[#This Row],[Date fin intervention]])</f>
        <v>2021</v>
      </c>
      <c r="P1549" s="184"/>
    </row>
    <row r="1550" spans="1:16">
      <c r="A1550" s="181">
        <v>44324</v>
      </c>
      <c r="B1550" s="182">
        <v>580</v>
      </c>
      <c r="C1550" s="183" t="str">
        <f>IF(ISNA(VLOOKUP(Tableau13[[#This Row],[Code machine]],'CODE mchn'!$A$4:$C$170,2,0)),"",VLOOKUP(Tableau13[[#This Row],[Code machine]],'CODE mchn'!$A$4:$C$170,2,0))</f>
        <v>Acier</v>
      </c>
      <c r="D1550" s="184" t="str">
        <f>IF(ISNA(VLOOKUP(Tableau13[[#This Row],[Code machine]],'CODE mchn'!$A$4:$C$170,3,0)),"",VLOOKUP(Tableau13[[#This Row],[Code machine]],'CODE mchn'!$A$4:$C$170,3,0))</f>
        <v>Techno Impiante</v>
      </c>
      <c r="E1550" s="105">
        <v>25208</v>
      </c>
      <c r="F1550" s="36"/>
      <c r="G1550" s="184" t="s">
        <v>78</v>
      </c>
      <c r="H1550" s="184" t="s">
        <v>608</v>
      </c>
      <c r="I1550" s="184" t="s">
        <v>107</v>
      </c>
      <c r="J1550" s="251" t="s">
        <v>1938</v>
      </c>
      <c r="K1550" s="185">
        <v>44324</v>
      </c>
      <c r="L1550" s="184"/>
      <c r="M1550" s="186">
        <v>45</v>
      </c>
      <c r="N1550" s="186">
        <f>MONTH(Tableau13[[#This Row],[Date fin intervention]])</f>
        <v>5</v>
      </c>
      <c r="O1550" s="108">
        <f>YEAR(Tableau13[[#This Row],[Date fin intervention]])</f>
        <v>2021</v>
      </c>
      <c r="P1550" s="184"/>
    </row>
    <row r="1551" spans="1:16">
      <c r="A1551" s="181">
        <v>44325</v>
      </c>
      <c r="B1551" s="182">
        <v>565</v>
      </c>
      <c r="C1551" s="183" t="str">
        <f>IF(ISNA(VLOOKUP(Tableau13[[#This Row],[Code machine]],'CODE mchn'!$A$4:$C$170,2,0)),"",VLOOKUP(Tableau13[[#This Row],[Code machine]],'CODE mchn'!$A$4:$C$170,2,0))</f>
        <v>Acier</v>
      </c>
      <c r="D1551" s="184" t="str">
        <f>IF(ISNA(VLOOKUP(Tableau13[[#This Row],[Code machine]],'CODE mchn'!$A$4:$C$170,3,0)),"",VLOOKUP(Tableau13[[#This Row],[Code machine]],'CODE mchn'!$A$4:$C$170,3,0))</f>
        <v>EVG GE12</v>
      </c>
      <c r="E1551" s="105">
        <v>25157</v>
      </c>
      <c r="F1551" s="36"/>
      <c r="G1551" s="184" t="s">
        <v>2731</v>
      </c>
      <c r="H1551" s="184" t="s">
        <v>2732</v>
      </c>
      <c r="I1551" s="184" t="s">
        <v>2726</v>
      </c>
      <c r="J1551" s="251" t="s">
        <v>2733</v>
      </c>
      <c r="K1551" s="185">
        <v>44325</v>
      </c>
      <c r="L1551" s="184"/>
      <c r="M1551" s="186">
        <v>360</v>
      </c>
      <c r="N1551" s="186">
        <f>MONTH(Tableau13[[#This Row],[Date fin intervention]])</f>
        <v>5</v>
      </c>
      <c r="O1551" s="108">
        <f>YEAR(Tableau13[[#This Row],[Date fin intervention]])</f>
        <v>2021</v>
      </c>
      <c r="P1551" s="184"/>
    </row>
    <row r="1552" spans="1:16">
      <c r="A1552" s="181">
        <v>44325</v>
      </c>
      <c r="B1552" s="182">
        <v>800</v>
      </c>
      <c r="C1552" s="183" t="str">
        <f>IF(ISNA(VLOOKUP(Tableau13[[#This Row],[Code machine]],'CODE mchn'!$A$4:$C$170,2,0)),"",VLOOKUP(Tableau13[[#This Row],[Code machine]],'CODE mchn'!$A$4:$C$170,2,0))</f>
        <v>Béton</v>
      </c>
      <c r="D1552" s="184" t="str">
        <f>IF(ISNA(VLOOKUP(Tableau13[[#This Row],[Code machine]],'CODE mchn'!$A$4:$C$170,3,0)),"",VLOOKUP(Tableau13[[#This Row],[Code machine]],'CODE mchn'!$A$4:$C$170,3,0))</f>
        <v>Poyatos 2</v>
      </c>
      <c r="E1552" s="105">
        <v>25064</v>
      </c>
      <c r="F1552" s="36"/>
      <c r="G1552" s="184" t="s">
        <v>2734</v>
      </c>
      <c r="H1552" s="184" t="s">
        <v>2735</v>
      </c>
      <c r="I1552" s="184" t="s">
        <v>107</v>
      </c>
      <c r="J1552" s="251" t="s">
        <v>2736</v>
      </c>
      <c r="K1552" s="185">
        <v>44325</v>
      </c>
      <c r="L1552" s="184"/>
      <c r="M1552" s="186">
        <v>240</v>
      </c>
      <c r="N1552" s="186">
        <f>MONTH(Tableau13[[#This Row],[Date fin intervention]])</f>
        <v>5</v>
      </c>
      <c r="O1552" s="108">
        <f>YEAR(Tableau13[[#This Row],[Date fin intervention]])</f>
        <v>2021</v>
      </c>
      <c r="P1552" s="184"/>
    </row>
    <row r="1553" spans="1:16">
      <c r="A1553" s="181">
        <v>44326</v>
      </c>
      <c r="B1553" s="182">
        <v>570</v>
      </c>
      <c r="C1553" s="183" t="str">
        <f>IF(ISNA(VLOOKUP(Tableau13[[#This Row],[Code machine]],'CODE mchn'!$A$4:$C$170,2,0)),"",VLOOKUP(Tableau13[[#This Row],[Code machine]],'CODE mchn'!$A$4:$C$170,2,0))</f>
        <v>Acier</v>
      </c>
      <c r="D1553" s="184" t="str">
        <f>IF(ISNA(VLOOKUP(Tableau13[[#This Row],[Code machine]],'CODE mchn'!$A$4:$C$170,3,0)),"",VLOOKUP(Tableau13[[#This Row],[Code machine]],'CODE mchn'!$A$4:$C$170,3,0))</f>
        <v>Sigmatic</v>
      </c>
      <c r="E1553" s="105">
        <v>25104</v>
      </c>
      <c r="F1553" s="36"/>
      <c r="G1553" s="184" t="s">
        <v>926</v>
      </c>
      <c r="H1553" s="184" t="s">
        <v>2737</v>
      </c>
      <c r="I1553" s="184" t="s">
        <v>107</v>
      </c>
      <c r="J1553" s="251" t="s">
        <v>2738</v>
      </c>
      <c r="K1553" s="185">
        <v>44326</v>
      </c>
      <c r="L1553" s="184"/>
      <c r="M1553" s="186">
        <v>120</v>
      </c>
      <c r="N1553" s="186">
        <f>MONTH(Tableau13[[#This Row],[Date fin intervention]])</f>
        <v>5</v>
      </c>
      <c r="O1553" s="108">
        <f>YEAR(Tableau13[[#This Row],[Date fin intervention]])</f>
        <v>2021</v>
      </c>
      <c r="P1553" s="184"/>
    </row>
    <row r="1554" spans="1:16">
      <c r="A1554" s="181">
        <v>44326</v>
      </c>
      <c r="B1554" s="182">
        <v>800</v>
      </c>
      <c r="C1554" s="183" t="str">
        <f>IF(ISNA(VLOOKUP(Tableau13[[#This Row],[Code machine]],'CODE mchn'!$A$4:$C$170,2,0)),"",VLOOKUP(Tableau13[[#This Row],[Code machine]],'CODE mchn'!$A$4:$C$170,2,0))</f>
        <v>Béton</v>
      </c>
      <c r="D1554" s="184" t="str">
        <f>IF(ISNA(VLOOKUP(Tableau13[[#This Row],[Code machine]],'CODE mchn'!$A$4:$C$170,3,0)),"",VLOOKUP(Tableau13[[#This Row],[Code machine]],'CODE mchn'!$A$4:$C$170,3,0))</f>
        <v>Poyatos 2</v>
      </c>
      <c r="E1554" s="105">
        <v>25065</v>
      </c>
      <c r="F1554" s="36"/>
      <c r="G1554" s="184" t="s">
        <v>2739</v>
      </c>
      <c r="H1554" s="184" t="s">
        <v>2356</v>
      </c>
      <c r="I1554" s="184" t="s">
        <v>107</v>
      </c>
      <c r="J1554" s="251" t="s">
        <v>2144</v>
      </c>
      <c r="K1554" s="185">
        <v>44326</v>
      </c>
      <c r="L1554" s="184"/>
      <c r="M1554" s="186">
        <v>120</v>
      </c>
      <c r="N1554" s="186">
        <f>MONTH(Tableau13[[#This Row],[Date fin intervention]])</f>
        <v>5</v>
      </c>
      <c r="O1554" s="108">
        <f>YEAR(Tableau13[[#This Row],[Date fin intervention]])</f>
        <v>2021</v>
      </c>
      <c r="P1554" s="184"/>
    </row>
    <row r="1555" spans="1:16">
      <c r="A1555" s="181">
        <v>44327</v>
      </c>
      <c r="B1555" s="182">
        <v>581</v>
      </c>
      <c r="C1555" s="183" t="str">
        <f>IF(ISNA(VLOOKUP(Tableau13[[#This Row],[Code machine]],'CODE mchn'!$A$4:$C$170,2,0)),"",VLOOKUP(Tableau13[[#This Row],[Code machine]],'CODE mchn'!$A$4:$C$170,2,0))</f>
        <v>Acier</v>
      </c>
      <c r="D1555" s="184" t="str">
        <f>IF(ISNA(VLOOKUP(Tableau13[[#This Row],[Code machine]],'CODE mchn'!$A$4:$C$170,3,0)),"",VLOOKUP(Tableau13[[#This Row],[Code machine]],'CODE mchn'!$A$4:$C$170,3,0))</f>
        <v>Teurema 1</v>
      </c>
      <c r="E1555" s="105">
        <v>25210</v>
      </c>
      <c r="F1555" s="36"/>
      <c r="G1555" s="184" t="s">
        <v>520</v>
      </c>
      <c r="H1555" s="184" t="s">
        <v>2740</v>
      </c>
      <c r="I1555" s="184" t="s">
        <v>107</v>
      </c>
      <c r="J1555" s="251" t="s">
        <v>2741</v>
      </c>
      <c r="K1555" s="185">
        <v>44327</v>
      </c>
      <c r="L1555" s="184"/>
      <c r="M1555" s="186">
        <v>60</v>
      </c>
      <c r="N1555" s="186">
        <f>MONTH(Tableau13[[#This Row],[Date fin intervention]])</f>
        <v>5</v>
      </c>
      <c r="O1555" s="108">
        <f>YEAR(Tableau13[[#This Row],[Date fin intervention]])</f>
        <v>2021</v>
      </c>
      <c r="P1555" s="184"/>
    </row>
    <row r="1556" spans="1:16">
      <c r="A1556" s="181">
        <v>44327</v>
      </c>
      <c r="B1556" s="182">
        <v>560</v>
      </c>
      <c r="C1556" s="183" t="str">
        <f>IF(ISNA(VLOOKUP(Tableau13[[#This Row],[Code machine]],'CODE mchn'!$A$4:$C$170,2,0)),"",VLOOKUP(Tableau13[[#This Row],[Code machine]],'CODE mchn'!$A$4:$C$170,2,0))</f>
        <v>Acier</v>
      </c>
      <c r="D1556" s="184" t="str">
        <f>IF(ISNA(VLOOKUP(Tableau13[[#This Row],[Code machine]],'CODE mchn'!$A$4:$C$170,3,0)),"",VLOOKUP(Tableau13[[#This Row],[Code machine]],'CODE mchn'!$A$4:$C$170,3,0))</f>
        <v>Schlatter</v>
      </c>
      <c r="E1556" s="105">
        <v>25161</v>
      </c>
      <c r="F1556" s="36"/>
      <c r="G1556" s="184" t="s">
        <v>2742</v>
      </c>
      <c r="H1556" s="184" t="s">
        <v>2743</v>
      </c>
      <c r="I1556" s="184" t="s">
        <v>2744</v>
      </c>
      <c r="J1556" s="251" t="s">
        <v>722</v>
      </c>
      <c r="K1556" s="185">
        <v>44327</v>
      </c>
      <c r="L1556" s="184"/>
      <c r="M1556" s="186">
        <v>45</v>
      </c>
      <c r="N1556" s="186">
        <f>MONTH(Tableau13[[#This Row],[Date fin intervention]])</f>
        <v>5</v>
      </c>
      <c r="O1556" s="108">
        <f>YEAR(Tableau13[[#This Row],[Date fin intervention]])</f>
        <v>2021</v>
      </c>
      <c r="P1556" s="184"/>
    </row>
    <row r="1557" spans="1:16">
      <c r="A1557" s="181">
        <v>44327</v>
      </c>
      <c r="B1557" s="182">
        <v>582</v>
      </c>
      <c r="C1557" s="183" t="str">
        <f>IF(ISNA(VLOOKUP(Tableau13[[#This Row],[Code machine]],'CODE mchn'!$A$4:$C$170,2,0)),"",VLOOKUP(Tableau13[[#This Row],[Code machine]],'CODE mchn'!$A$4:$C$170,2,0))</f>
        <v>Acier</v>
      </c>
      <c r="D1557" s="184" t="str">
        <f>IF(ISNA(VLOOKUP(Tableau13[[#This Row],[Code machine]],'CODE mchn'!$A$4:$C$170,3,0)),"",VLOOKUP(Tableau13[[#This Row],[Code machine]],'CODE mchn'!$A$4:$C$170,3,0))</f>
        <v>Teurema 2</v>
      </c>
      <c r="E1557" s="105">
        <v>25211</v>
      </c>
      <c r="F1557" s="36"/>
      <c r="G1557" s="184" t="s">
        <v>2074</v>
      </c>
      <c r="H1557" s="184" t="s">
        <v>2745</v>
      </c>
      <c r="I1557" s="184" t="s">
        <v>107</v>
      </c>
      <c r="J1557" s="251" t="s">
        <v>2746</v>
      </c>
      <c r="K1557" s="185">
        <v>44327</v>
      </c>
      <c r="L1557" s="184"/>
      <c r="M1557" s="186">
        <v>40</v>
      </c>
      <c r="N1557" s="186">
        <f>MONTH(Tableau13[[#This Row],[Date fin intervention]])</f>
        <v>5</v>
      </c>
      <c r="O1557" s="108">
        <f>YEAR(Tableau13[[#This Row],[Date fin intervention]])</f>
        <v>2021</v>
      </c>
      <c r="P1557" s="184"/>
    </row>
    <row r="1558" spans="1:16">
      <c r="A1558" s="181">
        <v>44327</v>
      </c>
      <c r="B1558" s="182">
        <v>560</v>
      </c>
      <c r="C1558" s="183" t="str">
        <f>IF(ISNA(VLOOKUP(Tableau13[[#This Row],[Code machine]],'CODE mchn'!$A$4:$C$170,2,0)),"",VLOOKUP(Tableau13[[#This Row],[Code machine]],'CODE mchn'!$A$4:$C$170,2,0))</f>
        <v>Acier</v>
      </c>
      <c r="D1558" s="184" t="str">
        <f>IF(ISNA(VLOOKUP(Tableau13[[#This Row],[Code machine]],'CODE mchn'!$A$4:$C$170,3,0)),"",VLOOKUP(Tableau13[[#This Row],[Code machine]],'CODE mchn'!$A$4:$C$170,3,0))</f>
        <v>Schlatter</v>
      </c>
      <c r="E1558" s="105">
        <v>25159</v>
      </c>
      <c r="F1558" s="36"/>
      <c r="G1558" s="184" t="s">
        <v>2747</v>
      </c>
      <c r="H1558" s="184" t="s">
        <v>2748</v>
      </c>
      <c r="I1558" s="184" t="s">
        <v>107</v>
      </c>
      <c r="J1558" s="251" t="s">
        <v>2558</v>
      </c>
      <c r="K1558" s="185">
        <v>44327</v>
      </c>
      <c r="L1558" s="184"/>
      <c r="M1558" s="186">
        <v>35</v>
      </c>
      <c r="N1558" s="186">
        <f>MONTH(Tableau13[[#This Row],[Date fin intervention]])</f>
        <v>5</v>
      </c>
      <c r="O1558" s="108">
        <f>YEAR(Tableau13[[#This Row],[Date fin intervention]])</f>
        <v>2021</v>
      </c>
      <c r="P1558" s="184"/>
    </row>
    <row r="1559" spans="1:16">
      <c r="A1559" s="181">
        <v>44328</v>
      </c>
      <c r="B1559" s="182">
        <v>571</v>
      </c>
      <c r="C1559" s="183" t="str">
        <f>IF(ISNA(VLOOKUP(Tableau13[[#This Row],[Code machine]],'CODE mchn'!$A$4:$C$170,2,0)),"",VLOOKUP(Tableau13[[#This Row],[Code machine]],'CODE mchn'!$A$4:$C$170,2,0))</f>
        <v>Acier</v>
      </c>
      <c r="D1559" s="184" t="str">
        <f>IF(ISNA(VLOOKUP(Tableau13[[#This Row],[Code machine]],'CODE mchn'!$A$4:$C$170,3,0)),"",VLOOKUP(Tableau13[[#This Row],[Code machine]],'CODE mchn'!$A$4:$C$170,3,0))</f>
        <v>EVG PN 1</v>
      </c>
      <c r="E1559" s="105">
        <v>25105</v>
      </c>
      <c r="F1559" s="36"/>
      <c r="G1559" s="184" t="s">
        <v>2709</v>
      </c>
      <c r="H1559" s="184" t="s">
        <v>2749</v>
      </c>
      <c r="I1559" s="184" t="s">
        <v>107</v>
      </c>
      <c r="J1559" s="251" t="s">
        <v>2548</v>
      </c>
      <c r="K1559" s="185">
        <v>44328</v>
      </c>
      <c r="L1559" s="184"/>
      <c r="M1559" s="186">
        <v>60</v>
      </c>
      <c r="N1559" s="186">
        <f>MONTH(Tableau13[[#This Row],[Date fin intervention]])</f>
        <v>5</v>
      </c>
      <c r="O1559" s="108">
        <f>YEAR(Tableau13[[#This Row],[Date fin intervention]])</f>
        <v>2021</v>
      </c>
      <c r="P1559" s="184"/>
    </row>
    <row r="1560" spans="1:16">
      <c r="A1560" s="181">
        <v>44328</v>
      </c>
      <c r="B1560" s="182">
        <v>560</v>
      </c>
      <c r="C1560" s="183" t="str">
        <f>IF(ISNA(VLOOKUP(Tableau13[[#This Row],[Code machine]],'CODE mchn'!$A$4:$C$170,2,0)),"",VLOOKUP(Tableau13[[#This Row],[Code machine]],'CODE mchn'!$A$4:$C$170,2,0))</f>
        <v>Acier</v>
      </c>
      <c r="D1560" s="184" t="str">
        <f>IF(ISNA(VLOOKUP(Tableau13[[#This Row],[Code machine]],'CODE mchn'!$A$4:$C$170,3,0)),"",VLOOKUP(Tableau13[[#This Row],[Code machine]],'CODE mchn'!$A$4:$C$170,3,0))</f>
        <v>Schlatter</v>
      </c>
      <c r="E1560" s="105">
        <v>25160</v>
      </c>
      <c r="F1560" s="36"/>
      <c r="G1560" s="184" t="s">
        <v>2750</v>
      </c>
      <c r="H1560" s="184" t="s">
        <v>2751</v>
      </c>
      <c r="I1560" s="184" t="s">
        <v>107</v>
      </c>
      <c r="J1560" s="251" t="s">
        <v>2752</v>
      </c>
      <c r="K1560" s="185">
        <v>44328</v>
      </c>
      <c r="L1560" s="184"/>
      <c r="M1560" s="186">
        <v>60</v>
      </c>
      <c r="N1560" s="186">
        <f>MONTH(Tableau13[[#This Row],[Date fin intervention]])</f>
        <v>5</v>
      </c>
      <c r="O1560" s="108">
        <f>YEAR(Tableau13[[#This Row],[Date fin intervention]])</f>
        <v>2021</v>
      </c>
      <c r="P1560" s="184"/>
    </row>
    <row r="1561" spans="1:16">
      <c r="A1561" s="181">
        <v>44328</v>
      </c>
      <c r="B1561" s="182">
        <v>582</v>
      </c>
      <c r="C1561" s="183" t="str">
        <f>IF(ISNA(VLOOKUP(Tableau13[[#This Row],[Code machine]],'CODE mchn'!$A$4:$C$170,2,0)),"",VLOOKUP(Tableau13[[#This Row],[Code machine]],'CODE mchn'!$A$4:$C$170,2,0))</f>
        <v>Acier</v>
      </c>
      <c r="D1561" s="184" t="str">
        <f>IF(ISNA(VLOOKUP(Tableau13[[#This Row],[Code machine]],'CODE mchn'!$A$4:$C$170,3,0)),"",VLOOKUP(Tableau13[[#This Row],[Code machine]],'CODE mchn'!$A$4:$C$170,3,0))</f>
        <v>Teurema 2</v>
      </c>
      <c r="E1561" s="105">
        <v>25212</v>
      </c>
      <c r="F1561" s="36"/>
      <c r="G1561" s="184" t="s">
        <v>880</v>
      </c>
      <c r="H1561" s="184" t="s">
        <v>2753</v>
      </c>
      <c r="I1561" s="184" t="s">
        <v>107</v>
      </c>
      <c r="J1561" s="251" t="s">
        <v>2627</v>
      </c>
      <c r="K1561" s="185">
        <v>44328</v>
      </c>
      <c r="L1561" s="184"/>
      <c r="M1561" s="186">
        <v>120</v>
      </c>
      <c r="N1561" s="186">
        <f>MONTH(Tableau13[[#This Row],[Date fin intervention]])</f>
        <v>5</v>
      </c>
      <c r="O1561" s="108">
        <f>YEAR(Tableau13[[#This Row],[Date fin intervention]])</f>
        <v>2021</v>
      </c>
      <c r="P1561" s="184"/>
    </row>
    <row r="1562" spans="1:16">
      <c r="A1562" s="181">
        <v>44333</v>
      </c>
      <c r="B1562" s="182">
        <v>800</v>
      </c>
      <c r="C1562" s="183" t="str">
        <f>IF(ISNA(VLOOKUP(Tableau13[[#This Row],[Code machine]],'CODE mchn'!$A$4:$C$170,2,0)),"",VLOOKUP(Tableau13[[#This Row],[Code machine]],'CODE mchn'!$A$4:$C$170,2,0))</f>
        <v>Béton</v>
      </c>
      <c r="D1562" s="184" t="str">
        <f>IF(ISNA(VLOOKUP(Tableau13[[#This Row],[Code machine]],'CODE mchn'!$A$4:$C$170,3,0)),"",VLOOKUP(Tableau13[[#This Row],[Code machine]],'CODE mchn'!$A$4:$C$170,3,0))</f>
        <v>Poyatos 2</v>
      </c>
      <c r="E1562" s="105">
        <v>25160</v>
      </c>
      <c r="F1562" s="36"/>
      <c r="G1562" s="184" t="s">
        <v>49</v>
      </c>
      <c r="H1562" s="184" t="s">
        <v>2754</v>
      </c>
      <c r="I1562" s="184" t="s">
        <v>107</v>
      </c>
      <c r="J1562" s="251" t="s">
        <v>2755</v>
      </c>
      <c r="K1562" s="185">
        <v>44333</v>
      </c>
      <c r="L1562" s="184"/>
      <c r="M1562" s="186">
        <v>45</v>
      </c>
      <c r="N1562" s="186">
        <f>MONTH(Tableau13[[#This Row],[Date fin intervention]])</f>
        <v>5</v>
      </c>
      <c r="O1562" s="108">
        <f>YEAR(Tableau13[[#This Row],[Date fin intervention]])</f>
        <v>2021</v>
      </c>
      <c r="P1562" s="184"/>
    </row>
    <row r="1563" spans="1:16">
      <c r="A1563" s="181">
        <v>44333</v>
      </c>
      <c r="B1563" s="182">
        <v>800</v>
      </c>
      <c r="C1563" s="183" t="str">
        <f>IF(ISNA(VLOOKUP(Tableau13[[#This Row],[Code machine]],'CODE mchn'!$A$4:$C$170,2,0)),"",VLOOKUP(Tableau13[[#This Row],[Code machine]],'CODE mchn'!$A$4:$C$170,2,0))</f>
        <v>Béton</v>
      </c>
      <c r="D1563" s="184" t="str">
        <f>IF(ISNA(VLOOKUP(Tableau13[[#This Row],[Code machine]],'CODE mchn'!$A$4:$C$170,3,0)),"",VLOOKUP(Tableau13[[#This Row],[Code machine]],'CODE mchn'!$A$4:$C$170,3,0))</f>
        <v>Poyatos 2</v>
      </c>
      <c r="E1563" s="105">
        <v>25070</v>
      </c>
      <c r="F1563" s="36"/>
      <c r="G1563" s="184" t="s">
        <v>110</v>
      </c>
      <c r="H1563" s="184" t="s">
        <v>1011</v>
      </c>
      <c r="I1563" s="184" t="s">
        <v>2768</v>
      </c>
      <c r="J1563" s="251" t="s">
        <v>2769</v>
      </c>
      <c r="K1563" s="185">
        <v>44333</v>
      </c>
      <c r="L1563" s="184"/>
      <c r="M1563" s="186">
        <v>45</v>
      </c>
      <c r="N1563" s="186">
        <f>MONTH(Tableau13[[#This Row],[Date fin intervention]])</f>
        <v>5</v>
      </c>
      <c r="O1563" s="186">
        <f>YEAR(Tableau13[[#This Row],[Date fin intervention]])</f>
        <v>2021</v>
      </c>
      <c r="P1563" s="184"/>
    </row>
    <row r="1564" spans="1:16">
      <c r="A1564" s="181">
        <v>44334</v>
      </c>
      <c r="B1564" s="182">
        <v>581</v>
      </c>
      <c r="C1564" s="183" t="str">
        <f>IF(ISNA(VLOOKUP(Tableau13[[#This Row],[Code machine]],'CODE mchn'!$A$4:$C$170,2,0)),"",VLOOKUP(Tableau13[[#This Row],[Code machine]],'CODE mchn'!$A$4:$C$170,2,0))</f>
        <v>Acier</v>
      </c>
      <c r="D1564" s="184" t="str">
        <f>IF(ISNA(VLOOKUP(Tableau13[[#This Row],[Code machine]],'CODE mchn'!$A$4:$C$170,3,0)),"",VLOOKUP(Tableau13[[#This Row],[Code machine]],'CODE mchn'!$A$4:$C$170,3,0))</f>
        <v>Teurema 1</v>
      </c>
      <c r="E1564" s="105">
        <v>25216</v>
      </c>
      <c r="F1564" s="36"/>
      <c r="G1564" s="184" t="s">
        <v>78</v>
      </c>
      <c r="H1564" s="184" t="s">
        <v>2764</v>
      </c>
      <c r="I1564" s="184" t="s">
        <v>2765</v>
      </c>
      <c r="J1564" s="251" t="s">
        <v>2766</v>
      </c>
      <c r="K1564" s="185">
        <v>44334</v>
      </c>
      <c r="L1564" s="184"/>
      <c r="M1564" s="186">
        <v>45</v>
      </c>
      <c r="N1564" s="186">
        <f>MONTH(Tableau13[[#This Row],[Date fin intervention]])</f>
        <v>5</v>
      </c>
      <c r="O1564" s="186">
        <f>YEAR(Tableau13[[#This Row],[Date fin intervention]])</f>
        <v>2021</v>
      </c>
      <c r="P1564" s="184"/>
    </row>
    <row r="1565" spans="1:16" ht="28.5">
      <c r="A1565" s="181">
        <v>44335</v>
      </c>
      <c r="B1565" s="182">
        <v>606</v>
      </c>
      <c r="C1565" s="183" t="str">
        <f>IF(ISNA(VLOOKUP(Tableau13[[#This Row],[Code machine]],'CODE mchn'!$A$4:$C$170,2,0)),"",VLOOKUP(Tableau13[[#This Row],[Code machine]],'CODE mchn'!$A$4:$C$170,2,0))</f>
        <v>Acier</v>
      </c>
      <c r="D1565" s="184" t="str">
        <f>IF(ISNA(VLOOKUP(Tableau13[[#This Row],[Code machine]],'CODE mchn'!$A$4:$C$170,3,0)),"",VLOOKUP(Tableau13[[#This Row],[Code machine]],'CODE mchn'!$A$4:$C$170,3,0))</f>
        <v>Vitari 2</v>
      </c>
      <c r="E1565" s="105">
        <v>25158</v>
      </c>
      <c r="F1565" s="36"/>
      <c r="G1565" s="184" t="s">
        <v>2756</v>
      </c>
      <c r="H1565" s="184" t="s">
        <v>2757</v>
      </c>
      <c r="I1565" s="184" t="s">
        <v>107</v>
      </c>
      <c r="J1565" s="251" t="s">
        <v>2758</v>
      </c>
      <c r="K1565" s="185">
        <v>44337</v>
      </c>
      <c r="L1565" s="184"/>
      <c r="M1565" s="186">
        <v>480</v>
      </c>
      <c r="N1565" s="186">
        <f>MONTH(Tableau13[[#This Row],[Date fin intervention]])</f>
        <v>5</v>
      </c>
      <c r="O1565" s="108">
        <f>YEAR(Tableau13[[#This Row],[Date fin intervention]])</f>
        <v>2021</v>
      </c>
      <c r="P1565" s="184"/>
    </row>
    <row r="1566" spans="1:16">
      <c r="A1566" s="181">
        <v>44336</v>
      </c>
      <c r="B1566" s="182">
        <v>590</v>
      </c>
      <c r="C1566" s="183" t="str">
        <f>IF(ISNA(VLOOKUP(Tableau13[[#This Row],[Code machine]],'CODE mchn'!$A$4:$C$170,2,0)),"",VLOOKUP(Tableau13[[#This Row],[Code machine]],'CODE mchn'!$A$4:$C$170,2,0))</f>
        <v>Acier</v>
      </c>
      <c r="D1566" s="184" t="str">
        <f>IF(ISNA(VLOOKUP(Tableau13[[#This Row],[Code machine]],'CODE mchn'!$A$4:$C$170,3,0)),"",VLOOKUP(Tableau13[[#This Row],[Code machine]],'CODE mchn'!$A$4:$C$170,3,0))</f>
        <v>Teurema 3</v>
      </c>
      <c r="E1566" s="105"/>
      <c r="F1566" s="36"/>
      <c r="G1566" s="184" t="s">
        <v>319</v>
      </c>
      <c r="H1566" s="184" t="s">
        <v>2761</v>
      </c>
      <c r="I1566" s="184" t="s">
        <v>13</v>
      </c>
      <c r="J1566" s="251" t="s">
        <v>2762</v>
      </c>
      <c r="K1566" s="185">
        <v>44347</v>
      </c>
      <c r="L1566" s="184"/>
      <c r="M1566" s="186">
        <f>8*60*10</f>
        <v>4800</v>
      </c>
      <c r="N1566" s="186">
        <f>MONTH(Tableau13[[#This Row],[Date fin intervention]])</f>
        <v>5</v>
      </c>
      <c r="O1566" s="108">
        <f>YEAR(Tableau13[[#This Row],[Date fin intervention]])</f>
        <v>2021</v>
      </c>
      <c r="P1566" s="184"/>
    </row>
    <row r="1567" spans="1:16">
      <c r="A1567" s="181">
        <v>44337</v>
      </c>
      <c r="B1567" s="182">
        <v>580</v>
      </c>
      <c r="C1567" s="183" t="str">
        <f>IF(ISNA(VLOOKUP(Tableau13[[#This Row],[Code machine]],'CODE mchn'!$A$4:$C$170,2,0)),"",VLOOKUP(Tableau13[[#This Row],[Code machine]],'CODE mchn'!$A$4:$C$170,2,0))</f>
        <v>Acier</v>
      </c>
      <c r="D1567" s="184" t="str">
        <f>IF(ISNA(VLOOKUP(Tableau13[[#This Row],[Code machine]],'CODE mchn'!$A$4:$C$170,3,0)),"",VLOOKUP(Tableau13[[#This Row],[Code machine]],'CODE mchn'!$A$4:$C$170,3,0))</f>
        <v>Techno Impiante</v>
      </c>
      <c r="E1567" s="105">
        <v>25217</v>
      </c>
      <c r="F1567" s="36"/>
      <c r="G1567" s="184" t="s">
        <v>612</v>
      </c>
      <c r="H1567" s="184" t="s">
        <v>2767</v>
      </c>
      <c r="I1567" s="184" t="s">
        <v>101</v>
      </c>
      <c r="J1567" s="251" t="s">
        <v>1774</v>
      </c>
      <c r="K1567" s="185">
        <v>44337</v>
      </c>
      <c r="L1567" s="184"/>
      <c r="M1567" s="186">
        <v>180</v>
      </c>
      <c r="N1567" s="186">
        <f>MONTH(Tableau13[[#This Row],[Date fin intervention]])</f>
        <v>5</v>
      </c>
      <c r="O1567" s="186">
        <f>YEAR(Tableau13[[#This Row],[Date fin intervention]])</f>
        <v>2021</v>
      </c>
      <c r="P1567" s="184"/>
    </row>
    <row r="1568" spans="1:16">
      <c r="A1568" s="181">
        <v>44337</v>
      </c>
      <c r="B1568" s="182">
        <v>800</v>
      </c>
      <c r="C1568" s="183" t="str">
        <f>IF(ISNA(VLOOKUP(Tableau13[[#This Row],[Code machine]],'CODE mchn'!$A$4:$C$170,2,0)),"",VLOOKUP(Tableau13[[#This Row],[Code machine]],'CODE mchn'!$A$4:$C$170,2,0))</f>
        <v>Béton</v>
      </c>
      <c r="D1568" s="184" t="str">
        <f>IF(ISNA(VLOOKUP(Tableau13[[#This Row],[Code machine]],'CODE mchn'!$A$4:$C$170,3,0)),"",VLOOKUP(Tableau13[[#This Row],[Code machine]],'CODE mchn'!$A$4:$C$170,3,0))</f>
        <v>Poyatos 2</v>
      </c>
      <c r="E1568" s="105">
        <v>25073</v>
      </c>
      <c r="F1568" s="36"/>
      <c r="G1568" s="184" t="s">
        <v>213</v>
      </c>
      <c r="H1568" s="184" t="s">
        <v>2770</v>
      </c>
      <c r="I1568" s="184" t="s">
        <v>101</v>
      </c>
      <c r="J1568" s="251" t="s">
        <v>2771</v>
      </c>
      <c r="K1568" s="185">
        <v>44337</v>
      </c>
      <c r="L1568" s="184"/>
      <c r="M1568" s="186">
        <v>45</v>
      </c>
      <c r="N1568" s="186">
        <f>MONTH(Tableau13[[#This Row],[Date fin intervention]])</f>
        <v>5</v>
      </c>
      <c r="O1568" s="186">
        <f>YEAR(Tableau13[[#This Row],[Date fin intervention]])</f>
        <v>2021</v>
      </c>
      <c r="P1568" s="184"/>
    </row>
    <row r="1569" spans="1:16">
      <c r="A1569" s="181">
        <v>44337</v>
      </c>
      <c r="B1569" s="182">
        <v>533</v>
      </c>
      <c r="C1569" s="183" t="str">
        <f>IF(ISNA(VLOOKUP(Tableau13[[#This Row],[Code machine]],'CODE mchn'!$A$4:$C$170,2,0)),"",VLOOKUP(Tableau13[[#This Row],[Code machine]],'CODE mchn'!$A$4:$C$170,2,0))</f>
        <v>Enrobage</v>
      </c>
      <c r="D1569" s="184" t="str">
        <f>IF(ISNA(VLOOKUP(Tableau13[[#This Row],[Code machine]],'CODE mchn'!$A$4:$C$170,3,0)),"",VLOOKUP(Tableau13[[#This Row],[Code machine]],'CODE mchn'!$A$4:$C$170,3,0))</f>
        <v>CAROSSEL</v>
      </c>
      <c r="E1569" s="105">
        <v>25075</v>
      </c>
      <c r="F1569" s="36"/>
      <c r="G1569" s="184" t="s">
        <v>2774</v>
      </c>
      <c r="H1569" s="184" t="s">
        <v>2775</v>
      </c>
      <c r="I1569" s="184" t="s">
        <v>2768</v>
      </c>
      <c r="J1569" s="251" t="s">
        <v>2776</v>
      </c>
      <c r="K1569" s="185">
        <v>44337</v>
      </c>
      <c r="L1569" s="184"/>
      <c r="M1569" s="186">
        <f>8*60*17</f>
        <v>8160</v>
      </c>
      <c r="N1569" s="186">
        <f>MONTH(Tableau13[[#This Row],[Date fin intervention]])</f>
        <v>5</v>
      </c>
      <c r="O1569" s="186">
        <f>YEAR(Tableau13[[#This Row],[Date fin intervention]])</f>
        <v>2021</v>
      </c>
      <c r="P1569" s="184"/>
    </row>
    <row r="1570" spans="1:16" ht="28.5">
      <c r="A1570" s="181">
        <v>44338</v>
      </c>
      <c r="B1570" s="182">
        <v>571</v>
      </c>
      <c r="C1570" s="183" t="str">
        <f>IF(ISNA(VLOOKUP(Tableau13[[#This Row],[Code machine]],'CODE mchn'!$A$4:$C$170,2,0)),"",VLOOKUP(Tableau13[[#This Row],[Code machine]],'CODE mchn'!$A$4:$C$170,2,0))</f>
        <v>Acier</v>
      </c>
      <c r="D1570" s="184" t="str">
        <f>IF(ISNA(VLOOKUP(Tableau13[[#This Row],[Code machine]],'CODE mchn'!$A$4:$C$170,3,0)),"",VLOOKUP(Tableau13[[#This Row],[Code machine]],'CODE mchn'!$A$4:$C$170,3,0))</f>
        <v>EVG PN 1</v>
      </c>
      <c r="E1570" s="105">
        <v>25106</v>
      </c>
      <c r="F1570" s="36"/>
      <c r="G1570" s="184" t="s">
        <v>2410</v>
      </c>
      <c r="H1570" s="184" t="s">
        <v>2788</v>
      </c>
      <c r="I1570" s="184" t="s">
        <v>107</v>
      </c>
      <c r="J1570" s="251" t="s">
        <v>2548</v>
      </c>
      <c r="K1570" s="185">
        <v>44338</v>
      </c>
      <c r="L1570" s="184"/>
      <c r="M1570" s="186">
        <v>60</v>
      </c>
      <c r="N1570" s="186">
        <f>MONTH(Tableau13[[#This Row],[Date fin intervention]])</f>
        <v>5</v>
      </c>
      <c r="O1570" s="186">
        <f>YEAR(Tableau13[[#This Row],[Date fin intervention]])</f>
        <v>2021</v>
      </c>
      <c r="P1570" s="184"/>
    </row>
    <row r="1571" spans="1:16">
      <c r="A1571" s="181">
        <v>44342</v>
      </c>
      <c r="B1571" s="182">
        <v>565</v>
      </c>
      <c r="C1571" s="183" t="str">
        <f>IF(ISNA(VLOOKUP(Tableau13[[#This Row],[Code machine]],'CODE mchn'!$A$4:$C$170,2,0)),"",VLOOKUP(Tableau13[[#This Row],[Code machine]],'CODE mchn'!$A$4:$C$170,2,0))</f>
        <v>Acier</v>
      </c>
      <c r="D1571" s="184" t="str">
        <f>IF(ISNA(VLOOKUP(Tableau13[[#This Row],[Code machine]],'CODE mchn'!$A$4:$C$170,3,0)),"",VLOOKUP(Tableau13[[#This Row],[Code machine]],'CODE mchn'!$A$4:$C$170,3,0))</f>
        <v>EVG GE12</v>
      </c>
      <c r="E1571" s="105">
        <v>25169</v>
      </c>
      <c r="F1571" s="36"/>
      <c r="G1571" s="184" t="s">
        <v>2778</v>
      </c>
      <c r="H1571" s="184" t="s">
        <v>2779</v>
      </c>
      <c r="I1571" s="184" t="s">
        <v>107</v>
      </c>
      <c r="J1571" s="251" t="s">
        <v>2780</v>
      </c>
      <c r="K1571" s="185">
        <v>44342</v>
      </c>
      <c r="L1571" s="184"/>
      <c r="M1571" s="186">
        <v>60</v>
      </c>
      <c r="N1571" s="186">
        <f>MONTH(Tableau13[[#This Row],[Date fin intervention]])</f>
        <v>5</v>
      </c>
      <c r="O1571" s="186">
        <f>YEAR(Tableau13[[#This Row],[Date fin intervention]])</f>
        <v>2021</v>
      </c>
      <c r="P1571" s="184"/>
    </row>
    <row r="1572" spans="1:16">
      <c r="A1572" s="181">
        <v>44342</v>
      </c>
      <c r="B1572" s="182">
        <v>620</v>
      </c>
      <c r="C1572" s="183" t="str">
        <f>IF(ISNA(VLOOKUP(Tableau13[[#This Row],[Code machine]],'CODE mchn'!$A$4:$C$170,2,0)),"",VLOOKUP(Tableau13[[#This Row],[Code machine]],'CODE mchn'!$A$4:$C$170,2,0))</f>
        <v>Acier</v>
      </c>
      <c r="D1572" s="184" t="str">
        <f>IF(ISNA(VLOOKUP(Tableau13[[#This Row],[Code machine]],'CODE mchn'!$A$4:$C$170,3,0)),"",VLOOKUP(Tableau13[[#This Row],[Code machine]],'CODE mchn'!$A$4:$C$170,3,0))</f>
        <v>EVG PN 2</v>
      </c>
      <c r="E1572" s="105">
        <v>25107</v>
      </c>
      <c r="F1572" s="36"/>
      <c r="G1572" s="184" t="s">
        <v>20</v>
      </c>
      <c r="H1572" s="184" t="s">
        <v>1971</v>
      </c>
      <c r="I1572" s="184" t="s">
        <v>2789</v>
      </c>
      <c r="J1572" s="251" t="s">
        <v>2790</v>
      </c>
      <c r="K1572" s="185">
        <v>44342</v>
      </c>
      <c r="L1572" s="184"/>
      <c r="M1572" s="186">
        <v>15</v>
      </c>
      <c r="N1572" s="186">
        <f>MONTH(Tableau13[[#This Row],[Date fin intervention]])</f>
        <v>5</v>
      </c>
      <c r="O1572" s="186">
        <f>YEAR(Tableau13[[#This Row],[Date fin intervention]])</f>
        <v>2021</v>
      </c>
      <c r="P1572" s="184"/>
    </row>
    <row r="1573" spans="1:16">
      <c r="A1573" s="181">
        <v>44343</v>
      </c>
      <c r="B1573" s="182">
        <v>800</v>
      </c>
      <c r="C1573" s="183" t="str">
        <f>IF(ISNA(VLOOKUP(Tableau13[[#This Row],[Code machine]],'CODE mchn'!$A$4:$C$170,2,0)),"",VLOOKUP(Tableau13[[#This Row],[Code machine]],'CODE mchn'!$A$4:$C$170,2,0))</f>
        <v>Béton</v>
      </c>
      <c r="D1573" s="184" t="str">
        <f>IF(ISNA(VLOOKUP(Tableau13[[#This Row],[Code machine]],'CODE mchn'!$A$4:$C$170,3,0)),"",VLOOKUP(Tableau13[[#This Row],[Code machine]],'CODE mchn'!$A$4:$C$170,3,0))</f>
        <v>Poyatos 2</v>
      </c>
      <c r="E1573" s="105">
        <v>25076</v>
      </c>
      <c r="F1573" s="36"/>
      <c r="G1573" s="184" t="s">
        <v>43</v>
      </c>
      <c r="H1573" s="184" t="s">
        <v>2793</v>
      </c>
      <c r="I1573" s="184" t="s">
        <v>2726</v>
      </c>
      <c r="J1573" s="251" t="s">
        <v>2794</v>
      </c>
      <c r="K1573" s="185">
        <v>44343</v>
      </c>
      <c r="L1573" s="184"/>
      <c r="M1573" s="186">
        <v>30</v>
      </c>
      <c r="N1573" s="186">
        <f>MONTH(Tableau13[[#This Row],[Date fin intervention]])</f>
        <v>5</v>
      </c>
      <c r="O1573" s="186">
        <f>YEAR(Tableau13[[#This Row],[Date fin intervention]])</f>
        <v>2021</v>
      </c>
      <c r="P1573" s="184"/>
    </row>
    <row r="1574" spans="1:16">
      <c r="A1574" s="181">
        <v>44343</v>
      </c>
      <c r="B1574" s="182">
        <v>570</v>
      </c>
      <c r="C1574" s="183" t="str">
        <f>IF(ISNA(VLOOKUP(Tableau13[[#This Row],[Code machine]],'CODE mchn'!$A$4:$C$170,2,0)),"",VLOOKUP(Tableau13[[#This Row],[Code machine]],'CODE mchn'!$A$4:$C$170,2,0))</f>
        <v>Acier</v>
      </c>
      <c r="D1574" s="184" t="str">
        <f>IF(ISNA(VLOOKUP(Tableau13[[#This Row],[Code machine]],'CODE mchn'!$A$4:$C$170,3,0)),"",VLOOKUP(Tableau13[[#This Row],[Code machine]],'CODE mchn'!$A$4:$C$170,3,0))</f>
        <v>Sigmatic</v>
      </c>
      <c r="E1574" s="105">
        <v>25168</v>
      </c>
      <c r="F1574" s="36"/>
      <c r="G1574" s="184" t="s">
        <v>78</v>
      </c>
      <c r="H1574" s="184" t="s">
        <v>2777</v>
      </c>
      <c r="I1574" s="184" t="s">
        <v>107</v>
      </c>
      <c r="J1574" s="251" t="s">
        <v>1469</v>
      </c>
      <c r="K1574" s="185">
        <v>44343</v>
      </c>
      <c r="L1574" s="184"/>
      <c r="M1574" s="186">
        <v>45</v>
      </c>
      <c r="N1574" s="186">
        <f>MONTH(Tableau13[[#This Row],[Date fin intervention]])</f>
        <v>5</v>
      </c>
      <c r="O1574" s="186">
        <f>YEAR(Tableau13[[#This Row],[Date fin intervention]])</f>
        <v>2021</v>
      </c>
      <c r="P1574" s="184"/>
    </row>
    <row r="1575" spans="1:16">
      <c r="A1575" s="181">
        <v>44344</v>
      </c>
      <c r="B1575" s="182">
        <v>800</v>
      </c>
      <c r="C1575" s="183" t="str">
        <f>IF(ISNA(VLOOKUP(Tableau13[[#This Row],[Code machine]],'CODE mchn'!$A$4:$C$170,2,0)),"",VLOOKUP(Tableau13[[#This Row],[Code machine]],'CODE mchn'!$A$4:$C$170,2,0))</f>
        <v>Béton</v>
      </c>
      <c r="D1575" s="184" t="str">
        <f>IF(ISNA(VLOOKUP(Tableau13[[#This Row],[Code machine]],'CODE mchn'!$A$4:$C$170,3,0)),"",VLOOKUP(Tableau13[[#This Row],[Code machine]],'CODE mchn'!$A$4:$C$170,3,0))</f>
        <v>Poyatos 2</v>
      </c>
      <c r="E1575" s="105">
        <v>25074</v>
      </c>
      <c r="F1575" s="36"/>
      <c r="G1575" s="184" t="s">
        <v>185</v>
      </c>
      <c r="H1575" s="184" t="s">
        <v>2289</v>
      </c>
      <c r="I1575" s="184" t="s">
        <v>2772</v>
      </c>
      <c r="J1575" s="251" t="s">
        <v>2773</v>
      </c>
      <c r="K1575" s="185">
        <v>44344</v>
      </c>
      <c r="L1575" s="184"/>
      <c r="M1575" s="186">
        <v>180</v>
      </c>
      <c r="N1575" s="186">
        <f>MONTH(Tableau13[[#This Row],[Date fin intervention]])</f>
        <v>5</v>
      </c>
      <c r="O1575" s="186">
        <f>YEAR(Tableau13[[#This Row],[Date fin intervention]])</f>
        <v>2021</v>
      </c>
      <c r="P1575" s="184"/>
    </row>
    <row r="1576" spans="1:16">
      <c r="A1576" s="181">
        <v>44344</v>
      </c>
      <c r="B1576" s="182">
        <v>565</v>
      </c>
      <c r="C1576" s="183" t="str">
        <f>IF(ISNA(VLOOKUP(Tableau13[[#This Row],[Code machine]],'CODE mchn'!$A$4:$C$170,2,0)),"",VLOOKUP(Tableau13[[#This Row],[Code machine]],'CODE mchn'!$A$4:$C$170,2,0))</f>
        <v>Acier</v>
      </c>
      <c r="D1576" s="184" t="str">
        <f>IF(ISNA(VLOOKUP(Tableau13[[#This Row],[Code machine]],'CODE mchn'!$A$4:$C$170,3,0)),"",VLOOKUP(Tableau13[[#This Row],[Code machine]],'CODE mchn'!$A$4:$C$170,3,0))</f>
        <v>EVG GE12</v>
      </c>
      <c r="E1576" s="105">
        <v>25170</v>
      </c>
      <c r="F1576" s="36"/>
      <c r="G1576" s="184" t="s">
        <v>1101</v>
      </c>
      <c r="H1576" s="184" t="s">
        <v>2781</v>
      </c>
      <c r="I1576" s="184" t="s">
        <v>8</v>
      </c>
      <c r="J1576" s="251" t="s">
        <v>2782</v>
      </c>
      <c r="K1576" s="185">
        <v>44344</v>
      </c>
      <c r="L1576" s="184"/>
      <c r="M1576" s="186">
        <v>30</v>
      </c>
      <c r="N1576" s="186">
        <f>MONTH(Tableau13[[#This Row],[Date fin intervention]])</f>
        <v>5</v>
      </c>
      <c r="O1576" s="186">
        <f>YEAR(Tableau13[[#This Row],[Date fin intervention]])</f>
        <v>2021</v>
      </c>
      <c r="P1576" s="184"/>
    </row>
    <row r="1577" spans="1:16">
      <c r="A1577" s="181">
        <v>44345</v>
      </c>
      <c r="B1577" s="182">
        <v>570</v>
      </c>
      <c r="C1577" s="183" t="str">
        <f>IF(ISNA(VLOOKUP(Tableau13[[#This Row],[Code machine]],'CODE mchn'!$A$4:$C$170,2,0)),"",VLOOKUP(Tableau13[[#This Row],[Code machine]],'CODE mchn'!$A$4:$C$170,2,0))</f>
        <v>Acier</v>
      </c>
      <c r="D1577" s="184" t="str">
        <f>IF(ISNA(VLOOKUP(Tableau13[[#This Row],[Code machine]],'CODE mchn'!$A$4:$C$170,3,0)),"",VLOOKUP(Tableau13[[#This Row],[Code machine]],'CODE mchn'!$A$4:$C$170,3,0))</f>
        <v>Sigmatic</v>
      </c>
      <c r="E1577" s="105">
        <v>25172</v>
      </c>
      <c r="F1577" s="36"/>
      <c r="G1577" s="184" t="s">
        <v>20</v>
      </c>
      <c r="H1577" s="184" t="s">
        <v>1971</v>
      </c>
      <c r="I1577" s="184" t="s">
        <v>182</v>
      </c>
      <c r="J1577" s="251" t="s">
        <v>2783</v>
      </c>
      <c r="K1577" s="185">
        <v>44345</v>
      </c>
      <c r="L1577" s="184"/>
      <c r="M1577" s="186">
        <v>15</v>
      </c>
      <c r="N1577" s="186">
        <f>MONTH(Tableau13[[#This Row],[Date fin intervention]])</f>
        <v>5</v>
      </c>
      <c r="O1577" s="186">
        <f>YEAR(Tableau13[[#This Row],[Date fin intervention]])</f>
        <v>2021</v>
      </c>
      <c r="P1577" s="184"/>
    </row>
    <row r="1578" spans="1:16">
      <c r="A1578" s="181">
        <v>44347</v>
      </c>
      <c r="B1578" s="182">
        <v>570</v>
      </c>
      <c r="C1578" s="183" t="str">
        <f>IF(ISNA(VLOOKUP(Tableau13[[#This Row],[Code machine]],'CODE mchn'!$A$4:$C$170,2,0)),"",VLOOKUP(Tableau13[[#This Row],[Code machine]],'CODE mchn'!$A$4:$C$170,2,0))</f>
        <v>Acier</v>
      </c>
      <c r="D1578" s="184" t="str">
        <f>IF(ISNA(VLOOKUP(Tableau13[[#This Row],[Code machine]],'CODE mchn'!$A$4:$C$170,3,0)),"",VLOOKUP(Tableau13[[#This Row],[Code machine]],'CODE mchn'!$A$4:$C$170,3,0))</f>
        <v>Sigmatic</v>
      </c>
      <c r="E1578" s="105">
        <v>25173</v>
      </c>
      <c r="F1578" s="36"/>
      <c r="G1578" s="184" t="s">
        <v>2784</v>
      </c>
      <c r="H1578" s="184" t="s">
        <v>2785</v>
      </c>
      <c r="I1578" s="184" t="s">
        <v>107</v>
      </c>
      <c r="J1578" s="251" t="s">
        <v>2786</v>
      </c>
      <c r="K1578" s="185">
        <v>44347</v>
      </c>
      <c r="L1578" s="184"/>
      <c r="M1578" s="186">
        <v>60</v>
      </c>
      <c r="N1578" s="186">
        <f>MONTH(Tableau13[[#This Row],[Date fin intervention]])</f>
        <v>5</v>
      </c>
      <c r="O1578" s="186">
        <f>YEAR(Tableau13[[#This Row],[Date fin intervention]])</f>
        <v>2021</v>
      </c>
      <c r="P1578" s="184"/>
    </row>
    <row r="1579" spans="1:16">
      <c r="A1579" s="181">
        <v>44347</v>
      </c>
      <c r="B1579" s="182">
        <v>604</v>
      </c>
      <c r="C1579" s="183" t="str">
        <f>IF(ISNA(VLOOKUP(Tableau13[[#This Row],[Code machine]],'CODE mchn'!$A$4:$C$170,2,0)),"",VLOOKUP(Tableau13[[#This Row],[Code machine]],'CODE mchn'!$A$4:$C$170,2,0))</f>
        <v>Acier</v>
      </c>
      <c r="D1579" s="184" t="str">
        <f>IF(ISNA(VLOOKUP(Tableau13[[#This Row],[Code machine]],'CODE mchn'!$A$4:$C$170,3,0)),"",VLOOKUP(Tableau13[[#This Row],[Code machine]],'CODE mchn'!$A$4:$C$170,3,0))</f>
        <v>TI</v>
      </c>
      <c r="E1579" s="105">
        <v>25174</v>
      </c>
      <c r="F1579" s="36"/>
      <c r="G1579" s="184" t="s">
        <v>10</v>
      </c>
      <c r="H1579" s="184" t="s">
        <v>2787</v>
      </c>
      <c r="I1579" s="184" t="s">
        <v>107</v>
      </c>
      <c r="J1579" s="251" t="s">
        <v>549</v>
      </c>
      <c r="K1579" s="185">
        <v>44347</v>
      </c>
      <c r="L1579" s="184"/>
      <c r="M1579" s="186">
        <v>45</v>
      </c>
      <c r="N1579" s="186">
        <f>MONTH(Tableau13[[#This Row],[Date fin intervention]])</f>
        <v>5</v>
      </c>
      <c r="O1579" s="186">
        <f>YEAR(Tableau13[[#This Row],[Date fin intervention]])</f>
        <v>2021</v>
      </c>
      <c r="P1579" s="184"/>
    </row>
    <row r="1580" spans="1:16">
      <c r="A1580" s="181">
        <v>44347</v>
      </c>
      <c r="B1580" s="182">
        <v>560</v>
      </c>
      <c r="C1580" s="183" t="str">
        <f>IF(ISNA(VLOOKUP(Tableau13[[#This Row],[Code machine]],'CODE mchn'!$A$4:$C$170,2,0)),"",VLOOKUP(Tableau13[[#This Row],[Code machine]],'CODE mchn'!$A$4:$C$170,2,0))</f>
        <v>Acier</v>
      </c>
      <c r="D1580" s="184" t="str">
        <f>IF(ISNA(VLOOKUP(Tableau13[[#This Row],[Code machine]],'CODE mchn'!$A$4:$C$170,3,0)),"",VLOOKUP(Tableau13[[#This Row],[Code machine]],'CODE mchn'!$A$4:$C$170,3,0))</f>
        <v>Schlatter</v>
      </c>
      <c r="E1580" s="105">
        <v>25175</v>
      </c>
      <c r="F1580" s="36"/>
      <c r="G1580" s="184" t="s">
        <v>2742</v>
      </c>
      <c r="H1580" s="184" t="s">
        <v>2743</v>
      </c>
      <c r="I1580" s="184" t="s">
        <v>2744</v>
      </c>
      <c r="J1580" s="251" t="s">
        <v>2468</v>
      </c>
      <c r="K1580" s="185">
        <v>44347</v>
      </c>
      <c r="L1580" s="184"/>
      <c r="M1580" s="186">
        <v>60</v>
      </c>
      <c r="N1580" s="186">
        <f>MONTH(Tableau13[[#This Row],[Date fin intervention]])</f>
        <v>5</v>
      </c>
      <c r="O1580" s="186">
        <f>YEAR(Tableau13[[#This Row],[Date fin intervention]])</f>
        <v>2021</v>
      </c>
      <c r="P1580" s="184"/>
    </row>
    <row r="1581" spans="1:16">
      <c r="A1581" s="181">
        <v>44347</v>
      </c>
      <c r="B1581" s="182">
        <v>571</v>
      </c>
      <c r="C1581" s="183" t="str">
        <f>IF(ISNA(VLOOKUP(Tableau13[[#This Row],[Code machine]],'CODE mchn'!$A$4:$C$170,2,0)),"",VLOOKUP(Tableau13[[#This Row],[Code machine]],'CODE mchn'!$A$4:$C$170,2,0))</f>
        <v>Acier</v>
      </c>
      <c r="D1581" s="184" t="str">
        <f>IF(ISNA(VLOOKUP(Tableau13[[#This Row],[Code machine]],'CODE mchn'!$A$4:$C$170,3,0)),"",VLOOKUP(Tableau13[[#This Row],[Code machine]],'CODE mchn'!$A$4:$C$170,3,0))</f>
        <v>EVG PN 1</v>
      </c>
      <c r="E1581" s="105">
        <v>25108</v>
      </c>
      <c r="F1581" s="36"/>
      <c r="G1581" s="184" t="s">
        <v>982</v>
      </c>
      <c r="H1581" s="184" t="s">
        <v>2791</v>
      </c>
      <c r="I1581" s="184" t="s">
        <v>107</v>
      </c>
      <c r="J1581" s="251" t="s">
        <v>2792</v>
      </c>
      <c r="K1581" s="185">
        <v>44347</v>
      </c>
      <c r="L1581" s="184"/>
      <c r="M1581" s="186">
        <v>60</v>
      </c>
      <c r="N1581" s="186">
        <f>MONTH(Tableau13[[#This Row],[Date fin intervention]])</f>
        <v>5</v>
      </c>
      <c r="O1581" s="186">
        <f>YEAR(Tableau13[[#This Row],[Date fin intervention]])</f>
        <v>2021</v>
      </c>
      <c r="P1581" s="184"/>
    </row>
    <row r="1582" spans="1:16">
      <c r="A1582" s="181">
        <v>44348</v>
      </c>
      <c r="B1582" s="182">
        <v>581</v>
      </c>
      <c r="C1582" s="183" t="str">
        <f>IF(ISNA(VLOOKUP(Tableau13[[#This Row],[Code machine]],'CODE mchn'!$A$4:$C$170,2,0)),"",VLOOKUP(Tableau13[[#This Row],[Code machine]],'CODE mchn'!$A$4:$C$170,2,0))</f>
        <v>Acier</v>
      </c>
      <c r="D1582" s="184" t="str">
        <f>IF(ISNA(VLOOKUP(Tableau13[[#This Row],[Code machine]],'CODE mchn'!$A$4:$C$170,3,0)),"",VLOOKUP(Tableau13[[#This Row],[Code machine]],'CODE mchn'!$A$4:$C$170,3,0))</f>
        <v>Teurema 1</v>
      </c>
      <c r="E1582" s="105">
        <v>24501</v>
      </c>
      <c r="F1582" s="36"/>
      <c r="G1582" s="184" t="s">
        <v>2801</v>
      </c>
      <c r="H1582" s="184" t="s">
        <v>2795</v>
      </c>
      <c r="I1582" s="184" t="s">
        <v>107</v>
      </c>
      <c r="J1582" s="251" t="s">
        <v>2796</v>
      </c>
      <c r="K1582" s="185">
        <v>44348</v>
      </c>
      <c r="L1582" s="184"/>
      <c r="M1582" s="186"/>
      <c r="N1582" s="186">
        <f>MONTH(Tableau13[[#This Row],[Date fin intervention]])</f>
        <v>6</v>
      </c>
      <c r="O1582" s="186">
        <f>YEAR(Tableau13[[#This Row],[Date fin intervention]])</f>
        <v>2021</v>
      </c>
      <c r="P1582" s="184"/>
    </row>
    <row r="1583" spans="1:16">
      <c r="A1583" s="181">
        <v>44348</v>
      </c>
      <c r="B1583" s="182">
        <v>582</v>
      </c>
      <c r="C1583" s="183" t="str">
        <f>IF(ISNA(VLOOKUP(Tableau13[[#This Row],[Code machine]],'CODE mchn'!$A$4:$C$170,2,0)),"",VLOOKUP(Tableau13[[#This Row],[Code machine]],'CODE mchn'!$A$4:$C$170,2,0))</f>
        <v>Acier</v>
      </c>
      <c r="D1583" s="184" t="str">
        <f>IF(ISNA(VLOOKUP(Tableau13[[#This Row],[Code machine]],'CODE mchn'!$A$4:$C$170,3,0)),"",VLOOKUP(Tableau13[[#This Row],[Code machine]],'CODE mchn'!$A$4:$C$170,3,0))</f>
        <v>Teurema 2</v>
      </c>
      <c r="E1583" s="105">
        <v>24502</v>
      </c>
      <c r="F1583" s="36"/>
      <c r="G1583" s="184" t="s">
        <v>1640</v>
      </c>
      <c r="H1583" s="184" t="s">
        <v>2797</v>
      </c>
      <c r="I1583" s="184" t="s">
        <v>107</v>
      </c>
      <c r="J1583" s="251" t="s">
        <v>2798</v>
      </c>
      <c r="K1583" s="185">
        <v>44348</v>
      </c>
      <c r="L1583" s="184"/>
      <c r="M1583" s="186">
        <v>30</v>
      </c>
      <c r="N1583" s="186">
        <f>MONTH(Tableau13[[#This Row],[Date fin intervention]])</f>
        <v>6</v>
      </c>
      <c r="O1583" s="186">
        <f>YEAR(Tableau13[[#This Row],[Date fin intervention]])</f>
        <v>2021</v>
      </c>
      <c r="P1583" s="184"/>
    </row>
    <row r="1584" spans="1:16">
      <c r="A1584" s="181">
        <v>44348</v>
      </c>
      <c r="B1584" s="182">
        <v>581</v>
      </c>
      <c r="C1584" s="183" t="str">
        <f>IF(ISNA(VLOOKUP(Tableau13[[#This Row],[Code machine]],'CODE mchn'!$A$4:$C$170,2,0)),"",VLOOKUP(Tableau13[[#This Row],[Code machine]],'CODE mchn'!$A$4:$C$170,2,0))</f>
        <v>Acier</v>
      </c>
      <c r="D1584" s="184" t="str">
        <f>IF(ISNA(VLOOKUP(Tableau13[[#This Row],[Code machine]],'CODE mchn'!$A$4:$C$170,3,0)),"",VLOOKUP(Tableau13[[#This Row],[Code machine]],'CODE mchn'!$A$4:$C$170,3,0))</f>
        <v>Teurema 1</v>
      </c>
      <c r="E1584" s="105">
        <v>24503</v>
      </c>
      <c r="F1584" s="36"/>
      <c r="G1584" s="184" t="s">
        <v>2801</v>
      </c>
      <c r="H1584" s="184" t="s">
        <v>2799</v>
      </c>
      <c r="I1584" s="184" t="s">
        <v>107</v>
      </c>
      <c r="J1584" s="251" t="s">
        <v>2800</v>
      </c>
      <c r="K1584" s="185">
        <v>44348</v>
      </c>
      <c r="L1584" s="184"/>
      <c r="M1584" s="186">
        <v>180</v>
      </c>
      <c r="N1584" s="186">
        <f>MONTH(Tableau13[[#This Row],[Date fin intervention]])</f>
        <v>6</v>
      </c>
      <c r="O1584" s="186">
        <f>YEAR(Tableau13[[#This Row],[Date fin intervention]])</f>
        <v>2021</v>
      </c>
      <c r="P1584" s="184"/>
    </row>
    <row r="1585" spans="1:16">
      <c r="A1585" s="181">
        <v>44348</v>
      </c>
      <c r="B1585" s="182">
        <v>700</v>
      </c>
      <c r="C1585" s="183" t="str">
        <f>IF(ISNA(VLOOKUP(Tableau13[[#This Row],[Code machine]],'CODE mchn'!$A$4:$C$170,2,0)),"",VLOOKUP(Tableau13[[#This Row],[Code machine]],'CODE mchn'!$A$4:$C$170,2,0))</f>
        <v>Béton</v>
      </c>
      <c r="D1585" s="184" t="str">
        <f>IF(ISNA(VLOOKUP(Tableau13[[#This Row],[Code machine]],'CODE mchn'!$A$4:$C$170,3,0)),"",VLOOKUP(Tableau13[[#This Row],[Code machine]],'CODE mchn'!$A$4:$C$170,3,0))</f>
        <v>Poyatos 1</v>
      </c>
      <c r="E1585" s="105">
        <v>25501</v>
      </c>
      <c r="F1585" s="36"/>
      <c r="G1585" s="184" t="s">
        <v>2816</v>
      </c>
      <c r="H1585" s="184" t="s">
        <v>2870</v>
      </c>
      <c r="I1585" s="184" t="s">
        <v>107</v>
      </c>
      <c r="J1585" s="251" t="s">
        <v>2817</v>
      </c>
      <c r="K1585" s="185">
        <v>44348</v>
      </c>
      <c r="L1585" s="184"/>
      <c r="M1585" s="186">
        <v>45</v>
      </c>
      <c r="N1585" s="186">
        <f>MONTH(Tableau13[[#This Row],[Date fin intervention]])</f>
        <v>6</v>
      </c>
      <c r="O1585" s="186">
        <f>YEAR(Tableau13[[#This Row],[Date fin intervention]])</f>
        <v>2021</v>
      </c>
      <c r="P1585" s="184"/>
    </row>
    <row r="1586" spans="1:16">
      <c r="A1586" s="181">
        <v>44348</v>
      </c>
      <c r="B1586" s="182">
        <v>700</v>
      </c>
      <c r="C1586" s="183" t="str">
        <f>IF(ISNA(VLOOKUP(Tableau13[[#This Row],[Code machine]],'CODE mchn'!$A$4:$C$170,2,0)),"",VLOOKUP(Tableau13[[#This Row],[Code machine]],'CODE mchn'!$A$4:$C$170,2,0))</f>
        <v>Béton</v>
      </c>
      <c r="D1586" s="184" t="str">
        <f>IF(ISNA(VLOOKUP(Tableau13[[#This Row],[Code machine]],'CODE mchn'!$A$4:$C$170,3,0)),"",VLOOKUP(Tableau13[[#This Row],[Code machine]],'CODE mchn'!$A$4:$C$170,3,0))</f>
        <v>Poyatos 1</v>
      </c>
      <c r="E1586" s="105">
        <v>25502</v>
      </c>
      <c r="F1586" s="36"/>
      <c r="G1586" s="184" t="s">
        <v>2818</v>
      </c>
      <c r="H1586" s="184" t="s">
        <v>2819</v>
      </c>
      <c r="I1586" s="184" t="s">
        <v>107</v>
      </c>
      <c r="J1586" s="183" t="s">
        <v>2820</v>
      </c>
      <c r="K1586" s="185">
        <v>44348</v>
      </c>
      <c r="L1586" s="184"/>
      <c r="M1586" s="186">
        <v>60</v>
      </c>
      <c r="N1586" s="186">
        <f>MONTH(Tableau13[[#This Row],[Date fin intervention]])</f>
        <v>6</v>
      </c>
      <c r="O1586" s="186">
        <f>YEAR(Tableau13[[#This Row],[Date fin intervention]])</f>
        <v>2021</v>
      </c>
      <c r="P1586" s="184"/>
    </row>
    <row r="1587" spans="1:16">
      <c r="A1587" s="181">
        <v>44348</v>
      </c>
      <c r="B1587" s="182">
        <v>565</v>
      </c>
      <c r="C1587" s="183" t="str">
        <f>IF(ISNA(VLOOKUP(Tableau13[[#This Row],[Code machine]],'CODE mchn'!$A$4:$C$170,2,0)),"",VLOOKUP(Tableau13[[#This Row],[Code machine]],'CODE mchn'!$A$4:$C$170,2,0))</f>
        <v>Acier</v>
      </c>
      <c r="D1587" s="184" t="str">
        <f>IF(ISNA(VLOOKUP(Tableau13[[#This Row],[Code machine]],'CODE mchn'!$A$4:$C$170,3,0)),"",VLOOKUP(Tableau13[[#This Row],[Code machine]],'CODE mchn'!$A$4:$C$170,3,0))</f>
        <v>EVG GE12</v>
      </c>
      <c r="E1587" s="105">
        <v>25551</v>
      </c>
      <c r="F1587" s="36"/>
      <c r="G1587" s="184" t="s">
        <v>2853</v>
      </c>
      <c r="H1587" s="184" t="s">
        <v>2854</v>
      </c>
      <c r="I1587" s="184" t="s">
        <v>107</v>
      </c>
      <c r="J1587" s="251" t="s">
        <v>2855</v>
      </c>
      <c r="K1587" s="185">
        <v>44348</v>
      </c>
      <c r="L1587" s="184"/>
      <c r="M1587" s="186">
        <v>25</v>
      </c>
      <c r="N1587" s="186">
        <f>MONTH(Tableau13[[#This Row],[Date fin intervention]])</f>
        <v>6</v>
      </c>
      <c r="O1587" s="186">
        <f>YEAR(Tableau13[[#This Row],[Date fin intervention]])</f>
        <v>2021</v>
      </c>
      <c r="P1587" s="184"/>
    </row>
    <row r="1588" spans="1:16">
      <c r="A1588" s="181">
        <v>44348</v>
      </c>
      <c r="B1588" s="182">
        <v>607</v>
      </c>
      <c r="C1588" s="183" t="str">
        <f>IF(ISNA(VLOOKUP(Tableau13[[#This Row],[Code machine]],'CODE mchn'!$A$4:$C$170,2,0)),"",VLOOKUP(Tableau13[[#This Row],[Code machine]],'CODE mchn'!$A$4:$C$170,2,0))</f>
        <v>Acier</v>
      </c>
      <c r="D1588" s="184" t="str">
        <f>IF(ISNA(VLOOKUP(Tableau13[[#This Row],[Code machine]],'CODE mchn'!$A$4:$C$170,3,0)),"",VLOOKUP(Tableau13[[#This Row],[Code machine]],'CODE mchn'!$A$4:$C$170,3,0))</f>
        <v>Vitari 3</v>
      </c>
      <c r="E1588" s="105"/>
      <c r="F1588" s="36"/>
      <c r="G1588" s="184" t="s">
        <v>10</v>
      </c>
      <c r="H1588" s="184" t="s">
        <v>479</v>
      </c>
      <c r="I1588" s="184"/>
      <c r="J1588" s="251" t="s">
        <v>2893</v>
      </c>
      <c r="K1588" s="185">
        <v>44377</v>
      </c>
      <c r="L1588" s="184"/>
      <c r="M1588" s="186">
        <f>8*26*60*2</f>
        <v>24960</v>
      </c>
      <c r="N1588" s="186">
        <f>MONTH(Tableau13[[#This Row],[Date fin intervention]])</f>
        <v>6</v>
      </c>
      <c r="O1588" s="186">
        <f>YEAR(Tableau13[[#This Row],[Date fin intervention]])</f>
        <v>2021</v>
      </c>
      <c r="P1588" s="184"/>
    </row>
    <row r="1589" spans="1:16">
      <c r="A1589" s="181">
        <v>44349</v>
      </c>
      <c r="B1589" s="182">
        <v>800</v>
      </c>
      <c r="C1589" s="183" t="str">
        <f>IF(ISNA(VLOOKUP(Tableau13[[#This Row],[Code machine]],'CODE mchn'!$A$4:$C$170,2,0)),"",VLOOKUP(Tableau13[[#This Row],[Code machine]],'CODE mchn'!$A$4:$C$170,2,0))</f>
        <v>Béton</v>
      </c>
      <c r="D1589" s="184" t="str">
        <f>IF(ISNA(VLOOKUP(Tableau13[[#This Row],[Code machine]],'CODE mchn'!$A$4:$C$170,3,0)),"",VLOOKUP(Tableau13[[#This Row],[Code machine]],'CODE mchn'!$A$4:$C$170,3,0))</f>
        <v>Poyatos 2</v>
      </c>
      <c r="E1589" s="105">
        <v>25503</v>
      </c>
      <c r="F1589" s="36"/>
      <c r="G1589" s="184" t="s">
        <v>185</v>
      </c>
      <c r="H1589" s="184" t="s">
        <v>2821</v>
      </c>
      <c r="I1589" s="184" t="s">
        <v>8</v>
      </c>
      <c r="J1589" s="183" t="s">
        <v>2822</v>
      </c>
      <c r="K1589" s="185">
        <v>44349</v>
      </c>
      <c r="L1589" s="184"/>
      <c r="M1589" s="186">
        <f>120</f>
        <v>120</v>
      </c>
      <c r="N1589" s="186">
        <f>MONTH(Tableau13[[#This Row],[Date fin intervention]])</f>
        <v>6</v>
      </c>
      <c r="O1589" s="186">
        <f>YEAR(Tableau13[[#This Row],[Date fin intervention]])</f>
        <v>2021</v>
      </c>
      <c r="P1589" s="184"/>
    </row>
    <row r="1590" spans="1:16">
      <c r="A1590" s="181">
        <v>44349</v>
      </c>
      <c r="B1590" s="182">
        <v>604</v>
      </c>
      <c r="C1590" s="183" t="str">
        <f>IF(ISNA(VLOOKUP(Tableau13[[#This Row],[Code machine]],'CODE mchn'!$A$4:$C$170,2,0)),"",VLOOKUP(Tableau13[[#This Row],[Code machine]],'CODE mchn'!$A$4:$C$170,2,0))</f>
        <v>Acier</v>
      </c>
      <c r="D1590" s="184" t="str">
        <f>IF(ISNA(VLOOKUP(Tableau13[[#This Row],[Code machine]],'CODE mchn'!$A$4:$C$170,3,0)),"",VLOOKUP(Tableau13[[#This Row],[Code machine]],'CODE mchn'!$A$4:$C$170,3,0))</f>
        <v>TI</v>
      </c>
      <c r="E1590" s="105">
        <v>24551</v>
      </c>
      <c r="F1590" s="36"/>
      <c r="G1590" s="184" t="s">
        <v>10</v>
      </c>
      <c r="H1590" s="184" t="s">
        <v>2787</v>
      </c>
      <c r="I1590" s="184" t="s">
        <v>107</v>
      </c>
      <c r="J1590" s="183" t="s">
        <v>549</v>
      </c>
      <c r="K1590" s="185">
        <v>44349</v>
      </c>
      <c r="L1590" s="184"/>
      <c r="M1590" s="186">
        <v>60</v>
      </c>
      <c r="N1590" s="186">
        <f>MONTH(Tableau13[[#This Row],[Date fin intervention]])</f>
        <v>6</v>
      </c>
      <c r="O1590" s="186">
        <f>YEAR(Tableau13[[#This Row],[Date fin intervention]])</f>
        <v>2021</v>
      </c>
      <c r="P1590" s="184"/>
    </row>
    <row r="1591" spans="1:16">
      <c r="A1591" s="181">
        <v>44349</v>
      </c>
      <c r="B1591" s="182">
        <v>560</v>
      </c>
      <c r="C1591" s="183" t="str">
        <f>IF(ISNA(VLOOKUP(Tableau13[[#This Row],[Code machine]],'CODE mchn'!$A$4:$C$170,2,0)),"",VLOOKUP(Tableau13[[#This Row],[Code machine]],'CODE mchn'!$A$4:$C$170,2,0))</f>
        <v>Acier</v>
      </c>
      <c r="D1591" s="184" t="str">
        <f>IF(ISNA(VLOOKUP(Tableau13[[#This Row],[Code machine]],'CODE mchn'!$A$4:$C$170,3,0)),"",VLOOKUP(Tableau13[[#This Row],[Code machine]],'CODE mchn'!$A$4:$C$170,3,0))</f>
        <v>Schlatter</v>
      </c>
      <c r="E1591" s="105">
        <v>25552</v>
      </c>
      <c r="F1591" s="36"/>
      <c r="G1591" s="184" t="s">
        <v>2856</v>
      </c>
      <c r="H1591" s="184" t="s">
        <v>2857</v>
      </c>
      <c r="I1591" s="184" t="s">
        <v>107</v>
      </c>
      <c r="J1591" s="251" t="s">
        <v>2858</v>
      </c>
      <c r="K1591" s="185">
        <v>44349</v>
      </c>
      <c r="L1591" s="184"/>
      <c r="M1591" s="186">
        <v>15</v>
      </c>
      <c r="N1591" s="186">
        <f>MONTH(Tableau13[[#This Row],[Date fin intervention]])</f>
        <v>6</v>
      </c>
      <c r="O1591" s="186">
        <f>YEAR(Tableau13[[#This Row],[Date fin intervention]])</f>
        <v>2021</v>
      </c>
      <c r="P1591" s="184"/>
    </row>
    <row r="1592" spans="1:16">
      <c r="A1592" s="181">
        <v>44350</v>
      </c>
      <c r="B1592" s="182">
        <v>800</v>
      </c>
      <c r="C1592" s="183" t="str">
        <f>IF(ISNA(VLOOKUP(Tableau13[[#This Row],[Code machine]],'CODE mchn'!$A$4:$C$170,2,0)),"",VLOOKUP(Tableau13[[#This Row],[Code machine]],'CODE mchn'!$A$4:$C$170,2,0))</f>
        <v>Béton</v>
      </c>
      <c r="D1592" s="184" t="str">
        <f>IF(ISNA(VLOOKUP(Tableau13[[#This Row],[Code machine]],'CODE mchn'!$A$4:$C$170,3,0)),"",VLOOKUP(Tableau13[[#This Row],[Code machine]],'CODE mchn'!$A$4:$C$170,3,0))</f>
        <v>Poyatos 2</v>
      </c>
      <c r="E1592" s="105">
        <v>25504</v>
      </c>
      <c r="F1592" s="36"/>
      <c r="G1592" s="184" t="s">
        <v>49</v>
      </c>
      <c r="H1592" s="184" t="s">
        <v>2823</v>
      </c>
      <c r="I1592" s="184" t="s">
        <v>107</v>
      </c>
      <c r="J1592" s="183" t="s">
        <v>2824</v>
      </c>
      <c r="K1592" s="185">
        <v>44350</v>
      </c>
      <c r="L1592" s="184"/>
      <c r="M1592" s="186">
        <v>60</v>
      </c>
      <c r="N1592" s="186">
        <f>MONTH(Tableau13[[#This Row],[Date fin intervention]])</f>
        <v>6</v>
      </c>
      <c r="O1592" s="186">
        <f>YEAR(Tableau13[[#This Row],[Date fin intervention]])</f>
        <v>2021</v>
      </c>
      <c r="P1592" s="184"/>
    </row>
    <row r="1593" spans="1:16">
      <c r="A1593" s="181">
        <v>44350</v>
      </c>
      <c r="B1593" s="182">
        <v>700</v>
      </c>
      <c r="C1593" s="183" t="str">
        <f>IF(ISNA(VLOOKUP(Tableau13[[#This Row],[Code machine]],'CODE mchn'!$A$4:$C$170,2,0)),"",VLOOKUP(Tableau13[[#This Row],[Code machine]],'CODE mchn'!$A$4:$C$170,2,0))</f>
        <v>Béton</v>
      </c>
      <c r="D1593" s="184" t="str">
        <f>IF(ISNA(VLOOKUP(Tableau13[[#This Row],[Code machine]],'CODE mchn'!$A$4:$C$170,3,0)),"",VLOOKUP(Tableau13[[#This Row],[Code machine]],'CODE mchn'!$A$4:$C$170,3,0))</f>
        <v>Poyatos 1</v>
      </c>
      <c r="E1593" s="105">
        <v>25505</v>
      </c>
      <c r="F1593" s="36"/>
      <c r="G1593" s="184" t="s">
        <v>2774</v>
      </c>
      <c r="H1593" s="184" t="s">
        <v>2825</v>
      </c>
      <c r="I1593" s="184" t="s">
        <v>182</v>
      </c>
      <c r="J1593" s="183" t="s">
        <v>2826</v>
      </c>
      <c r="K1593" s="185">
        <v>44350</v>
      </c>
      <c r="L1593" s="184"/>
      <c r="M1593" s="186">
        <v>15</v>
      </c>
      <c r="N1593" s="186">
        <f>MONTH(Tableau13[[#This Row],[Date fin intervention]])</f>
        <v>6</v>
      </c>
      <c r="O1593" s="186">
        <f>YEAR(Tableau13[[#This Row],[Date fin intervention]])</f>
        <v>2021</v>
      </c>
      <c r="P1593" s="184"/>
    </row>
    <row r="1594" spans="1:16">
      <c r="A1594" s="181">
        <v>44350</v>
      </c>
      <c r="B1594" s="182">
        <v>700</v>
      </c>
      <c r="C1594" s="183" t="str">
        <f>IF(ISNA(VLOOKUP(Tableau13[[#This Row],[Code machine]],'CODE mchn'!$A$4:$C$170,2,0)),"",VLOOKUP(Tableau13[[#This Row],[Code machine]],'CODE mchn'!$A$4:$C$170,2,0))</f>
        <v>Béton</v>
      </c>
      <c r="D1594" s="184" t="str">
        <f>IF(ISNA(VLOOKUP(Tableau13[[#This Row],[Code machine]],'CODE mchn'!$A$4:$C$170,3,0)),"",VLOOKUP(Tableau13[[#This Row],[Code machine]],'CODE mchn'!$A$4:$C$170,3,0))</f>
        <v>Poyatos 1</v>
      </c>
      <c r="E1594" s="105">
        <v>25506</v>
      </c>
      <c r="F1594" s="36"/>
      <c r="G1594" s="184" t="s">
        <v>2827</v>
      </c>
      <c r="H1594" s="184" t="s">
        <v>2828</v>
      </c>
      <c r="I1594" s="184" t="s">
        <v>107</v>
      </c>
      <c r="J1594" s="183" t="s">
        <v>2829</v>
      </c>
      <c r="K1594" s="185">
        <v>44350</v>
      </c>
      <c r="L1594" s="184"/>
      <c r="M1594" s="186">
        <v>35</v>
      </c>
      <c r="N1594" s="186">
        <f>MONTH(Tableau13[[#This Row],[Date fin intervention]])</f>
        <v>6</v>
      </c>
      <c r="O1594" s="186">
        <f>YEAR(Tableau13[[#This Row],[Date fin intervention]])</f>
        <v>2021</v>
      </c>
      <c r="P1594" s="184"/>
    </row>
    <row r="1595" spans="1:16" ht="28.5">
      <c r="A1595" s="181">
        <v>44351</v>
      </c>
      <c r="B1595" s="182">
        <v>581</v>
      </c>
      <c r="C1595" s="183" t="str">
        <f>IF(ISNA(VLOOKUP(Tableau13[[#This Row],[Code machine]],'CODE mchn'!$A$4:$C$170,2,0)),"",VLOOKUP(Tableau13[[#This Row],[Code machine]],'CODE mchn'!$A$4:$C$170,2,0))</f>
        <v>Acier</v>
      </c>
      <c r="D1595" s="184" t="str">
        <f>IF(ISNA(VLOOKUP(Tableau13[[#This Row],[Code machine]],'CODE mchn'!$A$4:$C$170,3,0)),"",VLOOKUP(Tableau13[[#This Row],[Code machine]],'CODE mchn'!$A$4:$C$170,3,0))</f>
        <v>Teurema 1</v>
      </c>
      <c r="E1595" s="105">
        <v>24504</v>
      </c>
      <c r="F1595" s="36"/>
      <c r="G1595" s="184" t="s">
        <v>2802</v>
      </c>
      <c r="H1595" s="184" t="s">
        <v>2803</v>
      </c>
      <c r="I1595" s="184" t="s">
        <v>107</v>
      </c>
      <c r="J1595" s="251" t="s">
        <v>2804</v>
      </c>
      <c r="K1595" s="185">
        <v>44351</v>
      </c>
      <c r="L1595" s="184"/>
      <c r="M1595" s="186">
        <v>150</v>
      </c>
      <c r="N1595" s="186">
        <f>MONTH(Tableau13[[#This Row],[Date fin intervention]])</f>
        <v>6</v>
      </c>
      <c r="O1595" s="186">
        <f>YEAR(Tableau13[[#This Row],[Date fin intervention]])</f>
        <v>2021</v>
      </c>
      <c r="P1595" s="184"/>
    </row>
    <row r="1596" spans="1:16" ht="28.5">
      <c r="A1596" s="181">
        <v>44351</v>
      </c>
      <c r="B1596" s="182">
        <v>571</v>
      </c>
      <c r="C1596" s="183" t="str">
        <f>IF(ISNA(VLOOKUP(Tableau13[[#This Row],[Code machine]],'CODE mchn'!$A$4:$C$170,2,0)),"",VLOOKUP(Tableau13[[#This Row],[Code machine]],'CODE mchn'!$A$4:$C$170,2,0))</f>
        <v>Acier</v>
      </c>
      <c r="D1596" s="184" t="str">
        <f>IF(ISNA(VLOOKUP(Tableau13[[#This Row],[Code machine]],'CODE mchn'!$A$4:$C$170,3,0)),"",VLOOKUP(Tableau13[[#This Row],[Code machine]],'CODE mchn'!$A$4:$C$170,3,0))</f>
        <v>EVG PN 1</v>
      </c>
      <c r="E1596" s="105">
        <v>24554</v>
      </c>
      <c r="F1596" s="36"/>
      <c r="G1596" s="184" t="s">
        <v>2848</v>
      </c>
      <c r="H1596" s="184" t="s">
        <v>2849</v>
      </c>
      <c r="I1596" s="184" t="s">
        <v>107</v>
      </c>
      <c r="J1596" s="251" t="s">
        <v>2850</v>
      </c>
      <c r="K1596" s="185">
        <v>44351</v>
      </c>
      <c r="L1596" s="184"/>
      <c r="M1596" s="186">
        <v>45</v>
      </c>
      <c r="N1596" s="186">
        <f>MONTH(Tableau13[[#This Row],[Date fin intervention]])</f>
        <v>6</v>
      </c>
      <c r="O1596" s="186">
        <f>YEAR(Tableau13[[#This Row],[Date fin intervention]])</f>
        <v>2021</v>
      </c>
      <c r="P1596" s="184"/>
    </row>
    <row r="1597" spans="1:16">
      <c r="A1597" s="181">
        <v>44351</v>
      </c>
      <c r="B1597" s="182">
        <v>606</v>
      </c>
      <c r="C1597" s="183" t="str">
        <f>IF(ISNA(VLOOKUP(Tableau13[[#This Row],[Code machine]],'CODE mchn'!$A$4:$C$170,2,0)),"",VLOOKUP(Tableau13[[#This Row],[Code machine]],'CODE mchn'!$A$4:$C$170,2,0))</f>
        <v>Acier</v>
      </c>
      <c r="D1597" s="184" t="str">
        <f>IF(ISNA(VLOOKUP(Tableau13[[#This Row],[Code machine]],'CODE mchn'!$A$4:$C$170,3,0)),"",VLOOKUP(Tableau13[[#This Row],[Code machine]],'CODE mchn'!$A$4:$C$170,3,0))</f>
        <v>Vitari 2</v>
      </c>
      <c r="E1597" s="105">
        <v>25553</v>
      </c>
      <c r="F1597" s="36"/>
      <c r="G1597" s="184" t="s">
        <v>2859</v>
      </c>
      <c r="H1597" s="184" t="s">
        <v>2860</v>
      </c>
      <c r="I1597" s="184" t="s">
        <v>107</v>
      </c>
      <c r="J1597" s="251" t="s">
        <v>2861</v>
      </c>
      <c r="K1597" s="185">
        <v>44351</v>
      </c>
      <c r="L1597" s="184"/>
      <c r="M1597" s="186">
        <v>45</v>
      </c>
      <c r="N1597" s="186">
        <f>MONTH(Tableau13[[#This Row],[Date fin intervention]])</f>
        <v>6</v>
      </c>
      <c r="O1597" s="186">
        <f>YEAR(Tableau13[[#This Row],[Date fin intervention]])</f>
        <v>2021</v>
      </c>
      <c r="P1597" s="184"/>
    </row>
    <row r="1598" spans="1:16">
      <c r="A1598" s="181">
        <v>44352</v>
      </c>
      <c r="B1598" s="182">
        <v>800</v>
      </c>
      <c r="C1598" s="183" t="str">
        <f>IF(ISNA(VLOOKUP(Tableau13[[#This Row],[Code machine]],'CODE mchn'!$A$4:$C$170,2,0)),"",VLOOKUP(Tableau13[[#This Row],[Code machine]],'CODE mchn'!$A$4:$C$170,2,0))</f>
        <v>Béton</v>
      </c>
      <c r="D1598" s="184" t="str">
        <f>IF(ISNA(VLOOKUP(Tableau13[[#This Row],[Code machine]],'CODE mchn'!$A$4:$C$170,3,0)),"",VLOOKUP(Tableau13[[#This Row],[Code machine]],'CODE mchn'!$A$4:$C$170,3,0))</f>
        <v>Poyatos 2</v>
      </c>
      <c r="E1598" s="105">
        <v>25507</v>
      </c>
      <c r="F1598" s="36"/>
      <c r="G1598" s="184" t="s">
        <v>110</v>
      </c>
      <c r="H1598" s="184" t="s">
        <v>2830</v>
      </c>
      <c r="I1598" s="184" t="s">
        <v>107</v>
      </c>
      <c r="J1598" s="183" t="s">
        <v>2831</v>
      </c>
      <c r="K1598" s="185">
        <v>44352</v>
      </c>
      <c r="L1598" s="184"/>
      <c r="M1598" s="186">
        <v>90</v>
      </c>
      <c r="N1598" s="186">
        <f>MONTH(Tableau13[[#This Row],[Date fin intervention]])</f>
        <v>6</v>
      </c>
      <c r="O1598" s="186">
        <f>YEAR(Tableau13[[#This Row],[Date fin intervention]])</f>
        <v>2021</v>
      </c>
      <c r="P1598" s="184"/>
    </row>
    <row r="1599" spans="1:16">
      <c r="A1599" s="181">
        <v>44352</v>
      </c>
      <c r="B1599" s="182">
        <v>700</v>
      </c>
      <c r="C1599" s="183" t="str">
        <f>IF(ISNA(VLOOKUP(Tableau13[[#This Row],[Code machine]],'CODE mchn'!$A$4:$C$170,2,0)),"",VLOOKUP(Tableau13[[#This Row],[Code machine]],'CODE mchn'!$A$4:$C$170,2,0))</f>
        <v>Béton</v>
      </c>
      <c r="D1599" s="184" t="str">
        <f>IF(ISNA(VLOOKUP(Tableau13[[#This Row],[Code machine]],'CODE mchn'!$A$4:$C$170,3,0)),"",VLOOKUP(Tableau13[[#This Row],[Code machine]],'CODE mchn'!$A$4:$C$170,3,0))</f>
        <v>Poyatos 1</v>
      </c>
      <c r="E1599" s="105">
        <v>25508</v>
      </c>
      <c r="F1599" s="36"/>
      <c r="G1599" s="184" t="s">
        <v>2832</v>
      </c>
      <c r="H1599" s="184" t="s">
        <v>2833</v>
      </c>
      <c r="I1599" s="184" t="s">
        <v>107</v>
      </c>
      <c r="J1599" s="183" t="s">
        <v>2834</v>
      </c>
      <c r="K1599" s="185">
        <v>44352</v>
      </c>
      <c r="L1599" s="184"/>
      <c r="M1599" s="186">
        <v>45</v>
      </c>
      <c r="N1599" s="186">
        <f>MONTH(Tableau13[[#This Row],[Date fin intervention]])</f>
        <v>6</v>
      </c>
      <c r="O1599" s="186">
        <f>YEAR(Tableau13[[#This Row],[Date fin intervention]])</f>
        <v>2021</v>
      </c>
      <c r="P1599" s="184"/>
    </row>
    <row r="1600" spans="1:16">
      <c r="A1600" s="181">
        <v>44352</v>
      </c>
      <c r="B1600" s="182">
        <v>620</v>
      </c>
      <c r="C1600" s="183" t="str">
        <f>IF(ISNA(VLOOKUP(Tableau13[[#This Row],[Code machine]],'CODE mchn'!$A$4:$C$170,2,0)),"",VLOOKUP(Tableau13[[#This Row],[Code machine]],'CODE mchn'!$A$4:$C$170,2,0))</f>
        <v>Acier</v>
      </c>
      <c r="D1600" s="184" t="str">
        <f>IF(ISNA(VLOOKUP(Tableau13[[#This Row],[Code machine]],'CODE mchn'!$A$4:$C$170,3,0)),"",VLOOKUP(Tableau13[[#This Row],[Code machine]],'CODE mchn'!$A$4:$C$170,3,0))</f>
        <v>EVG PN 2</v>
      </c>
      <c r="E1600" s="105">
        <v>24553</v>
      </c>
      <c r="F1600" s="36"/>
      <c r="G1600" s="184" t="s">
        <v>2845</v>
      </c>
      <c r="H1600" s="184" t="s">
        <v>2846</v>
      </c>
      <c r="I1600" s="184" t="s">
        <v>107</v>
      </c>
      <c r="J1600" s="183" t="s">
        <v>2847</v>
      </c>
      <c r="K1600" s="185">
        <v>44352</v>
      </c>
      <c r="L1600" s="184"/>
      <c r="M1600" s="186">
        <v>30</v>
      </c>
      <c r="N1600" s="186">
        <f>MONTH(Tableau13[[#This Row],[Date fin intervention]])</f>
        <v>6</v>
      </c>
      <c r="O1600" s="186">
        <f>YEAR(Tableau13[[#This Row],[Date fin intervention]])</f>
        <v>2021</v>
      </c>
      <c r="P1600" s="184"/>
    </row>
    <row r="1601" spans="1:16">
      <c r="A1601" s="181">
        <v>44353</v>
      </c>
      <c r="B1601" s="182">
        <v>582</v>
      </c>
      <c r="C1601" s="183" t="str">
        <f>IF(ISNA(VLOOKUP(Tableau13[[#This Row],[Code machine]],'CODE mchn'!$A$4:$C$170,2,0)),"",VLOOKUP(Tableau13[[#This Row],[Code machine]],'CODE mchn'!$A$4:$C$170,2,0))</f>
        <v>Acier</v>
      </c>
      <c r="D1601" s="184" t="str">
        <f>IF(ISNA(VLOOKUP(Tableau13[[#This Row],[Code machine]],'CODE mchn'!$A$4:$C$170,3,0)),"",VLOOKUP(Tableau13[[#This Row],[Code machine]],'CODE mchn'!$A$4:$C$170,3,0))</f>
        <v>Teurema 2</v>
      </c>
      <c r="E1601" s="105">
        <v>24505</v>
      </c>
      <c r="F1601" s="36"/>
      <c r="G1601" s="184"/>
      <c r="H1601" s="184" t="s">
        <v>2806</v>
      </c>
      <c r="I1601" s="184" t="s">
        <v>2805</v>
      </c>
      <c r="J1601" s="251" t="s">
        <v>2807</v>
      </c>
      <c r="K1601" s="185">
        <v>44353</v>
      </c>
      <c r="L1601" s="184"/>
      <c r="M1601" s="186"/>
      <c r="N1601" s="186">
        <f>MONTH(Tableau13[[#This Row],[Date fin intervention]])</f>
        <v>6</v>
      </c>
      <c r="O1601" s="186">
        <f>YEAR(Tableau13[[#This Row],[Date fin intervention]])</f>
        <v>2021</v>
      </c>
      <c r="P1601" s="184"/>
    </row>
    <row r="1602" spans="1:16">
      <c r="A1602" s="181">
        <v>44353</v>
      </c>
      <c r="B1602" s="182">
        <v>565</v>
      </c>
      <c r="C1602" s="183" t="str">
        <f>IF(ISNA(VLOOKUP(Tableau13[[#This Row],[Code machine]],'CODE mchn'!$A$4:$C$170,2,0)),"",VLOOKUP(Tableau13[[#This Row],[Code machine]],'CODE mchn'!$A$4:$C$170,2,0))</f>
        <v>Acier</v>
      </c>
      <c r="D1602" s="184" t="str">
        <f>IF(ISNA(VLOOKUP(Tableau13[[#This Row],[Code machine]],'CODE mchn'!$A$4:$C$170,3,0)),"",VLOOKUP(Tableau13[[#This Row],[Code machine]],'CODE mchn'!$A$4:$C$170,3,0))</f>
        <v>EVG GE12</v>
      </c>
      <c r="E1602" s="105">
        <v>25555</v>
      </c>
      <c r="F1602" s="36"/>
      <c r="G1602" s="184" t="s">
        <v>2845</v>
      </c>
      <c r="H1602" s="184" t="s">
        <v>2862</v>
      </c>
      <c r="I1602" s="184" t="s">
        <v>107</v>
      </c>
      <c r="J1602" s="251" t="s">
        <v>2863</v>
      </c>
      <c r="K1602" s="185">
        <v>44353</v>
      </c>
      <c r="L1602" s="184"/>
      <c r="M1602" s="186">
        <v>60</v>
      </c>
      <c r="N1602" s="186">
        <f>MONTH(Tableau13[[#This Row],[Date fin intervention]])</f>
        <v>6</v>
      </c>
      <c r="O1602" s="186">
        <f>YEAR(Tableau13[[#This Row],[Date fin intervention]])</f>
        <v>2021</v>
      </c>
      <c r="P1602" s="184"/>
    </row>
    <row r="1603" spans="1:16">
      <c r="A1603" s="181">
        <v>44354</v>
      </c>
      <c r="B1603" s="182">
        <v>534</v>
      </c>
      <c r="C1603" s="183" t="str">
        <f>IF(ISNA(VLOOKUP(Tableau13[[#This Row],[Code machine]],'CODE mchn'!$A$4:$C$170,2,0)),"",VLOOKUP(Tableau13[[#This Row],[Code machine]],'CODE mchn'!$A$4:$C$170,2,0))</f>
        <v>Enrobage</v>
      </c>
      <c r="D1603" s="184" t="str">
        <f>IF(ISNA(VLOOKUP(Tableau13[[#This Row],[Code machine]],'CODE mchn'!$A$4:$C$170,3,0)),"",VLOOKUP(Tableau13[[#This Row],[Code machine]],'CODE mchn'!$A$4:$C$170,3,0))</f>
        <v>ELKON 2</v>
      </c>
      <c r="E1603" s="105">
        <v>25509</v>
      </c>
      <c r="F1603" s="36"/>
      <c r="G1603" s="184" t="s">
        <v>95</v>
      </c>
      <c r="H1603" s="184" t="s">
        <v>2835</v>
      </c>
      <c r="I1603" s="184" t="s">
        <v>107</v>
      </c>
      <c r="J1603" s="183" t="s">
        <v>935</v>
      </c>
      <c r="K1603" s="185">
        <v>44354</v>
      </c>
      <c r="L1603" s="184"/>
      <c r="M1603" s="186">
        <v>30</v>
      </c>
      <c r="N1603" s="186">
        <f>MONTH(Tableau13[[#This Row],[Date fin intervention]])</f>
        <v>6</v>
      </c>
      <c r="O1603" s="186">
        <f>YEAR(Tableau13[[#This Row],[Date fin intervention]])</f>
        <v>2021</v>
      </c>
      <c r="P1603" s="184"/>
    </row>
    <row r="1604" spans="1:16">
      <c r="A1604" s="181">
        <v>44354</v>
      </c>
      <c r="B1604" s="182">
        <v>570</v>
      </c>
      <c r="C1604" s="183" t="str">
        <f>IF(ISNA(VLOOKUP(Tableau13[[#This Row],[Code machine]],'CODE mchn'!$A$4:$C$170,2,0)),"",VLOOKUP(Tableau13[[#This Row],[Code machine]],'CODE mchn'!$A$4:$C$170,2,0))</f>
        <v>Acier</v>
      </c>
      <c r="D1604" s="184" t="str">
        <f>IF(ISNA(VLOOKUP(Tableau13[[#This Row],[Code machine]],'CODE mchn'!$A$4:$C$170,3,0)),"",VLOOKUP(Tableau13[[#This Row],[Code machine]],'CODE mchn'!$A$4:$C$170,3,0))</f>
        <v>Sigmatic</v>
      </c>
      <c r="E1604" s="105">
        <v>24555</v>
      </c>
      <c r="F1604" s="36"/>
      <c r="G1604" s="184" t="s">
        <v>10</v>
      </c>
      <c r="H1604" s="184" t="s">
        <v>2851</v>
      </c>
      <c r="I1604" s="184" t="s">
        <v>107</v>
      </c>
      <c r="J1604" s="251" t="s">
        <v>2815</v>
      </c>
      <c r="K1604" s="185">
        <v>44354</v>
      </c>
      <c r="L1604" s="184"/>
      <c r="M1604" s="186">
        <v>90</v>
      </c>
      <c r="N1604" s="186">
        <f>MONTH(Tableau13[[#This Row],[Date fin intervention]])</f>
        <v>6</v>
      </c>
      <c r="O1604" s="186">
        <f>YEAR(Tableau13[[#This Row],[Date fin intervention]])</f>
        <v>2021</v>
      </c>
      <c r="P1604" s="184"/>
    </row>
    <row r="1605" spans="1:16">
      <c r="A1605" s="181">
        <v>44354</v>
      </c>
      <c r="B1605" s="182">
        <v>570</v>
      </c>
      <c r="C1605" s="183" t="str">
        <f>IF(ISNA(VLOOKUP(Tableau13[[#This Row],[Code machine]],'CODE mchn'!$A$4:$C$170,2,0)),"",VLOOKUP(Tableau13[[#This Row],[Code machine]],'CODE mchn'!$A$4:$C$170,2,0))</f>
        <v>Acier</v>
      </c>
      <c r="D1605" s="184" t="str">
        <f>IF(ISNA(VLOOKUP(Tableau13[[#This Row],[Code machine]],'CODE mchn'!$A$4:$C$170,3,0)),"",VLOOKUP(Tableau13[[#This Row],[Code machine]],'CODE mchn'!$A$4:$C$170,3,0))</f>
        <v>Sigmatic</v>
      </c>
      <c r="E1605" s="105">
        <v>24556</v>
      </c>
      <c r="F1605" s="36"/>
      <c r="G1605" s="184" t="s">
        <v>10</v>
      </c>
      <c r="H1605" s="184" t="s">
        <v>2852</v>
      </c>
      <c r="I1605" s="184" t="s">
        <v>107</v>
      </c>
      <c r="J1605" s="251" t="s">
        <v>2841</v>
      </c>
      <c r="K1605" s="185">
        <v>44354</v>
      </c>
      <c r="L1605" s="184"/>
      <c r="M1605" s="186">
        <v>30</v>
      </c>
      <c r="N1605" s="186">
        <f>MONTH(Tableau13[[#This Row],[Date fin intervention]])</f>
        <v>6</v>
      </c>
      <c r="O1605" s="186">
        <f>YEAR(Tableau13[[#This Row],[Date fin intervention]])</f>
        <v>2021</v>
      </c>
      <c r="P1605" s="184"/>
    </row>
    <row r="1606" spans="1:16">
      <c r="A1606" s="181">
        <v>44355</v>
      </c>
      <c r="B1606" s="182">
        <v>581</v>
      </c>
      <c r="C1606" s="183" t="str">
        <f>IF(ISNA(VLOOKUP(Tableau13[[#This Row],[Code machine]],'CODE mchn'!$A$4:$C$170,2,0)),"",VLOOKUP(Tableau13[[#This Row],[Code machine]],'CODE mchn'!$A$4:$C$170,2,0))</f>
        <v>Acier</v>
      </c>
      <c r="D1606" s="184" t="str">
        <f>IF(ISNA(VLOOKUP(Tableau13[[#This Row],[Code machine]],'CODE mchn'!$A$4:$C$170,3,0)),"",VLOOKUP(Tableau13[[#This Row],[Code machine]],'CODE mchn'!$A$4:$C$170,3,0))</f>
        <v>Teurema 1</v>
      </c>
      <c r="E1606" s="105">
        <v>24506</v>
      </c>
      <c r="F1606" s="36"/>
      <c r="G1606" s="184" t="s">
        <v>2809</v>
      </c>
      <c r="H1606" s="184" t="s">
        <v>1194</v>
      </c>
      <c r="I1606" s="184" t="s">
        <v>2744</v>
      </c>
      <c r="J1606" s="251" t="s">
        <v>2808</v>
      </c>
      <c r="K1606" s="185">
        <v>44355</v>
      </c>
      <c r="L1606" s="184"/>
      <c r="M1606" s="186">
        <v>45</v>
      </c>
      <c r="N1606" s="186">
        <f>MONTH(Tableau13[[#This Row],[Date fin intervention]])</f>
        <v>6</v>
      </c>
      <c r="O1606" s="186">
        <f>YEAR(Tableau13[[#This Row],[Date fin intervention]])</f>
        <v>2021</v>
      </c>
      <c r="P1606" s="184"/>
    </row>
    <row r="1607" spans="1:16">
      <c r="A1607" s="181">
        <v>44355</v>
      </c>
      <c r="B1607" s="182">
        <v>582</v>
      </c>
      <c r="C1607" s="183" t="str">
        <f>IF(ISNA(VLOOKUP(Tableau13[[#This Row],[Code machine]],'CODE mchn'!$A$4:$C$170,2,0)),"",VLOOKUP(Tableau13[[#This Row],[Code machine]],'CODE mchn'!$A$4:$C$170,2,0))</f>
        <v>Acier</v>
      </c>
      <c r="D1607" s="184" t="str">
        <f>IF(ISNA(VLOOKUP(Tableau13[[#This Row],[Code machine]],'CODE mchn'!$A$4:$C$170,3,0)),"",VLOOKUP(Tableau13[[#This Row],[Code machine]],'CODE mchn'!$A$4:$C$170,3,0))</f>
        <v>Teurema 2</v>
      </c>
      <c r="E1607" s="105">
        <v>24507</v>
      </c>
      <c r="F1607" s="36"/>
      <c r="G1607" s="184" t="s">
        <v>880</v>
      </c>
      <c r="H1607" s="184" t="s">
        <v>2810</v>
      </c>
      <c r="I1607" s="184" t="s">
        <v>107</v>
      </c>
      <c r="J1607" s="251" t="s">
        <v>2811</v>
      </c>
      <c r="K1607" s="185">
        <v>44355</v>
      </c>
      <c r="L1607" s="184"/>
      <c r="M1607" s="186">
        <v>30</v>
      </c>
      <c r="N1607" s="186">
        <f>MONTH(Tableau13[[#This Row],[Date fin intervention]])</f>
        <v>6</v>
      </c>
      <c r="O1607" s="186">
        <f>YEAR(Tableau13[[#This Row],[Date fin intervention]])</f>
        <v>2021</v>
      </c>
      <c r="P1607" s="184"/>
    </row>
    <row r="1608" spans="1:16">
      <c r="A1608" s="181">
        <v>44355</v>
      </c>
      <c r="B1608" s="182">
        <v>800</v>
      </c>
      <c r="C1608" s="183" t="str">
        <f>IF(ISNA(VLOOKUP(Tableau13[[#This Row],[Code machine]],'CODE mchn'!$A$4:$C$170,2,0)),"",VLOOKUP(Tableau13[[#This Row],[Code machine]],'CODE mchn'!$A$4:$C$170,2,0))</f>
        <v>Béton</v>
      </c>
      <c r="D1608" s="184" t="str">
        <f>IF(ISNA(VLOOKUP(Tableau13[[#This Row],[Code machine]],'CODE mchn'!$A$4:$C$170,3,0)),"",VLOOKUP(Tableau13[[#This Row],[Code machine]],'CODE mchn'!$A$4:$C$170,3,0))</f>
        <v>Poyatos 2</v>
      </c>
      <c r="E1608" s="105">
        <v>25510</v>
      </c>
      <c r="F1608" s="36"/>
      <c r="G1608" s="184" t="s">
        <v>128</v>
      </c>
      <c r="H1608" s="184" t="s">
        <v>2828</v>
      </c>
      <c r="I1608" s="184" t="s">
        <v>107</v>
      </c>
      <c r="J1608" s="183" t="s">
        <v>2836</v>
      </c>
      <c r="K1608" s="185">
        <v>44355</v>
      </c>
      <c r="L1608" s="184"/>
      <c r="M1608" s="186">
        <v>45</v>
      </c>
      <c r="N1608" s="186">
        <f>MONTH(Tableau13[[#This Row],[Date fin intervention]])</f>
        <v>6</v>
      </c>
      <c r="O1608" s="186">
        <f>YEAR(Tableau13[[#This Row],[Date fin intervention]])</f>
        <v>2021</v>
      </c>
      <c r="P1608" s="184"/>
    </row>
    <row r="1609" spans="1:16">
      <c r="A1609" s="181">
        <v>44355</v>
      </c>
      <c r="B1609" s="182">
        <v>800</v>
      </c>
      <c r="C1609" s="183" t="str">
        <f>IF(ISNA(VLOOKUP(Tableau13[[#This Row],[Code machine]],'CODE mchn'!$A$4:$C$170,2,0)),"",VLOOKUP(Tableau13[[#This Row],[Code machine]],'CODE mchn'!$A$4:$C$170,2,0))</f>
        <v>Béton</v>
      </c>
      <c r="D1609" s="184" t="str">
        <f>IF(ISNA(VLOOKUP(Tableau13[[#This Row],[Code machine]],'CODE mchn'!$A$4:$C$170,3,0)),"",VLOOKUP(Tableau13[[#This Row],[Code machine]],'CODE mchn'!$A$4:$C$170,3,0))</f>
        <v>Poyatos 2</v>
      </c>
      <c r="E1609" s="105">
        <v>25511</v>
      </c>
      <c r="F1609" s="36"/>
      <c r="G1609" s="184" t="s">
        <v>2837</v>
      </c>
      <c r="H1609" s="184" t="s">
        <v>2838</v>
      </c>
      <c r="I1609" s="184" t="s">
        <v>107</v>
      </c>
      <c r="J1609" s="183" t="s">
        <v>2839</v>
      </c>
      <c r="K1609" s="185">
        <v>44355</v>
      </c>
      <c r="L1609" s="184"/>
      <c r="M1609" s="186">
        <v>90</v>
      </c>
      <c r="N1609" s="186">
        <f>MONTH(Tableau13[[#This Row],[Date fin intervention]])</f>
        <v>6</v>
      </c>
      <c r="O1609" s="186">
        <f>YEAR(Tableau13[[#This Row],[Date fin intervention]])</f>
        <v>2021</v>
      </c>
      <c r="P1609" s="184"/>
    </row>
    <row r="1610" spans="1:16">
      <c r="A1610" s="181">
        <v>44356</v>
      </c>
      <c r="B1610" s="182">
        <v>560</v>
      </c>
      <c r="C1610" s="183" t="str">
        <f>IF(ISNA(VLOOKUP(Tableau13[[#This Row],[Code machine]],'CODE mchn'!$A$4:$C$170,2,0)),"",VLOOKUP(Tableau13[[#This Row],[Code machine]],'CODE mchn'!$A$4:$C$170,2,0))</f>
        <v>Acier</v>
      </c>
      <c r="D1610" s="184" t="str">
        <f>IF(ISNA(VLOOKUP(Tableau13[[#This Row],[Code machine]],'CODE mchn'!$A$4:$C$170,3,0)),"",VLOOKUP(Tableau13[[#This Row],[Code machine]],'CODE mchn'!$A$4:$C$170,3,0))</f>
        <v>Schlatter</v>
      </c>
      <c r="E1610" s="105">
        <v>25556</v>
      </c>
      <c r="F1610" s="36"/>
      <c r="G1610" s="184" t="s">
        <v>2864</v>
      </c>
      <c r="H1610" s="184" t="s">
        <v>2865</v>
      </c>
      <c r="I1610" s="184" t="s">
        <v>107</v>
      </c>
      <c r="J1610" s="251" t="s">
        <v>2866</v>
      </c>
      <c r="K1610" s="185">
        <v>44356</v>
      </c>
      <c r="L1610" s="184"/>
      <c r="M1610" s="186">
        <v>180</v>
      </c>
      <c r="N1610" s="186">
        <f>MONTH(Tableau13[[#This Row],[Date fin intervention]])</f>
        <v>6</v>
      </c>
      <c r="O1610" s="186">
        <f>YEAR(Tableau13[[#This Row],[Date fin intervention]])</f>
        <v>2021</v>
      </c>
      <c r="P1610" s="184"/>
    </row>
    <row r="1611" spans="1:16">
      <c r="A1611" s="181">
        <v>44357</v>
      </c>
      <c r="B1611" s="182">
        <v>580</v>
      </c>
      <c r="C1611" s="183" t="str">
        <f>IF(ISNA(VLOOKUP(Tableau13[[#This Row],[Code machine]],'CODE mchn'!$A$4:$C$170,2,0)),"",VLOOKUP(Tableau13[[#This Row],[Code machine]],'CODE mchn'!$A$4:$C$170,2,0))</f>
        <v>Acier</v>
      </c>
      <c r="D1611" s="184" t="str">
        <f>IF(ISNA(VLOOKUP(Tableau13[[#This Row],[Code machine]],'CODE mchn'!$A$4:$C$170,3,0)),"",VLOOKUP(Tableau13[[#This Row],[Code machine]],'CODE mchn'!$A$4:$C$170,3,0))</f>
        <v>Techno Impiante</v>
      </c>
      <c r="E1611" s="105">
        <v>24508</v>
      </c>
      <c r="F1611" s="36"/>
      <c r="G1611" s="184" t="s">
        <v>2812</v>
      </c>
      <c r="H1611" s="184" t="s">
        <v>2869</v>
      </c>
      <c r="I1611" s="184" t="s">
        <v>107</v>
      </c>
      <c r="J1611" s="251" t="s">
        <v>2813</v>
      </c>
      <c r="K1611" s="185">
        <v>44357</v>
      </c>
      <c r="L1611" s="184"/>
      <c r="M1611" s="186">
        <v>60</v>
      </c>
      <c r="N1611" s="186">
        <f>MONTH(Tableau13[[#This Row],[Date fin intervention]])</f>
        <v>6</v>
      </c>
      <c r="O1611" s="186">
        <f>YEAR(Tableau13[[#This Row],[Date fin intervention]])</f>
        <v>2021</v>
      </c>
      <c r="P1611" s="184"/>
    </row>
    <row r="1612" spans="1:16">
      <c r="A1612" s="181">
        <v>44357</v>
      </c>
      <c r="B1612" s="182">
        <v>581</v>
      </c>
      <c r="C1612" s="183" t="str">
        <f>IF(ISNA(VLOOKUP(Tableau13[[#This Row],[Code machine]],'CODE mchn'!$A$4:$C$170,2,0)),"",VLOOKUP(Tableau13[[#This Row],[Code machine]],'CODE mchn'!$A$4:$C$170,2,0))</f>
        <v>Acier</v>
      </c>
      <c r="D1612" s="184" t="str">
        <f>IF(ISNA(VLOOKUP(Tableau13[[#This Row],[Code machine]],'CODE mchn'!$A$4:$C$170,3,0)),"",VLOOKUP(Tableau13[[#This Row],[Code machine]],'CODE mchn'!$A$4:$C$170,3,0))</f>
        <v>Teurema 1</v>
      </c>
      <c r="E1612" s="105">
        <v>24509</v>
      </c>
      <c r="F1612" s="36"/>
      <c r="G1612" s="184" t="s">
        <v>49</v>
      </c>
      <c r="H1612" s="184" t="s">
        <v>2814</v>
      </c>
      <c r="I1612" s="184" t="s">
        <v>107</v>
      </c>
      <c r="J1612" s="251" t="s">
        <v>2815</v>
      </c>
      <c r="K1612" s="185">
        <v>44357</v>
      </c>
      <c r="L1612" s="184"/>
      <c r="M1612" s="186">
        <v>45</v>
      </c>
      <c r="N1612" s="186">
        <f>MONTH(Tableau13[[#This Row],[Date fin intervention]])</f>
        <v>6</v>
      </c>
      <c r="O1612" s="186">
        <f>YEAR(Tableau13[[#This Row],[Date fin intervention]])</f>
        <v>2021</v>
      </c>
      <c r="P1612" s="184"/>
    </row>
    <row r="1613" spans="1:16">
      <c r="A1613" s="181">
        <v>44357</v>
      </c>
      <c r="B1613" s="182">
        <v>700</v>
      </c>
      <c r="C1613" s="183" t="str">
        <f>IF(ISNA(VLOOKUP(Tableau13[[#This Row],[Code machine]],'CODE mchn'!$A$4:$C$170,2,0)),"",VLOOKUP(Tableau13[[#This Row],[Code machine]],'CODE mchn'!$A$4:$C$170,2,0))</f>
        <v>Béton</v>
      </c>
      <c r="D1613" s="184" t="str">
        <f>IF(ISNA(VLOOKUP(Tableau13[[#This Row],[Code machine]],'CODE mchn'!$A$4:$C$170,3,0)),"",VLOOKUP(Tableau13[[#This Row],[Code machine]],'CODE mchn'!$A$4:$C$170,3,0))</f>
        <v>Poyatos 1</v>
      </c>
      <c r="E1613" s="105">
        <v>25512</v>
      </c>
      <c r="F1613" s="36"/>
      <c r="G1613" s="184" t="s">
        <v>49</v>
      </c>
      <c r="H1613" s="184" t="s">
        <v>2840</v>
      </c>
      <c r="I1613" s="184" t="s">
        <v>107</v>
      </c>
      <c r="J1613" s="183" t="s">
        <v>2841</v>
      </c>
      <c r="K1613" s="185">
        <v>44357</v>
      </c>
      <c r="L1613" s="184"/>
      <c r="M1613" s="186">
        <v>60</v>
      </c>
      <c r="N1613" s="186">
        <f>MONTH(Tableau13[[#This Row],[Date fin intervention]])</f>
        <v>6</v>
      </c>
      <c r="O1613" s="186">
        <f>YEAR(Tableau13[[#This Row],[Date fin intervention]])</f>
        <v>2021</v>
      </c>
      <c r="P1613" s="184"/>
    </row>
    <row r="1614" spans="1:16">
      <c r="A1614" s="181">
        <v>44357</v>
      </c>
      <c r="B1614" s="182">
        <v>700</v>
      </c>
      <c r="C1614" s="183" t="str">
        <f>IF(ISNA(VLOOKUP(Tableau13[[#This Row],[Code machine]],'CODE mchn'!$A$4:$C$170,2,0)),"",VLOOKUP(Tableau13[[#This Row],[Code machine]],'CODE mchn'!$A$4:$C$170,2,0))</f>
        <v>Béton</v>
      </c>
      <c r="D1614" s="184" t="str">
        <f>IF(ISNA(VLOOKUP(Tableau13[[#This Row],[Code machine]],'CODE mchn'!$A$4:$C$170,3,0)),"",VLOOKUP(Tableau13[[#This Row],[Code machine]],'CODE mchn'!$A$4:$C$170,3,0))</f>
        <v>Poyatos 1</v>
      </c>
      <c r="E1614" s="105">
        <v>25513</v>
      </c>
      <c r="F1614" s="36"/>
      <c r="G1614" s="184" t="s">
        <v>2842</v>
      </c>
      <c r="H1614" s="184" t="s">
        <v>2843</v>
      </c>
      <c r="I1614" s="184" t="s">
        <v>107</v>
      </c>
      <c r="J1614" s="183" t="s">
        <v>2844</v>
      </c>
      <c r="K1614" s="185">
        <v>44357</v>
      </c>
      <c r="L1614" s="184"/>
      <c r="M1614" s="186">
        <v>90</v>
      </c>
      <c r="N1614" s="186">
        <f>MONTH(Tableau13[[#This Row],[Date fin intervention]])</f>
        <v>6</v>
      </c>
      <c r="O1614" s="186">
        <f>YEAR(Tableau13[[#This Row],[Date fin intervention]])</f>
        <v>2021</v>
      </c>
      <c r="P1614" s="184"/>
    </row>
    <row r="1615" spans="1:16">
      <c r="A1615" s="181">
        <v>44357</v>
      </c>
      <c r="B1615" s="182">
        <v>565</v>
      </c>
      <c r="C1615" s="183" t="str">
        <f>IF(ISNA(VLOOKUP(Tableau13[[#This Row],[Code machine]],'CODE mchn'!$A$4:$C$170,2,0)),"",VLOOKUP(Tableau13[[#This Row],[Code machine]],'CODE mchn'!$A$4:$C$170,2,0))</f>
        <v>Acier</v>
      </c>
      <c r="D1615" s="184" t="str">
        <f>IF(ISNA(VLOOKUP(Tableau13[[#This Row],[Code machine]],'CODE mchn'!$A$4:$C$170,3,0)),"",VLOOKUP(Tableau13[[#This Row],[Code machine]],'CODE mchn'!$A$4:$C$170,3,0))</f>
        <v>EVG GE12</v>
      </c>
      <c r="E1615" s="105">
        <v>25557</v>
      </c>
      <c r="F1615" s="36"/>
      <c r="G1615" s="184" t="s">
        <v>2884</v>
      </c>
      <c r="H1615" s="184" t="s">
        <v>2867</v>
      </c>
      <c r="I1615" s="184" t="s">
        <v>107</v>
      </c>
      <c r="J1615" s="251" t="s">
        <v>2868</v>
      </c>
      <c r="K1615" s="185">
        <v>44357</v>
      </c>
      <c r="L1615" s="184"/>
      <c r="M1615" s="186">
        <v>30</v>
      </c>
      <c r="N1615" s="186">
        <f>MONTH(Tableau13[[#This Row],[Date fin intervention]])</f>
        <v>6</v>
      </c>
      <c r="O1615" s="186">
        <f>YEAR(Tableau13[[#This Row],[Date fin intervention]])</f>
        <v>2021</v>
      </c>
      <c r="P1615" s="184"/>
    </row>
    <row r="1616" spans="1:16">
      <c r="A1616" s="181">
        <v>44357</v>
      </c>
      <c r="B1616" s="182">
        <v>590</v>
      </c>
      <c r="C1616" s="183" t="str">
        <f>IF(ISNA(VLOOKUP(Tableau13[[#This Row],[Code machine]],'CODE mchn'!$A$4:$C$170,2,0)),"",VLOOKUP(Tableau13[[#This Row],[Code machine]],'CODE mchn'!$A$4:$C$170,2,0))</f>
        <v>Acier</v>
      </c>
      <c r="D1616" s="184" t="str">
        <f>IF(ISNA(VLOOKUP(Tableau13[[#This Row],[Code machine]],'CODE mchn'!$A$4:$C$170,3,0)),"",VLOOKUP(Tableau13[[#This Row],[Code machine]],'CODE mchn'!$A$4:$C$170,3,0))</f>
        <v>Teurema 3</v>
      </c>
      <c r="E1616" s="105"/>
      <c r="F1616" s="36"/>
      <c r="G1616" s="184" t="s">
        <v>319</v>
      </c>
      <c r="H1616" s="184" t="s">
        <v>2896</v>
      </c>
      <c r="I1616" s="184" t="s">
        <v>13</v>
      </c>
      <c r="J1616" s="251" t="s">
        <v>2897</v>
      </c>
      <c r="K1616" s="185">
        <v>44357</v>
      </c>
      <c r="L1616" s="184"/>
      <c r="M1616" s="186">
        <f>8*10*60</f>
        <v>4800</v>
      </c>
      <c r="N1616" s="186">
        <f>MONTH(Tableau13[[#This Row],[Date fin intervention]])</f>
        <v>6</v>
      </c>
      <c r="O1616" s="186">
        <f>YEAR(Tableau13[[#This Row],[Date fin intervention]])</f>
        <v>2021</v>
      </c>
      <c r="P1616" s="184"/>
    </row>
    <row r="1617" spans="1:16">
      <c r="A1617" s="181">
        <v>44358</v>
      </c>
      <c r="B1617" s="182">
        <v>534</v>
      </c>
      <c r="C1617" s="183" t="str">
        <f>IF(ISNA(VLOOKUP(Tableau13[[#This Row],[Code machine]],'CODE mchn'!$A$4:$C$170,2,0)),"",VLOOKUP(Tableau13[[#This Row],[Code machine]],'CODE mchn'!$A$4:$C$170,2,0))</f>
        <v>Enrobage</v>
      </c>
      <c r="D1617" s="184" t="str">
        <f>IF(ISNA(VLOOKUP(Tableau13[[#This Row],[Code machine]],'CODE mchn'!$A$4:$C$170,3,0)),"",VLOOKUP(Tableau13[[#This Row],[Code machine]],'CODE mchn'!$A$4:$C$170,3,0))</f>
        <v>ELKON 2</v>
      </c>
      <c r="E1617" s="105">
        <v>25514</v>
      </c>
      <c r="F1617" s="36"/>
      <c r="G1617" s="184" t="s">
        <v>2871</v>
      </c>
      <c r="H1617" s="184" t="s">
        <v>2872</v>
      </c>
      <c r="I1617" s="184" t="s">
        <v>107</v>
      </c>
      <c r="J1617" s="251" t="s">
        <v>2873</v>
      </c>
      <c r="K1617" s="185">
        <v>44358</v>
      </c>
      <c r="L1617" s="184"/>
      <c r="M1617" s="186"/>
      <c r="N1617" s="186">
        <f>MONTH(Tableau13[[#This Row],[Date fin intervention]])</f>
        <v>6</v>
      </c>
      <c r="O1617" s="186">
        <f>YEAR(Tableau13[[#This Row],[Date fin intervention]])</f>
        <v>2021</v>
      </c>
      <c r="P1617" s="184"/>
    </row>
    <row r="1618" spans="1:16">
      <c r="A1618" s="181">
        <v>44359</v>
      </c>
      <c r="B1618" s="182">
        <v>800</v>
      </c>
      <c r="C1618" s="183" t="str">
        <f>IF(ISNA(VLOOKUP(Tableau13[[#This Row],[Code machine]],'CODE mchn'!$A$4:$C$170,2,0)),"",VLOOKUP(Tableau13[[#This Row],[Code machine]],'CODE mchn'!$A$4:$C$170,2,0))</f>
        <v>Béton</v>
      </c>
      <c r="D1618" s="184" t="str">
        <f>IF(ISNA(VLOOKUP(Tableau13[[#This Row],[Code machine]],'CODE mchn'!$A$4:$C$170,3,0)),"",VLOOKUP(Tableau13[[#This Row],[Code machine]],'CODE mchn'!$A$4:$C$170,3,0))</f>
        <v>Poyatos 2</v>
      </c>
      <c r="E1618" s="105">
        <v>25515</v>
      </c>
      <c r="F1618" s="36"/>
      <c r="G1618" s="184" t="s">
        <v>118</v>
      </c>
      <c r="H1618" s="184" t="s">
        <v>2874</v>
      </c>
      <c r="I1618" s="184" t="s">
        <v>101</v>
      </c>
      <c r="J1618" s="251" t="s">
        <v>2875</v>
      </c>
      <c r="K1618" s="185">
        <v>44359</v>
      </c>
      <c r="L1618" s="184"/>
      <c r="M1618" s="186">
        <f>4*60</f>
        <v>240</v>
      </c>
      <c r="N1618" s="186">
        <f>MONTH(Tableau13[[#This Row],[Date fin intervention]])</f>
        <v>6</v>
      </c>
      <c r="O1618" s="186">
        <f>YEAR(Tableau13[[#This Row],[Date fin intervention]])</f>
        <v>2021</v>
      </c>
      <c r="P1618" s="184"/>
    </row>
    <row r="1619" spans="1:16">
      <c r="A1619" s="104">
        <v>44359</v>
      </c>
      <c r="B1619" s="105">
        <v>582</v>
      </c>
      <c r="C1619" s="106" t="str">
        <f>IF(ISNA(VLOOKUP(Tableau13[[#This Row],[Code machine]],'CODE mchn'!$A$4:$C$170,2,0)),"",VLOOKUP(Tableau13[[#This Row],[Code machine]],'CODE mchn'!$A$4:$C$170,2,0))</f>
        <v>Acier</v>
      </c>
      <c r="D1619" s="36" t="str">
        <f>IF(ISNA(VLOOKUP(Tableau13[[#This Row],[Code machine]],'CODE mchn'!$A$4:$C$170,3,0)),"",VLOOKUP(Tableau13[[#This Row],[Code machine]],'CODE mchn'!$A$4:$C$170,3,0))</f>
        <v>Teurema 2</v>
      </c>
      <c r="E1619" s="105">
        <v>15082</v>
      </c>
      <c r="F1619" s="36"/>
      <c r="G1619" s="36" t="s">
        <v>1644</v>
      </c>
      <c r="H1619" s="36" t="s">
        <v>2076</v>
      </c>
      <c r="I1619" s="36" t="s">
        <v>13</v>
      </c>
      <c r="J1619" s="252" t="s">
        <v>2916</v>
      </c>
      <c r="K1619" s="71">
        <v>44359</v>
      </c>
      <c r="L1619" s="36"/>
      <c r="M1619" s="108">
        <v>90</v>
      </c>
      <c r="N1619" s="108">
        <f>MONTH(Tableau13[[#This Row],[Date fin intervention]])</f>
        <v>6</v>
      </c>
      <c r="O1619" s="108">
        <f>YEAR(Tableau13[[#This Row],[Date fin intervention]])</f>
        <v>2021</v>
      </c>
      <c r="P1619" s="36"/>
    </row>
    <row r="1620" spans="1:16">
      <c r="A1620" s="181">
        <v>44362</v>
      </c>
      <c r="B1620" s="182">
        <v>582</v>
      </c>
      <c r="C1620" s="183" t="str">
        <f>IF(ISNA(VLOOKUP(Tableau13[[#This Row],[Code machine]],'CODE mchn'!$A$4:$C$170,2,0)),"",VLOOKUP(Tableau13[[#This Row],[Code machine]],'CODE mchn'!$A$4:$C$170,2,0))</f>
        <v>Acier</v>
      </c>
      <c r="D1620" s="184" t="str">
        <f>IF(ISNA(VLOOKUP(Tableau13[[#This Row],[Code machine]],'CODE mchn'!$A$4:$C$170,3,0)),"",VLOOKUP(Tableau13[[#This Row],[Code machine]],'CODE mchn'!$A$4:$C$170,3,0))</f>
        <v>Teurema 2</v>
      </c>
      <c r="E1620" s="105"/>
      <c r="F1620" s="36"/>
      <c r="G1620" s="184" t="s">
        <v>2894</v>
      </c>
      <c r="H1620" s="184" t="s">
        <v>2895</v>
      </c>
      <c r="I1620" s="184" t="s">
        <v>13</v>
      </c>
      <c r="J1620" s="251" t="s">
        <v>1612</v>
      </c>
      <c r="K1620" s="185">
        <v>44362</v>
      </c>
      <c r="L1620" s="184"/>
      <c r="M1620" s="186">
        <f>8*5*60</f>
        <v>2400</v>
      </c>
      <c r="N1620" s="186">
        <f>MONTH(Tableau13[[#This Row],[Date fin intervention]])</f>
        <v>6</v>
      </c>
      <c r="O1620" s="186">
        <f>YEAR(Tableau13[[#This Row],[Date fin intervention]])</f>
        <v>2021</v>
      </c>
      <c r="P1620" s="184"/>
    </row>
    <row r="1621" spans="1:16">
      <c r="A1621" s="181">
        <v>44362</v>
      </c>
      <c r="B1621" s="182">
        <v>565</v>
      </c>
      <c r="C1621" s="183" t="str">
        <f>IF(ISNA(VLOOKUP(Tableau13[[#This Row],[Code machine]],'CODE mchn'!$A$4:$C$170,2,0)),"",VLOOKUP(Tableau13[[#This Row],[Code machine]],'CODE mchn'!$A$4:$C$170,2,0))</f>
        <v>Acier</v>
      </c>
      <c r="D1621" s="184" t="str">
        <f>IF(ISNA(VLOOKUP(Tableau13[[#This Row],[Code machine]],'CODE mchn'!$A$4:$C$170,3,0)),"",VLOOKUP(Tableau13[[#This Row],[Code machine]],'CODE mchn'!$A$4:$C$170,3,0))</f>
        <v>EVG GE12</v>
      </c>
      <c r="E1621" s="105"/>
      <c r="F1621" s="36"/>
      <c r="G1621" s="184" t="s">
        <v>2243</v>
      </c>
      <c r="H1621" s="184" t="s">
        <v>2898</v>
      </c>
      <c r="I1621" s="184" t="s">
        <v>13</v>
      </c>
      <c r="J1621" s="251" t="s">
        <v>2899</v>
      </c>
      <c r="K1621" s="185">
        <v>44362</v>
      </c>
      <c r="L1621" s="184"/>
      <c r="M1621" s="186">
        <f>60*8*2</f>
        <v>960</v>
      </c>
      <c r="N1621" s="186">
        <f>MONTH(Tableau13[[#This Row],[Date fin intervention]])</f>
        <v>6</v>
      </c>
      <c r="O1621" s="186">
        <f>YEAR(Tableau13[[#This Row],[Date fin intervention]])</f>
        <v>2021</v>
      </c>
      <c r="P1621" s="184"/>
    </row>
    <row r="1622" spans="1:16">
      <c r="A1622" s="181">
        <v>44363</v>
      </c>
      <c r="B1622" s="182">
        <v>700</v>
      </c>
      <c r="C1622" s="183" t="str">
        <f>IF(ISNA(VLOOKUP(Tableau13[[#This Row],[Code machine]],'CODE mchn'!$A$4:$C$170,2,0)),"",VLOOKUP(Tableau13[[#This Row],[Code machine]],'CODE mchn'!$A$4:$C$170,2,0))</f>
        <v>Béton</v>
      </c>
      <c r="D1622" s="184" t="str">
        <f>IF(ISNA(VLOOKUP(Tableau13[[#This Row],[Code machine]],'CODE mchn'!$A$4:$C$170,3,0)),"",VLOOKUP(Tableau13[[#This Row],[Code machine]],'CODE mchn'!$A$4:$C$170,3,0))</f>
        <v>Poyatos 1</v>
      </c>
      <c r="E1622" s="105">
        <v>25517</v>
      </c>
      <c r="F1622" s="36"/>
      <c r="G1622" s="184" t="s">
        <v>185</v>
      </c>
      <c r="H1622" s="184" t="s">
        <v>875</v>
      </c>
      <c r="I1622" s="184" t="s">
        <v>13</v>
      </c>
      <c r="J1622" s="251" t="s">
        <v>2773</v>
      </c>
      <c r="K1622" s="185">
        <v>44363</v>
      </c>
      <c r="L1622" s="184"/>
      <c r="M1622" s="186">
        <v>120</v>
      </c>
      <c r="N1622" s="186">
        <f>MONTH(Tableau13[[#This Row],[Date fin intervention]])</f>
        <v>6</v>
      </c>
      <c r="O1622" s="186">
        <f>YEAR(Tableau13[[#This Row],[Date fin intervention]])</f>
        <v>2021</v>
      </c>
      <c r="P1622" s="184"/>
    </row>
    <row r="1623" spans="1:16">
      <c r="A1623" s="181">
        <v>44363</v>
      </c>
      <c r="B1623" s="182">
        <v>700</v>
      </c>
      <c r="C1623" s="183" t="str">
        <f>IF(ISNA(VLOOKUP(Tableau13[[#This Row],[Code machine]],'CODE mchn'!$A$4:$C$170,2,0)),"",VLOOKUP(Tableau13[[#This Row],[Code machine]],'CODE mchn'!$A$4:$C$170,2,0))</f>
        <v>Béton</v>
      </c>
      <c r="D1623" s="184" t="str">
        <f>IF(ISNA(VLOOKUP(Tableau13[[#This Row],[Code machine]],'CODE mchn'!$A$4:$C$170,3,0)),"",VLOOKUP(Tableau13[[#This Row],[Code machine]],'CODE mchn'!$A$4:$C$170,3,0))</f>
        <v>Poyatos 1</v>
      </c>
      <c r="E1623" s="105">
        <v>25518</v>
      </c>
      <c r="F1623" s="36"/>
      <c r="G1623" s="184" t="s">
        <v>185</v>
      </c>
      <c r="H1623" s="184" t="s">
        <v>2876</v>
      </c>
      <c r="I1623" s="184" t="s">
        <v>13</v>
      </c>
      <c r="J1623" s="251" t="s">
        <v>585</v>
      </c>
      <c r="K1623" s="185">
        <v>44363</v>
      </c>
      <c r="L1623" s="184"/>
      <c r="M1623" s="186">
        <f>180</f>
        <v>180</v>
      </c>
      <c r="N1623" s="186">
        <f>MONTH(Tableau13[[#This Row],[Date fin intervention]])</f>
        <v>6</v>
      </c>
      <c r="O1623" s="186">
        <f>YEAR(Tableau13[[#This Row],[Date fin intervention]])</f>
        <v>2021</v>
      </c>
      <c r="P1623" s="184"/>
    </row>
    <row r="1624" spans="1:16">
      <c r="A1624" s="181">
        <v>44363</v>
      </c>
      <c r="B1624" s="182">
        <v>580</v>
      </c>
      <c r="C1624" s="183" t="str">
        <f>IF(ISNA(VLOOKUP(Tableau13[[#This Row],[Code machine]],'CODE mchn'!$A$4:$C$170,2,0)),"",VLOOKUP(Tableau13[[#This Row],[Code machine]],'CODE mchn'!$A$4:$C$170,2,0))</f>
        <v>Acier</v>
      </c>
      <c r="D1624" s="184" t="str">
        <f>IF(ISNA(VLOOKUP(Tableau13[[#This Row],[Code machine]],'CODE mchn'!$A$4:$C$170,3,0)),"",VLOOKUP(Tableau13[[#This Row],[Code machine]],'CODE mchn'!$A$4:$C$170,3,0))</f>
        <v>Techno Impiante</v>
      </c>
      <c r="E1624" s="105">
        <v>24514</v>
      </c>
      <c r="F1624" s="36"/>
      <c r="G1624" s="184" t="s">
        <v>70</v>
      </c>
      <c r="H1624" s="184" t="s">
        <v>764</v>
      </c>
      <c r="I1624" s="184" t="s">
        <v>13</v>
      </c>
      <c r="J1624" s="251" t="s">
        <v>2892</v>
      </c>
      <c r="K1624" s="185">
        <v>44366</v>
      </c>
      <c r="L1624" s="184"/>
      <c r="M1624" s="186">
        <f>4*8*60</f>
        <v>1920</v>
      </c>
      <c r="N1624" s="186">
        <f>MONTH(Tableau13[[#This Row],[Date fin intervention]])</f>
        <v>6</v>
      </c>
      <c r="O1624" s="186">
        <f>YEAR(Tableau13[[#This Row],[Date fin intervention]])</f>
        <v>2021</v>
      </c>
      <c r="P1624" s="184"/>
    </row>
    <row r="1625" spans="1:16">
      <c r="A1625" s="181">
        <v>44364</v>
      </c>
      <c r="B1625" s="182">
        <v>700</v>
      </c>
      <c r="C1625" s="183" t="str">
        <f>IF(ISNA(VLOOKUP(Tableau13[[#This Row],[Code machine]],'CODE mchn'!$A$4:$C$170,2,0)),"",VLOOKUP(Tableau13[[#This Row],[Code machine]],'CODE mchn'!$A$4:$C$170,2,0))</f>
        <v>Béton</v>
      </c>
      <c r="D1625" s="184" t="str">
        <f>IF(ISNA(VLOOKUP(Tableau13[[#This Row],[Code machine]],'CODE mchn'!$A$4:$C$170,3,0)),"",VLOOKUP(Tableau13[[#This Row],[Code machine]],'CODE mchn'!$A$4:$C$170,3,0))</f>
        <v>Poyatos 1</v>
      </c>
      <c r="E1625" s="105">
        <v>25519</v>
      </c>
      <c r="F1625" s="36"/>
      <c r="G1625" s="184" t="s">
        <v>291</v>
      </c>
      <c r="H1625" s="184" t="s">
        <v>2877</v>
      </c>
      <c r="I1625" s="184" t="s">
        <v>13</v>
      </c>
      <c r="J1625" s="251" t="s">
        <v>2878</v>
      </c>
      <c r="K1625" s="217">
        <v>44364</v>
      </c>
      <c r="L1625" s="184"/>
      <c r="M1625" s="186">
        <f>6*60</f>
        <v>360</v>
      </c>
      <c r="N1625" s="186">
        <f>MONTH(Tableau13[[#This Row],[Date fin intervention]])</f>
        <v>6</v>
      </c>
      <c r="O1625" s="186">
        <f>YEAR(Tableau13[[#This Row],[Date fin intervention]])</f>
        <v>2021</v>
      </c>
      <c r="P1625" s="184"/>
    </row>
    <row r="1626" spans="1:16" ht="28.5">
      <c r="A1626" s="181">
        <v>44365</v>
      </c>
      <c r="B1626" s="182">
        <v>800</v>
      </c>
      <c r="C1626" s="183" t="str">
        <f>IF(ISNA(VLOOKUP(Tableau13[[#This Row],[Code machine]],'CODE mchn'!$A$4:$C$170,2,0)),"",VLOOKUP(Tableau13[[#This Row],[Code machine]],'CODE mchn'!$A$4:$C$170,2,0))</f>
        <v>Béton</v>
      </c>
      <c r="D1626" s="184" t="str">
        <f>IF(ISNA(VLOOKUP(Tableau13[[#This Row],[Code machine]],'CODE mchn'!$A$4:$C$170,3,0)),"",VLOOKUP(Tableau13[[#This Row],[Code machine]],'CODE mchn'!$A$4:$C$170,3,0))</f>
        <v>Poyatos 2</v>
      </c>
      <c r="E1626" s="105">
        <v>25520</v>
      </c>
      <c r="F1626" s="36"/>
      <c r="G1626" s="184" t="s">
        <v>185</v>
      </c>
      <c r="H1626" s="184" t="s">
        <v>2879</v>
      </c>
      <c r="I1626" s="184" t="s">
        <v>13</v>
      </c>
      <c r="J1626" s="251" t="s">
        <v>2880</v>
      </c>
      <c r="K1626" s="185">
        <v>44365</v>
      </c>
      <c r="L1626" s="36" t="s">
        <v>3029</v>
      </c>
      <c r="M1626" s="186">
        <f>4*60</f>
        <v>240</v>
      </c>
      <c r="N1626" s="186">
        <f>MONTH(Tableau13[[#This Row],[Date fin intervention]])</f>
        <v>6</v>
      </c>
      <c r="O1626" s="186">
        <f>YEAR(Tableau13[[#This Row],[Date fin intervention]])</f>
        <v>2021</v>
      </c>
      <c r="P1626" s="36"/>
    </row>
    <row r="1627" spans="1:16">
      <c r="A1627" s="181">
        <v>44365</v>
      </c>
      <c r="B1627" s="182">
        <v>800</v>
      </c>
      <c r="C1627" s="183" t="str">
        <f>IF(ISNA(VLOOKUP(Tableau13[[#This Row],[Code machine]],'CODE mchn'!$A$4:$C$170,2,0)),"",VLOOKUP(Tableau13[[#This Row],[Code machine]],'CODE mchn'!$A$4:$C$170,2,0))</f>
        <v>Béton</v>
      </c>
      <c r="D1627" s="184" t="str">
        <f>IF(ISNA(VLOOKUP(Tableau13[[#This Row],[Code machine]],'CODE mchn'!$A$4:$C$170,3,0)),"",VLOOKUP(Tableau13[[#This Row],[Code machine]],'CODE mchn'!$A$4:$C$170,3,0))</f>
        <v>Poyatos 2</v>
      </c>
      <c r="E1627" s="105">
        <v>25521</v>
      </c>
      <c r="F1627" s="36"/>
      <c r="G1627" s="184" t="s">
        <v>2881</v>
      </c>
      <c r="H1627" s="184" t="s">
        <v>2882</v>
      </c>
      <c r="I1627" s="184" t="s">
        <v>13</v>
      </c>
      <c r="J1627" s="251" t="s">
        <v>2883</v>
      </c>
      <c r="K1627" s="185">
        <v>44365</v>
      </c>
      <c r="L1627" s="184"/>
      <c r="M1627" s="186">
        <v>45</v>
      </c>
      <c r="N1627" s="186">
        <f>MONTH(Tableau13[[#This Row],[Date fin intervention]])</f>
        <v>6</v>
      </c>
      <c r="O1627" s="186">
        <f>YEAR(Tableau13[[#This Row],[Date fin intervention]])</f>
        <v>2021</v>
      </c>
      <c r="P1627" s="184"/>
    </row>
    <row r="1628" spans="1:16">
      <c r="A1628" s="181">
        <v>44368</v>
      </c>
      <c r="B1628" s="182">
        <v>800</v>
      </c>
      <c r="C1628" s="183" t="str">
        <f>IF(ISNA(VLOOKUP(Tableau13[[#This Row],[Code machine]],'CODE mchn'!$A$4:$C$170,2,0)),"",VLOOKUP(Tableau13[[#This Row],[Code machine]],'CODE mchn'!$A$4:$C$170,2,0))</f>
        <v>Béton</v>
      </c>
      <c r="D1628" s="184" t="str">
        <f>IF(ISNA(VLOOKUP(Tableau13[[#This Row],[Code machine]],'CODE mchn'!$A$4:$C$170,3,0)),"",VLOOKUP(Tableau13[[#This Row],[Code machine]],'CODE mchn'!$A$4:$C$170,3,0))</f>
        <v>Poyatos 2</v>
      </c>
      <c r="E1628" s="105">
        <v>25522</v>
      </c>
      <c r="F1628" s="36"/>
      <c r="G1628" s="184" t="s">
        <v>185</v>
      </c>
      <c r="H1628" s="184" t="s">
        <v>1615</v>
      </c>
      <c r="I1628" s="184" t="s">
        <v>13</v>
      </c>
      <c r="J1628" s="251" t="s">
        <v>2885</v>
      </c>
      <c r="K1628" s="185">
        <v>44370</v>
      </c>
      <c r="L1628" s="184"/>
      <c r="M1628" s="186">
        <f>8*3*60+180</f>
        <v>1620</v>
      </c>
      <c r="N1628" s="186">
        <f>MONTH(Tableau13[[#This Row],[Date fin intervention]])</f>
        <v>6</v>
      </c>
      <c r="O1628" s="186">
        <f>YEAR(Tableau13[[#This Row],[Date fin intervention]])</f>
        <v>2021</v>
      </c>
      <c r="P1628" s="184"/>
    </row>
    <row r="1629" spans="1:16">
      <c r="A1629" s="181">
        <v>44370</v>
      </c>
      <c r="B1629" s="182">
        <v>800</v>
      </c>
      <c r="C1629" s="183" t="str">
        <f>IF(ISNA(VLOOKUP(Tableau13[[#This Row],[Code machine]],'CODE mchn'!$A$4:$C$170,2,0)),"",VLOOKUP(Tableau13[[#This Row],[Code machine]],'CODE mchn'!$A$4:$C$170,2,0))</f>
        <v>Béton</v>
      </c>
      <c r="D1629" s="184" t="str">
        <f>IF(ISNA(VLOOKUP(Tableau13[[#This Row],[Code machine]],'CODE mchn'!$A$4:$C$170,3,0)),"",VLOOKUP(Tableau13[[#This Row],[Code machine]],'CODE mchn'!$A$4:$C$170,3,0))</f>
        <v>Poyatos 2</v>
      </c>
      <c r="E1629" s="105">
        <v>25527</v>
      </c>
      <c r="F1629" s="36"/>
      <c r="G1629" s="184" t="s">
        <v>185</v>
      </c>
      <c r="H1629" s="184" t="s">
        <v>2886</v>
      </c>
      <c r="I1629" s="184" t="s">
        <v>13</v>
      </c>
      <c r="J1629" s="251" t="s">
        <v>2887</v>
      </c>
      <c r="K1629" s="185">
        <v>44370</v>
      </c>
      <c r="L1629" s="184"/>
      <c r="M1629" s="186">
        <v>180</v>
      </c>
      <c r="N1629" s="186">
        <f>MONTH(Tableau13[[#This Row],[Date fin intervention]])</f>
        <v>6</v>
      </c>
      <c r="O1629" s="186">
        <f>YEAR(Tableau13[[#This Row],[Date fin intervention]])</f>
        <v>2021</v>
      </c>
      <c r="P1629" s="184"/>
    </row>
    <row r="1630" spans="1:16">
      <c r="A1630" s="104">
        <v>44370</v>
      </c>
      <c r="B1630" s="105">
        <v>590</v>
      </c>
      <c r="C1630" s="106" t="str">
        <f>IF(ISNA(VLOOKUP(Tableau13[[#This Row],[Code machine]],'CODE mchn'!$A$4:$C$170,2,0)),"",VLOOKUP(Tableau13[[#This Row],[Code machine]],'CODE mchn'!$A$4:$C$170,2,0))</f>
        <v>Acier</v>
      </c>
      <c r="D1630" s="36" t="str">
        <f>IF(ISNA(VLOOKUP(Tableau13[[#This Row],[Code machine]],'CODE mchn'!$A$4:$C$170,3,0)),"",VLOOKUP(Tableau13[[#This Row],[Code machine]],'CODE mchn'!$A$4:$C$170,3,0))</f>
        <v>Teurema 3</v>
      </c>
      <c r="E1630" s="105">
        <v>14955</v>
      </c>
      <c r="F1630" s="36"/>
      <c r="G1630" s="36" t="s">
        <v>2917</v>
      </c>
      <c r="H1630" s="36" t="s">
        <v>2918</v>
      </c>
      <c r="I1630" s="36" t="s">
        <v>13</v>
      </c>
      <c r="J1630" s="252" t="s">
        <v>2919</v>
      </c>
      <c r="K1630" s="71">
        <v>44370</v>
      </c>
      <c r="L1630" s="36"/>
      <c r="M1630" s="108"/>
      <c r="N1630" s="108">
        <f>MONTH(Tableau13[[#This Row],[Date fin intervention]])</f>
        <v>6</v>
      </c>
      <c r="O1630" s="108">
        <f>YEAR(Tableau13[[#This Row],[Date fin intervention]])</f>
        <v>2021</v>
      </c>
      <c r="P1630" s="36"/>
    </row>
    <row r="1631" spans="1:16">
      <c r="A1631" s="181">
        <v>44372</v>
      </c>
      <c r="B1631" s="182">
        <v>700</v>
      </c>
      <c r="C1631" s="183" t="str">
        <f>IF(ISNA(VLOOKUP(Tableau13[[#This Row],[Code machine]],'CODE mchn'!$A$4:$C$170,2,0)),"",VLOOKUP(Tableau13[[#This Row],[Code machine]],'CODE mchn'!$A$4:$C$170,2,0))</f>
        <v>Béton</v>
      </c>
      <c r="D1631" s="184" t="str">
        <f>IF(ISNA(VLOOKUP(Tableau13[[#This Row],[Code machine]],'CODE mchn'!$A$4:$C$170,3,0)),"",VLOOKUP(Tableau13[[#This Row],[Code machine]],'CODE mchn'!$A$4:$C$170,3,0))</f>
        <v>Poyatos 1</v>
      </c>
      <c r="E1631" s="105">
        <v>25530</v>
      </c>
      <c r="F1631" s="36"/>
      <c r="G1631" s="184" t="s">
        <v>2888</v>
      </c>
      <c r="H1631" s="184" t="s">
        <v>2889</v>
      </c>
      <c r="I1631" s="184" t="s">
        <v>13</v>
      </c>
      <c r="J1631" s="251" t="s">
        <v>2890</v>
      </c>
      <c r="K1631" s="185">
        <v>44372</v>
      </c>
      <c r="L1631" s="184"/>
      <c r="M1631" s="186">
        <v>30</v>
      </c>
      <c r="N1631" s="186">
        <f>MONTH(Tableau13[[#This Row],[Date fin intervention]])</f>
        <v>6</v>
      </c>
      <c r="O1631" s="186">
        <f>YEAR(Tableau13[[#This Row],[Date fin intervention]])</f>
        <v>2021</v>
      </c>
      <c r="P1631" s="184"/>
    </row>
    <row r="1632" spans="1:16">
      <c r="A1632" s="181">
        <v>44375</v>
      </c>
      <c r="B1632" s="182">
        <v>700</v>
      </c>
      <c r="C1632" s="183" t="str">
        <f>IF(ISNA(VLOOKUP(Tableau13[[#This Row],[Code machine]],'CODE mchn'!$A$4:$C$170,2,0)),"",VLOOKUP(Tableau13[[#This Row],[Code machine]],'CODE mchn'!$A$4:$C$170,2,0))</f>
        <v>Béton</v>
      </c>
      <c r="D1632" s="184" t="str">
        <f>IF(ISNA(VLOOKUP(Tableau13[[#This Row],[Code machine]],'CODE mchn'!$A$4:$C$170,3,0)),"",VLOOKUP(Tableau13[[#This Row],[Code machine]],'CODE mchn'!$A$4:$C$170,3,0))</f>
        <v>Poyatos 1</v>
      </c>
      <c r="E1632" s="105">
        <v>25534</v>
      </c>
      <c r="F1632" s="36"/>
      <c r="G1632" s="184" t="s">
        <v>2315</v>
      </c>
      <c r="H1632" s="184" t="s">
        <v>2891</v>
      </c>
      <c r="I1632" s="184" t="s">
        <v>13</v>
      </c>
      <c r="J1632" s="251" t="s">
        <v>2144</v>
      </c>
      <c r="K1632" s="185">
        <v>44375</v>
      </c>
      <c r="L1632" s="184"/>
      <c r="M1632" s="186">
        <v>45</v>
      </c>
      <c r="N1632" s="186">
        <f>MONTH(Tableau13[[#This Row],[Date fin intervention]])</f>
        <v>6</v>
      </c>
      <c r="O1632" s="186">
        <f>YEAR(Tableau13[[#This Row],[Date fin intervention]])</f>
        <v>2021</v>
      </c>
      <c r="P1632" s="184"/>
    </row>
    <row r="1633" spans="1:16">
      <c r="A1633" s="238">
        <v>44378</v>
      </c>
      <c r="B1633" s="239">
        <v>700</v>
      </c>
      <c r="C1633" s="240" t="str">
        <f>IF(ISNA(VLOOKUP(Tableau13[[#This Row],[Code machine]],'CODE mchn'!$A$4:$C$170,2,0)),"",VLOOKUP(Tableau13[[#This Row],[Code machine]],'CODE mchn'!$A$4:$C$170,2,0))</f>
        <v>Béton</v>
      </c>
      <c r="D1633" s="241" t="str">
        <f>IF(ISNA(VLOOKUP(Tableau13[[#This Row],[Code machine]],'CODE mchn'!$A$4:$C$170,3,0)),"",VLOOKUP(Tableau13[[#This Row],[Code machine]],'CODE mchn'!$A$4:$C$170,3,0))</f>
        <v>Poyatos 1</v>
      </c>
      <c r="E1633" s="239"/>
      <c r="F1633" s="241"/>
      <c r="G1633" s="241" t="s">
        <v>118</v>
      </c>
      <c r="H1633" s="241" t="s">
        <v>4120</v>
      </c>
      <c r="I1633" s="241" t="s">
        <v>30</v>
      </c>
      <c r="J1633" s="249" t="s">
        <v>4124</v>
      </c>
      <c r="K1633" s="242">
        <v>44378</v>
      </c>
      <c r="L1633" s="241"/>
      <c r="M1633" s="243">
        <v>45</v>
      </c>
      <c r="N1633" s="243">
        <f>MONTH(Tableau13[[#This Row],[Date fin intervention]])</f>
        <v>7</v>
      </c>
      <c r="O1633" s="243">
        <f>YEAR(Tableau13[[#This Row],[Date fin intervention]])</f>
        <v>2021</v>
      </c>
      <c r="P1633" s="241"/>
    </row>
    <row r="1634" spans="1:16">
      <c r="A1634" s="104">
        <v>44382</v>
      </c>
      <c r="B1634" s="105">
        <v>800</v>
      </c>
      <c r="C1634" s="106" t="str">
        <f>IF(ISNA(VLOOKUP(Tableau13[[#This Row],[Code machine]],'CODE mchn'!$A$4:$C$170,2,0)),"",VLOOKUP(Tableau13[[#This Row],[Code machine]],'CODE mchn'!$A$4:$C$170,2,0))</f>
        <v>Béton</v>
      </c>
      <c r="D1634" s="36" t="str">
        <f>IF(ISNA(VLOOKUP(Tableau13[[#This Row],[Code machine]],'CODE mchn'!$A$4:$C$170,3,0)),"",VLOOKUP(Tableau13[[#This Row],[Code machine]],'CODE mchn'!$A$4:$C$170,3,0))</f>
        <v>Poyatos 2</v>
      </c>
      <c r="E1634" s="105">
        <v>15905</v>
      </c>
      <c r="F1634" s="36"/>
      <c r="G1634" s="36" t="s">
        <v>291</v>
      </c>
      <c r="H1634" s="36" t="s">
        <v>2907</v>
      </c>
      <c r="I1634" s="36" t="s">
        <v>2765</v>
      </c>
      <c r="J1634" s="252" t="s">
        <v>3030</v>
      </c>
      <c r="K1634" s="71">
        <v>44382</v>
      </c>
      <c r="L1634" s="36" t="s">
        <v>2921</v>
      </c>
      <c r="M1634" s="108">
        <v>90</v>
      </c>
      <c r="N1634" s="108">
        <f>MONTH(Tableau13[[#This Row],[Date fin intervention]])</f>
        <v>7</v>
      </c>
      <c r="O1634" s="108">
        <f>YEAR(Tableau13[[#This Row],[Date fin intervention]])</f>
        <v>2021</v>
      </c>
      <c r="P1634" s="36"/>
    </row>
    <row r="1635" spans="1:16" ht="57">
      <c r="A1635" s="104">
        <v>44396</v>
      </c>
      <c r="B1635" s="105">
        <v>700</v>
      </c>
      <c r="C1635" s="106" t="str">
        <f>IF(ISNA(VLOOKUP(Tableau13[[#This Row],[Code machine]],'CODE mchn'!$A$4:$C$170,2,0)),"",VLOOKUP(Tableau13[[#This Row],[Code machine]],'CODE mchn'!$A$4:$C$170,2,0))</f>
        <v>Béton</v>
      </c>
      <c r="D1635" s="36" t="str">
        <f>IF(ISNA(VLOOKUP(Tableau13[[#This Row],[Code machine]],'CODE mchn'!$A$4:$C$170,3,0)),"",VLOOKUP(Tableau13[[#This Row],[Code machine]],'CODE mchn'!$A$4:$C$170,3,0))</f>
        <v>Poyatos 1</v>
      </c>
      <c r="E1635" s="105">
        <v>15765</v>
      </c>
      <c r="F1635" s="36"/>
      <c r="G1635" s="36" t="s">
        <v>3</v>
      </c>
      <c r="H1635" s="36" t="s">
        <v>1612</v>
      </c>
      <c r="I1635" s="36" t="s">
        <v>1578</v>
      </c>
      <c r="J1635" s="252" t="s">
        <v>2920</v>
      </c>
      <c r="K1635" s="71">
        <v>44408</v>
      </c>
      <c r="L1635" s="36"/>
      <c r="M1635" s="108">
        <f>9*8*60</f>
        <v>4320</v>
      </c>
      <c r="N1635" s="108">
        <f>MONTH(Tableau13[[#This Row],[Date fin intervention]])</f>
        <v>7</v>
      </c>
      <c r="O1635" s="108">
        <f>YEAR(Tableau13[[#This Row],[Date fin intervention]])</f>
        <v>2021</v>
      </c>
      <c r="P1635" s="36"/>
    </row>
    <row r="1636" spans="1:16">
      <c r="A1636" s="104">
        <v>44412</v>
      </c>
      <c r="B1636" s="105">
        <v>606</v>
      </c>
      <c r="C1636" s="106" t="str">
        <f>IF(ISNA(VLOOKUP(Tableau13[[#This Row],[Code machine]],'CODE mchn'!$A$4:$C$170,2,0)),"",VLOOKUP(Tableau13[[#This Row],[Code machine]],'CODE mchn'!$A$4:$C$170,2,0))</f>
        <v>Acier</v>
      </c>
      <c r="D1636" s="36" t="str">
        <f>IF(ISNA(VLOOKUP(Tableau13[[#This Row],[Code machine]],'CODE mchn'!$A$4:$C$170,3,0)),"",VLOOKUP(Tableau13[[#This Row],[Code machine]],'CODE mchn'!$A$4:$C$170,3,0))</f>
        <v>Vitari 2</v>
      </c>
      <c r="E1636" s="105">
        <v>15509</v>
      </c>
      <c r="F1636" s="36"/>
      <c r="G1636" s="36" t="s">
        <v>664</v>
      </c>
      <c r="H1636" s="36" t="s">
        <v>563</v>
      </c>
      <c r="I1636" s="36" t="s">
        <v>101</v>
      </c>
      <c r="J1636" s="252" t="s">
        <v>2738</v>
      </c>
      <c r="K1636" s="71">
        <v>44413</v>
      </c>
      <c r="L1636" s="36"/>
      <c r="M1636" s="108">
        <f>8*60</f>
        <v>480</v>
      </c>
      <c r="N1636" s="108">
        <f>MONTH(Tableau13[[#This Row],[Date fin intervention]])</f>
        <v>8</v>
      </c>
      <c r="O1636" s="108">
        <f>YEAR(Tableau13[[#This Row],[Date fin intervention]])</f>
        <v>2021</v>
      </c>
      <c r="P1636" s="36"/>
    </row>
    <row r="1637" spans="1:16">
      <c r="A1637" s="104">
        <v>44412</v>
      </c>
      <c r="B1637" s="105">
        <v>800</v>
      </c>
      <c r="C1637" s="106" t="str">
        <f>IF(ISNA(VLOOKUP(Tableau13[[#This Row],[Code machine]],'CODE mchn'!$A$4:$C$170,2,0)),"",VLOOKUP(Tableau13[[#This Row],[Code machine]],'CODE mchn'!$A$4:$C$170,2,0))</f>
        <v>Béton</v>
      </c>
      <c r="D1637" s="36" t="str">
        <f>IF(ISNA(VLOOKUP(Tableau13[[#This Row],[Code machine]],'CODE mchn'!$A$4:$C$170,3,0)),"",VLOOKUP(Tableau13[[#This Row],[Code machine]],'CODE mchn'!$A$4:$C$170,3,0))</f>
        <v>Poyatos 2</v>
      </c>
      <c r="E1637" s="105"/>
      <c r="F1637" s="36"/>
      <c r="G1637" s="36" t="s">
        <v>185</v>
      </c>
      <c r="H1637" s="36" t="s">
        <v>4120</v>
      </c>
      <c r="I1637" s="36" t="s">
        <v>30</v>
      </c>
      <c r="J1637" s="252" t="s">
        <v>1387</v>
      </c>
      <c r="K1637" s="71">
        <v>44412</v>
      </c>
      <c r="L1637" s="36"/>
      <c r="M1637" s="108">
        <v>45</v>
      </c>
      <c r="N1637" s="108">
        <f>MONTH(Tableau13[[#This Row],[Date fin intervention]])</f>
        <v>8</v>
      </c>
      <c r="O1637" s="108">
        <f>YEAR(Tableau13[[#This Row],[Date fin intervention]])</f>
        <v>2021</v>
      </c>
      <c r="P1637" s="36"/>
    </row>
    <row r="1638" spans="1:16">
      <c r="A1638" s="104">
        <v>44413</v>
      </c>
      <c r="B1638" s="105">
        <v>565</v>
      </c>
      <c r="C1638" s="106" t="str">
        <f>IF(ISNA(VLOOKUP(Tableau13[[#This Row],[Code machine]],'CODE mchn'!$A$4:$C$170,2,0)),"",VLOOKUP(Tableau13[[#This Row],[Code machine]],'CODE mchn'!$A$4:$C$170,2,0))</f>
        <v>Acier</v>
      </c>
      <c r="D1638" s="36" t="str">
        <f>IF(ISNA(VLOOKUP(Tableau13[[#This Row],[Code machine]],'CODE mchn'!$A$4:$C$170,3,0)),"",VLOOKUP(Tableau13[[#This Row],[Code machine]],'CODE mchn'!$A$4:$C$170,3,0))</f>
        <v>EVG GE12</v>
      </c>
      <c r="E1638" s="105">
        <v>15511</v>
      </c>
      <c r="F1638" s="36"/>
      <c r="G1638" s="36" t="s">
        <v>1101</v>
      </c>
      <c r="H1638" s="36" t="s">
        <v>2929</v>
      </c>
      <c r="I1638" s="36" t="s">
        <v>13</v>
      </c>
      <c r="J1638" s="252" t="s">
        <v>2930</v>
      </c>
      <c r="K1638" s="71">
        <v>44413</v>
      </c>
      <c r="L1638" s="36"/>
      <c r="M1638" s="108">
        <f>2*8*60</f>
        <v>960</v>
      </c>
      <c r="N1638" s="108">
        <f>MONTH(Tableau13[[#This Row],[Date fin intervention]])</f>
        <v>8</v>
      </c>
      <c r="O1638" s="108">
        <f>YEAR(Tableau13[[#This Row],[Date fin intervention]])</f>
        <v>2021</v>
      </c>
      <c r="P1638" s="36"/>
    </row>
    <row r="1639" spans="1:16">
      <c r="A1639" s="104">
        <v>44414</v>
      </c>
      <c r="B1639" s="105">
        <v>565</v>
      </c>
      <c r="C1639" s="106" t="str">
        <f>IF(ISNA(VLOOKUP(Tableau13[[#This Row],[Code machine]],'CODE mchn'!$A$4:$C$170,2,0)),"",VLOOKUP(Tableau13[[#This Row],[Code machine]],'CODE mchn'!$A$4:$C$170,2,0))</f>
        <v>Acier</v>
      </c>
      <c r="D1639" s="36" t="str">
        <f>IF(ISNA(VLOOKUP(Tableau13[[#This Row],[Code machine]],'CODE mchn'!$A$4:$C$170,3,0)),"",VLOOKUP(Tableau13[[#This Row],[Code machine]],'CODE mchn'!$A$4:$C$170,3,0))</f>
        <v>EVG GE12</v>
      </c>
      <c r="E1639" s="105">
        <v>15513</v>
      </c>
      <c r="F1639" s="36"/>
      <c r="G1639" s="36" t="s">
        <v>2243</v>
      </c>
      <c r="H1639" s="36" t="s">
        <v>2927</v>
      </c>
      <c r="I1639" s="36" t="s">
        <v>13</v>
      </c>
      <c r="J1639" s="252" t="s">
        <v>2926</v>
      </c>
      <c r="K1639" s="71">
        <v>44414</v>
      </c>
      <c r="L1639" s="36"/>
      <c r="M1639" s="108">
        <f>60*8*2</f>
        <v>960</v>
      </c>
      <c r="N1639" s="108">
        <f>MONTH(Tableau13[[#This Row],[Date fin intervention]])</f>
        <v>8</v>
      </c>
      <c r="O1639" s="108">
        <f>YEAR(Tableau13[[#This Row],[Date fin intervention]])</f>
        <v>2021</v>
      </c>
      <c r="P1639" s="36"/>
    </row>
    <row r="1640" spans="1:16" ht="28.5">
      <c r="A1640" s="104">
        <v>44415</v>
      </c>
      <c r="B1640" s="105">
        <v>568</v>
      </c>
      <c r="C1640" s="106" t="str">
        <f>IF(ISNA(VLOOKUP(Tableau13[[#This Row],[Code machine]],'CODE mchn'!$A$4:$C$170,2,0)),"",VLOOKUP(Tableau13[[#This Row],[Code machine]],'CODE mchn'!$A$4:$C$170,2,0))</f>
        <v>Ponts roulants</v>
      </c>
      <c r="D1640" s="36" t="str">
        <f>IF(ISNA(VLOOKUP(Tableau13[[#This Row],[Code machine]],'CODE mchn'!$A$4:$C$170,3,0)),"",VLOOKUP(Tableau13[[#This Row],[Code machine]],'CODE mchn'!$A$4:$C$170,3,0))</f>
        <v>Pont roulant Demag 5T (milieu)</v>
      </c>
      <c r="E1640" s="105">
        <v>15514</v>
      </c>
      <c r="F1640" s="36"/>
      <c r="G1640" s="36" t="s">
        <v>2923</v>
      </c>
      <c r="H1640" s="36" t="s">
        <v>810</v>
      </c>
      <c r="I1640" s="36" t="s">
        <v>2924</v>
      </c>
      <c r="J1640" s="252" t="s">
        <v>2925</v>
      </c>
      <c r="K1640" s="71">
        <v>44415</v>
      </c>
      <c r="L1640" s="36"/>
      <c r="M1640" s="108">
        <f>60*8*4</f>
        <v>1920</v>
      </c>
      <c r="N1640" s="108">
        <f>MONTH(Tableau13[[#This Row],[Date fin intervention]])</f>
        <v>8</v>
      </c>
      <c r="O1640" s="108">
        <f>YEAR(Tableau13[[#This Row],[Date fin intervention]])</f>
        <v>2021</v>
      </c>
      <c r="P1640" s="36"/>
    </row>
    <row r="1641" spans="1:16">
      <c r="A1641" s="218">
        <v>44419</v>
      </c>
      <c r="B1641" s="219">
        <v>571</v>
      </c>
      <c r="C1641" s="220" t="str">
        <f>IF(ISNA(VLOOKUP(Tableau13[[#This Row],[Code machine]],'CODE mchn'!$A$4:$C$170,2,0)),"",VLOOKUP(Tableau13[[#This Row],[Code machine]],'CODE mchn'!$A$4:$C$170,2,0))</f>
        <v>Acier</v>
      </c>
      <c r="D1641" s="72" t="str">
        <f>IF(ISNA(VLOOKUP(Tableau13[[#This Row],[Code machine]],'CODE mchn'!$A$4:$C$170,3,0)),"",VLOOKUP(Tableau13[[#This Row],[Code machine]],'CODE mchn'!$A$4:$C$170,3,0))</f>
        <v>EVG PN 1</v>
      </c>
      <c r="E1641" s="105">
        <v>25314</v>
      </c>
      <c r="F1641" s="36"/>
      <c r="G1641" s="72" t="s">
        <v>78</v>
      </c>
      <c r="H1641" s="72" t="s">
        <v>2989</v>
      </c>
      <c r="I1641" s="72" t="s">
        <v>13</v>
      </c>
      <c r="J1641" s="253" t="s">
        <v>2990</v>
      </c>
      <c r="K1641" s="73">
        <v>44439</v>
      </c>
      <c r="L1641" s="72"/>
      <c r="M1641" s="221">
        <f>18*60*8</f>
        <v>8640</v>
      </c>
      <c r="N1641" s="221">
        <f>MONTH(Tableau13[[#This Row],[Date fin intervention]])</f>
        <v>8</v>
      </c>
      <c r="O1641" s="221">
        <f>YEAR(Tableau13[[#This Row],[Date fin intervention]])</f>
        <v>2021</v>
      </c>
      <c r="P1641" s="72"/>
    </row>
    <row r="1642" spans="1:16">
      <c r="A1642" s="104">
        <v>44427</v>
      </c>
      <c r="B1642" s="105">
        <v>700</v>
      </c>
      <c r="C1642" s="106" t="str">
        <f>IF(ISNA(VLOOKUP(Tableau13[[#This Row],[Code machine]],'CODE mchn'!$A$4:$C$170,2,0)),"",VLOOKUP(Tableau13[[#This Row],[Code machine]],'CODE mchn'!$A$4:$C$170,2,0))</f>
        <v>Béton</v>
      </c>
      <c r="D1642" s="36" t="str">
        <f>IF(ISNA(VLOOKUP(Tableau13[[#This Row],[Code machine]],'CODE mchn'!$A$4:$C$170,3,0)),"",VLOOKUP(Tableau13[[#This Row],[Code machine]],'CODE mchn'!$A$4:$C$170,3,0))</f>
        <v>Poyatos 1</v>
      </c>
      <c r="E1642" s="105">
        <v>15913</v>
      </c>
      <c r="F1642" s="36"/>
      <c r="G1642" s="36" t="s">
        <v>409</v>
      </c>
      <c r="H1642" s="36" t="s">
        <v>724</v>
      </c>
      <c r="I1642" s="36" t="s">
        <v>101</v>
      </c>
      <c r="J1642" s="252" t="s">
        <v>2922</v>
      </c>
      <c r="K1642" s="71">
        <v>44427</v>
      </c>
      <c r="L1642" s="36"/>
      <c r="M1642" s="108">
        <v>120</v>
      </c>
      <c r="N1642" s="108">
        <f>MONTH(Tableau13[[#This Row],[Date fin intervention]])</f>
        <v>8</v>
      </c>
      <c r="O1642" s="108">
        <f>YEAR(Tableau13[[#This Row],[Date fin intervention]])</f>
        <v>2021</v>
      </c>
      <c r="P1642" s="36"/>
    </row>
    <row r="1643" spans="1:16">
      <c r="A1643" s="104">
        <v>44427</v>
      </c>
      <c r="B1643" s="105">
        <v>534</v>
      </c>
      <c r="C1643" s="106" t="str">
        <f>IF(ISNA(VLOOKUP(Tableau13[[#This Row],[Code machine]],'CODE mchn'!$A$4:$C$170,2,0)),"",VLOOKUP(Tableau13[[#This Row],[Code machine]],'CODE mchn'!$A$4:$C$170,2,0))</f>
        <v>Enrobage</v>
      </c>
      <c r="D1643" s="36" t="str">
        <f>IF(ISNA(VLOOKUP(Tableau13[[#This Row],[Code machine]],'CODE mchn'!$A$4:$C$170,3,0)),"",VLOOKUP(Tableau13[[#This Row],[Code machine]],'CODE mchn'!$A$4:$C$170,3,0))</f>
        <v>ELKON 2</v>
      </c>
      <c r="E1643" s="105">
        <v>14402</v>
      </c>
      <c r="F1643" s="36"/>
      <c r="G1643" s="36" t="s">
        <v>35</v>
      </c>
      <c r="H1643" s="36" t="s">
        <v>2928</v>
      </c>
      <c r="I1643" s="36" t="s">
        <v>13</v>
      </c>
      <c r="J1643" s="252" t="s">
        <v>1857</v>
      </c>
      <c r="K1643" s="71">
        <v>44427</v>
      </c>
      <c r="L1643" s="36"/>
      <c r="M1643" s="108">
        <f>4*60</f>
        <v>240</v>
      </c>
      <c r="N1643" s="108">
        <f>MONTH(Tableau13[[#This Row],[Date fin intervention]])</f>
        <v>8</v>
      </c>
      <c r="O1643" s="108">
        <f>YEAR(Tableau13[[#This Row],[Date fin intervention]])</f>
        <v>2021</v>
      </c>
      <c r="P1643" s="36"/>
    </row>
    <row r="1644" spans="1:16">
      <c r="A1644" s="104">
        <v>44431</v>
      </c>
      <c r="B1644" s="105">
        <v>700</v>
      </c>
      <c r="C1644" s="106" t="str">
        <f>IF(ISNA(VLOOKUP(Tableau13[[#This Row],[Code machine]],'CODE mchn'!$A$4:$C$170,2,0)),"",VLOOKUP(Tableau13[[#This Row],[Code machine]],'CODE mchn'!$A$4:$C$170,2,0))</f>
        <v>Béton</v>
      </c>
      <c r="D1644" s="36" t="str">
        <f>IF(ISNA(VLOOKUP(Tableau13[[#This Row],[Code machine]],'CODE mchn'!$A$4:$C$170,3,0)),"",VLOOKUP(Tableau13[[#This Row],[Code machine]],'CODE mchn'!$A$4:$C$170,3,0))</f>
        <v>Poyatos 1</v>
      </c>
      <c r="E1644" s="105">
        <v>25701</v>
      </c>
      <c r="F1644" s="36"/>
      <c r="G1644" s="36" t="s">
        <v>128</v>
      </c>
      <c r="H1644" s="36" t="s">
        <v>2900</v>
      </c>
      <c r="I1644" s="36" t="s">
        <v>13</v>
      </c>
      <c r="J1644" s="252" t="s">
        <v>2901</v>
      </c>
      <c r="K1644" s="71">
        <v>44431</v>
      </c>
      <c r="L1644" s="36"/>
      <c r="M1644" s="108">
        <v>60</v>
      </c>
      <c r="N1644" s="108">
        <f>MONTH(Tableau13[[#This Row],[Date fin intervention]])</f>
        <v>8</v>
      </c>
      <c r="O1644" s="108">
        <f>YEAR(Tableau13[[#This Row],[Date fin intervention]])</f>
        <v>2021</v>
      </c>
      <c r="P1644" s="36"/>
    </row>
    <row r="1645" spans="1:16" ht="42.75">
      <c r="A1645" s="104">
        <v>44431</v>
      </c>
      <c r="B1645" s="105">
        <v>722</v>
      </c>
      <c r="C1645" s="106" t="str">
        <f>IF(ISNA(VLOOKUP(Tableau13[[#This Row],[Code machine]],'CODE mchn'!$A$4:$C$170,2,0)),"",VLOOKUP(Tableau13[[#This Row],[Code machine]],'CODE mchn'!$A$4:$C$170,2,0))</f>
        <v>Compresseurs</v>
      </c>
      <c r="D1645" s="36" t="str">
        <f>IF(ISNA(VLOOKUP(Tableau13[[#This Row],[Code machine]],'CODE mchn'!$A$4:$C$170,3,0)),"",VLOOKUP(Tableau13[[#This Row],[Code machine]],'CODE mchn'!$A$4:$C$170,3,0))</f>
        <v xml:space="preserve">GA 22 (poyatos) </v>
      </c>
      <c r="E1645" s="105">
        <v>25702</v>
      </c>
      <c r="F1645" s="36"/>
      <c r="G1645" s="36" t="s">
        <v>2902</v>
      </c>
      <c r="H1645" s="36" t="s">
        <v>2903</v>
      </c>
      <c r="I1645" s="36" t="s">
        <v>13</v>
      </c>
      <c r="J1645" s="252" t="s">
        <v>2904</v>
      </c>
      <c r="K1645" s="71">
        <v>44431</v>
      </c>
      <c r="L1645" s="36"/>
      <c r="M1645" s="108"/>
      <c r="N1645" s="108">
        <f>MONTH(Tableau13[[#This Row],[Date fin intervention]])</f>
        <v>8</v>
      </c>
      <c r="O1645" s="108">
        <f>YEAR(Tableau13[[#This Row],[Date fin intervention]])</f>
        <v>2021</v>
      </c>
      <c r="P1645" s="36"/>
    </row>
    <row r="1646" spans="1:16">
      <c r="A1646" s="104">
        <v>44431</v>
      </c>
      <c r="B1646" s="105">
        <v>561</v>
      </c>
      <c r="C1646" s="106" t="str">
        <f>IF(ISNA(VLOOKUP(Tableau13[[#This Row],[Code machine]],'CODE mchn'!$A$4:$C$170,2,0)),"",VLOOKUP(Tableau13[[#This Row],[Code machine]],'CODE mchn'!$A$4:$C$170,2,0))</f>
        <v>Ponts roulants</v>
      </c>
      <c r="D1646" s="36" t="str">
        <f>IF(ISNA(VLOOKUP(Tableau13[[#This Row],[Code machine]],'CODE mchn'!$A$4:$C$170,3,0)),"",VLOOKUP(Tableau13[[#This Row],[Code machine]],'CODE mchn'!$A$4:$C$170,3,0))</f>
        <v>Pont roulant Demag 5T TS</v>
      </c>
      <c r="E1646" s="105">
        <v>25703</v>
      </c>
      <c r="F1646" s="36"/>
      <c r="G1646" s="36" t="s">
        <v>1338</v>
      </c>
      <c r="H1646" s="36" t="s">
        <v>2905</v>
      </c>
      <c r="I1646" s="36" t="s">
        <v>13</v>
      </c>
      <c r="J1646" s="252" t="s">
        <v>2906</v>
      </c>
      <c r="K1646" s="71">
        <v>44431</v>
      </c>
      <c r="L1646" s="36"/>
      <c r="M1646" s="108">
        <v>90</v>
      </c>
      <c r="N1646" s="108">
        <f>MONTH(Tableau13[[#This Row],[Date fin intervention]])</f>
        <v>8</v>
      </c>
      <c r="O1646" s="108">
        <f>YEAR(Tableau13[[#This Row],[Date fin intervention]])</f>
        <v>2021</v>
      </c>
      <c r="P1646" s="36"/>
    </row>
    <row r="1647" spans="1:16" ht="28.5">
      <c r="A1647" s="104">
        <v>44432</v>
      </c>
      <c r="B1647" s="105">
        <v>800</v>
      </c>
      <c r="C1647" s="106" t="str">
        <f>IF(ISNA(VLOOKUP(Tableau13[[#This Row],[Code machine]],'CODE mchn'!$A$4:$C$170,2,0)),"",VLOOKUP(Tableau13[[#This Row],[Code machine]],'CODE mchn'!$A$4:$C$170,2,0))</f>
        <v>Béton</v>
      </c>
      <c r="D1647" s="36" t="str">
        <f>IF(ISNA(VLOOKUP(Tableau13[[#This Row],[Code machine]],'CODE mchn'!$A$4:$C$170,3,0)),"",VLOOKUP(Tableau13[[#This Row],[Code machine]],'CODE mchn'!$A$4:$C$170,3,0))</f>
        <v>Poyatos 2</v>
      </c>
      <c r="E1647" s="105">
        <v>25705</v>
      </c>
      <c r="F1647" s="36"/>
      <c r="G1647" s="36" t="s">
        <v>291</v>
      </c>
      <c r="H1647" s="36" t="s">
        <v>2907</v>
      </c>
      <c r="I1647" s="36" t="s">
        <v>13</v>
      </c>
      <c r="J1647" s="252" t="s">
        <v>3025</v>
      </c>
      <c r="K1647" s="71">
        <v>44432</v>
      </c>
      <c r="L1647" s="36"/>
      <c r="M1647" s="108">
        <f>3*60</f>
        <v>180</v>
      </c>
      <c r="N1647" s="108">
        <f>MONTH(Tableau13[[#This Row],[Date fin intervention]])</f>
        <v>8</v>
      </c>
      <c r="O1647" s="108">
        <f>YEAR(Tableau13[[#This Row],[Date fin intervention]])</f>
        <v>2021</v>
      </c>
      <c r="P1647" s="36"/>
    </row>
    <row r="1648" spans="1:16">
      <c r="A1648" s="104">
        <v>44432</v>
      </c>
      <c r="B1648" s="105">
        <v>571</v>
      </c>
      <c r="C1648" s="106" t="str">
        <f>IF(ISNA(VLOOKUP(Tableau13[[#This Row],[Code machine]],'CODE mchn'!$A$4:$C$170,2,0)),"",VLOOKUP(Tableau13[[#This Row],[Code machine]],'CODE mchn'!$A$4:$C$170,2,0))</f>
        <v>Acier</v>
      </c>
      <c r="D1648" s="36" t="str">
        <f>IF(ISNA(VLOOKUP(Tableau13[[#This Row],[Code machine]],'CODE mchn'!$A$4:$C$170,3,0)),"",VLOOKUP(Tableau13[[#This Row],[Code machine]],'CODE mchn'!$A$4:$C$170,3,0))</f>
        <v>EVG PN 1</v>
      </c>
      <c r="E1648" s="105">
        <v>25706</v>
      </c>
      <c r="F1648" s="36"/>
      <c r="G1648" s="36" t="s">
        <v>10</v>
      </c>
      <c r="H1648" s="36" t="s">
        <v>2908</v>
      </c>
      <c r="I1648" s="36" t="s">
        <v>13</v>
      </c>
      <c r="J1648" s="252" t="s">
        <v>2909</v>
      </c>
      <c r="K1648" s="71">
        <v>44432</v>
      </c>
      <c r="L1648" s="36"/>
      <c r="M1648" s="108">
        <v>45</v>
      </c>
      <c r="N1648" s="108">
        <f>MONTH(Tableau13[[#This Row],[Date fin intervention]])</f>
        <v>8</v>
      </c>
      <c r="O1648" s="108">
        <f>YEAR(Tableau13[[#This Row],[Date fin intervention]])</f>
        <v>2021</v>
      </c>
      <c r="P1648" s="36"/>
    </row>
    <row r="1649" spans="1:16">
      <c r="A1649" s="104">
        <v>44432</v>
      </c>
      <c r="B1649" s="105">
        <v>565</v>
      </c>
      <c r="C1649" s="106" t="str">
        <f>IF(ISNA(VLOOKUP(Tableau13[[#This Row],[Code machine]],'CODE mchn'!$A$4:$C$170,2,0)),"",VLOOKUP(Tableau13[[#This Row],[Code machine]],'CODE mchn'!$A$4:$C$170,2,0))</f>
        <v>Acier</v>
      </c>
      <c r="D1649" s="36" t="str">
        <f>IF(ISNA(VLOOKUP(Tableau13[[#This Row],[Code machine]],'CODE mchn'!$A$4:$C$170,3,0)),"",VLOOKUP(Tableau13[[#This Row],[Code machine]],'CODE mchn'!$A$4:$C$170,3,0))</f>
        <v>EVG GE12</v>
      </c>
      <c r="E1649" s="105">
        <v>25707</v>
      </c>
      <c r="F1649" s="36"/>
      <c r="G1649" s="36" t="s">
        <v>2910</v>
      </c>
      <c r="H1649" s="36" t="s">
        <v>2911</v>
      </c>
      <c r="I1649" s="36" t="s">
        <v>13</v>
      </c>
      <c r="J1649" s="252" t="s">
        <v>847</v>
      </c>
      <c r="K1649" s="71">
        <v>44432</v>
      </c>
      <c r="L1649" s="36" t="s">
        <v>2912</v>
      </c>
      <c r="M1649" s="108">
        <v>90</v>
      </c>
      <c r="N1649" s="108">
        <f>MONTH(Tableau13[[#This Row],[Date fin intervention]])</f>
        <v>8</v>
      </c>
      <c r="O1649" s="108">
        <f>YEAR(Tableau13[[#This Row],[Date fin intervention]])</f>
        <v>2021</v>
      </c>
      <c r="P1649" s="36"/>
    </row>
    <row r="1650" spans="1:16">
      <c r="A1650" s="104">
        <v>44433</v>
      </c>
      <c r="B1650" s="105">
        <v>560</v>
      </c>
      <c r="C1650" s="106" t="str">
        <f>IF(ISNA(VLOOKUP(Tableau13[[#This Row],[Code machine]],'CODE mchn'!$A$4:$C$170,2,0)),"",VLOOKUP(Tableau13[[#This Row],[Code machine]],'CODE mchn'!$A$4:$C$170,2,0))</f>
        <v>Acier</v>
      </c>
      <c r="D1650" s="36" t="str">
        <f>IF(ISNA(VLOOKUP(Tableau13[[#This Row],[Code machine]],'CODE mchn'!$A$4:$C$170,3,0)),"",VLOOKUP(Tableau13[[#This Row],[Code machine]],'CODE mchn'!$A$4:$C$170,3,0))</f>
        <v>Schlatter</v>
      </c>
      <c r="E1650" s="105">
        <v>25709</v>
      </c>
      <c r="F1650" s="36"/>
      <c r="G1650" s="36" t="s">
        <v>1101</v>
      </c>
      <c r="H1650" s="36" t="s">
        <v>2192</v>
      </c>
      <c r="I1650" s="36" t="s">
        <v>13</v>
      </c>
      <c r="J1650" s="252" t="s">
        <v>1669</v>
      </c>
      <c r="K1650" s="71">
        <v>44435</v>
      </c>
      <c r="L1650" s="36"/>
      <c r="M1650" s="108">
        <v>50</v>
      </c>
      <c r="N1650" s="108">
        <f>MONTH(Tableau13[[#This Row],[Date fin intervention]])</f>
        <v>8</v>
      </c>
      <c r="O1650" s="108">
        <f>YEAR(Tableau13[[#This Row],[Date fin intervention]])</f>
        <v>2021</v>
      </c>
      <c r="P1650" s="36"/>
    </row>
    <row r="1651" spans="1:16">
      <c r="A1651" s="104">
        <v>44438</v>
      </c>
      <c r="B1651" s="105">
        <v>560</v>
      </c>
      <c r="C1651" s="106" t="str">
        <f>IF(ISNA(VLOOKUP(Tableau13[[#This Row],[Code machine]],'CODE mchn'!$A$4:$C$170,2,0)),"",VLOOKUP(Tableau13[[#This Row],[Code machine]],'CODE mchn'!$A$4:$C$170,2,0))</f>
        <v>Acier</v>
      </c>
      <c r="D1651" s="36" t="str">
        <f>IF(ISNA(VLOOKUP(Tableau13[[#This Row],[Code machine]],'CODE mchn'!$A$4:$C$170,3,0)),"",VLOOKUP(Tableau13[[#This Row],[Code machine]],'CODE mchn'!$A$4:$C$170,3,0))</f>
        <v>Schlatter</v>
      </c>
      <c r="E1651" s="105">
        <v>25714</v>
      </c>
      <c r="F1651" s="36"/>
      <c r="G1651" s="36" t="s">
        <v>145</v>
      </c>
      <c r="H1651" s="36" t="s">
        <v>2192</v>
      </c>
      <c r="I1651" s="36" t="s">
        <v>13</v>
      </c>
      <c r="J1651" s="252" t="s">
        <v>2913</v>
      </c>
      <c r="K1651" s="71">
        <v>44438</v>
      </c>
      <c r="L1651" s="36"/>
      <c r="M1651" s="108">
        <v>60</v>
      </c>
      <c r="N1651" s="108">
        <f>MONTH(Tableau13[[#This Row],[Date fin intervention]])</f>
        <v>8</v>
      </c>
      <c r="O1651" s="108">
        <f>YEAR(Tableau13[[#This Row],[Date fin intervention]])</f>
        <v>2021</v>
      </c>
      <c r="P1651" s="36"/>
    </row>
    <row r="1652" spans="1:16">
      <c r="A1652" s="104">
        <v>44438</v>
      </c>
      <c r="B1652" s="105">
        <v>561</v>
      </c>
      <c r="C1652" s="106" t="str">
        <f>IF(ISNA(VLOOKUP(Tableau13[[#This Row],[Code machine]],'CODE mchn'!$A$4:$C$170,2,0)),"",VLOOKUP(Tableau13[[#This Row],[Code machine]],'CODE mchn'!$A$4:$C$170,2,0))</f>
        <v>Ponts roulants</v>
      </c>
      <c r="D1652" s="36" t="str">
        <f>IF(ISNA(VLOOKUP(Tableau13[[#This Row],[Code machine]],'CODE mchn'!$A$4:$C$170,3,0)),"",VLOOKUP(Tableau13[[#This Row],[Code machine]],'CODE mchn'!$A$4:$C$170,3,0))</f>
        <v>Pont roulant Demag 5T TS</v>
      </c>
      <c r="E1652" s="105">
        <v>25715</v>
      </c>
      <c r="F1652" s="36"/>
      <c r="G1652" s="36" t="s">
        <v>2914</v>
      </c>
      <c r="H1652" s="36" t="s">
        <v>2915</v>
      </c>
      <c r="I1652" s="36" t="s">
        <v>13</v>
      </c>
      <c r="J1652" s="252" t="s">
        <v>3026</v>
      </c>
      <c r="K1652" s="71">
        <v>44469</v>
      </c>
      <c r="L1652" s="36"/>
      <c r="M1652" s="108"/>
      <c r="N1652" s="108">
        <f>MONTH(Tableau13[[#This Row],[Date fin intervention]])</f>
        <v>9</v>
      </c>
      <c r="O1652" s="108">
        <f>YEAR(Tableau13[[#This Row],[Date fin intervention]])</f>
        <v>2021</v>
      </c>
      <c r="P1652" s="36"/>
    </row>
    <row r="1653" spans="1:16" ht="28.5">
      <c r="A1653" s="238">
        <v>44440</v>
      </c>
      <c r="B1653" s="239">
        <v>700</v>
      </c>
      <c r="C1653" s="240" t="str">
        <f>IF(ISNA(VLOOKUP(Tableau13[[#This Row],[Code machine]],'CODE mchn'!$A$4:$C$170,2,0)),"",VLOOKUP(Tableau13[[#This Row],[Code machine]],'CODE mchn'!$A$4:$C$170,2,0))</f>
        <v>Béton</v>
      </c>
      <c r="D1653" s="241" t="str">
        <f>IF(ISNA(VLOOKUP(Tableau13[[#This Row],[Code machine]],'CODE mchn'!$A$4:$C$170,3,0)),"",VLOOKUP(Tableau13[[#This Row],[Code machine]],'CODE mchn'!$A$4:$C$170,3,0))</f>
        <v>Poyatos 1</v>
      </c>
      <c r="E1653" s="239"/>
      <c r="F1653" s="241"/>
      <c r="G1653" s="241" t="s">
        <v>331</v>
      </c>
      <c r="H1653" s="241" t="s">
        <v>4120</v>
      </c>
      <c r="I1653" s="241" t="s">
        <v>30</v>
      </c>
      <c r="J1653" s="249" t="s">
        <v>4121</v>
      </c>
      <c r="K1653" s="242">
        <v>44440</v>
      </c>
      <c r="L1653" s="241"/>
      <c r="M1653" s="243">
        <v>120</v>
      </c>
      <c r="N1653" s="243">
        <f>MONTH(Tableau13[[#This Row],[Date fin intervention]])</f>
        <v>9</v>
      </c>
      <c r="O1653" s="243">
        <f>YEAR(Tableau13[[#This Row],[Date fin intervention]])</f>
        <v>2021</v>
      </c>
      <c r="P1653" s="241"/>
    </row>
    <row r="1654" spans="1:16">
      <c r="A1654" s="104">
        <v>44440</v>
      </c>
      <c r="B1654" s="105">
        <v>700</v>
      </c>
      <c r="C1654" s="106" t="str">
        <f>IF(ISNA(VLOOKUP(Tableau13[[#This Row],[Code machine]],'CODE mchn'!$A$4:$C$170,2,0)),"",VLOOKUP(Tableau13[[#This Row],[Code machine]],'CODE mchn'!$A$4:$C$170,2,0))</f>
        <v>Béton</v>
      </c>
      <c r="D1654" s="36" t="str">
        <f>IF(ISNA(VLOOKUP(Tableau13[[#This Row],[Code machine]],'CODE mchn'!$A$4:$C$170,3,0)),"",VLOOKUP(Tableau13[[#This Row],[Code machine]],'CODE mchn'!$A$4:$C$170,3,0))</f>
        <v>Poyatos 1</v>
      </c>
      <c r="E1654" s="105"/>
      <c r="F1654" s="36"/>
      <c r="G1654" s="36" t="s">
        <v>118</v>
      </c>
      <c r="H1654" s="36" t="s">
        <v>4120</v>
      </c>
      <c r="I1654" s="36" t="s">
        <v>30</v>
      </c>
      <c r="J1654" s="252" t="s">
        <v>4128</v>
      </c>
      <c r="K1654" s="71">
        <v>44440</v>
      </c>
      <c r="L1654" s="36"/>
      <c r="M1654" s="108">
        <v>45</v>
      </c>
      <c r="N1654" s="108">
        <f>MONTH(Tableau13[[#This Row],[Date fin intervention]])</f>
        <v>9</v>
      </c>
      <c r="O1654" s="108">
        <f>YEAR(Tableau13[[#This Row],[Date fin intervention]])</f>
        <v>2021</v>
      </c>
      <c r="P1654" s="36"/>
    </row>
    <row r="1655" spans="1:16">
      <c r="A1655" s="104">
        <v>44442</v>
      </c>
      <c r="B1655" s="105">
        <v>700</v>
      </c>
      <c r="C1655" s="106" t="str">
        <f>IF(ISNA(VLOOKUP(Tableau13[[#This Row],[Code machine]],'CODE mchn'!$A$4:$C$170,2,0)),"",VLOOKUP(Tableau13[[#This Row],[Code machine]],'CODE mchn'!$A$4:$C$170,2,0))</f>
        <v>Béton</v>
      </c>
      <c r="D1655" s="36" t="str">
        <f>IF(ISNA(VLOOKUP(Tableau13[[#This Row],[Code machine]],'CODE mchn'!$A$4:$C$170,3,0)),"",VLOOKUP(Tableau13[[#This Row],[Code machine]],'CODE mchn'!$A$4:$C$170,3,0))</f>
        <v>Poyatos 1</v>
      </c>
      <c r="E1655" s="105"/>
      <c r="F1655" s="36"/>
      <c r="G1655" s="36" t="s">
        <v>4130</v>
      </c>
      <c r="H1655" s="36" t="s">
        <v>4120</v>
      </c>
      <c r="I1655" s="36" t="s">
        <v>30</v>
      </c>
      <c r="J1655" s="252" t="s">
        <v>1387</v>
      </c>
      <c r="K1655" s="71">
        <v>44442</v>
      </c>
      <c r="L1655" s="36"/>
      <c r="M1655" s="108">
        <v>45</v>
      </c>
      <c r="N1655" s="108">
        <f>MONTH(Tableau13[[#This Row],[Date fin intervention]])</f>
        <v>9</v>
      </c>
      <c r="O1655" s="108">
        <f>YEAR(Tableau13[[#This Row],[Date fin intervention]])</f>
        <v>2021</v>
      </c>
      <c r="P1655" s="36"/>
    </row>
    <row r="1656" spans="1:16">
      <c r="A1656" s="104">
        <v>44445</v>
      </c>
      <c r="B1656" s="105">
        <v>800</v>
      </c>
      <c r="C1656" s="106" t="str">
        <f>IF(ISNA(VLOOKUP(Tableau13[[#This Row],[Code machine]],'CODE mchn'!$A$4:$C$170,2,0)),"",VLOOKUP(Tableau13[[#This Row],[Code machine]],'CODE mchn'!$A$4:$C$170,2,0))</f>
        <v>Béton</v>
      </c>
      <c r="D1656" s="36" t="str">
        <f>IF(ISNA(VLOOKUP(Tableau13[[#This Row],[Code machine]],'CODE mchn'!$A$4:$C$170,3,0)),"",VLOOKUP(Tableau13[[#This Row],[Code machine]],'CODE mchn'!$A$4:$C$170,3,0))</f>
        <v>Poyatos 2</v>
      </c>
      <c r="E1656" s="105"/>
      <c r="F1656" s="36"/>
      <c r="G1656" s="36" t="s">
        <v>118</v>
      </c>
      <c r="H1656" s="36" t="s">
        <v>4120</v>
      </c>
      <c r="I1656" s="36" t="s">
        <v>30</v>
      </c>
      <c r="J1656" s="252" t="s">
        <v>4132</v>
      </c>
      <c r="K1656" s="71">
        <v>44445</v>
      </c>
      <c r="L1656" s="36"/>
      <c r="M1656" s="108">
        <v>60</v>
      </c>
      <c r="N1656" s="108">
        <f>MONTH(Tableau13[[#This Row],[Date fin intervention]])</f>
        <v>9</v>
      </c>
      <c r="O1656" s="108">
        <f>YEAR(Tableau13[[#This Row],[Date fin intervention]])</f>
        <v>2021</v>
      </c>
      <c r="P1656" s="36"/>
    </row>
    <row r="1657" spans="1:16">
      <c r="A1657" s="218">
        <v>44446</v>
      </c>
      <c r="B1657" s="219">
        <v>590</v>
      </c>
      <c r="C1657" s="220" t="str">
        <f>IF(ISNA(VLOOKUP(Tableau13[[#This Row],[Code machine]],'CODE mchn'!$A$4:$C$170,2,0)),"",VLOOKUP(Tableau13[[#This Row],[Code machine]],'CODE mchn'!$A$4:$C$170,2,0))</f>
        <v>Acier</v>
      </c>
      <c r="D1657" s="72" t="str">
        <f>IF(ISNA(VLOOKUP(Tableau13[[#This Row],[Code machine]],'CODE mchn'!$A$4:$C$170,3,0)),"",VLOOKUP(Tableau13[[#This Row],[Code machine]],'CODE mchn'!$A$4:$C$170,3,0))</f>
        <v>Teurema 3</v>
      </c>
      <c r="E1657" s="105">
        <v>25451</v>
      </c>
      <c r="F1657" s="36"/>
      <c r="G1657" s="72" t="s">
        <v>2931</v>
      </c>
      <c r="H1657" s="72" t="s">
        <v>933</v>
      </c>
      <c r="I1657" s="72" t="s">
        <v>13</v>
      </c>
      <c r="J1657" s="253" t="s">
        <v>2932</v>
      </c>
      <c r="K1657" s="73">
        <v>44446</v>
      </c>
      <c r="L1657" s="72"/>
      <c r="M1657" s="221">
        <v>130</v>
      </c>
      <c r="N1657" s="221">
        <f>MONTH(Tableau13[[#This Row],[Date fin intervention]])</f>
        <v>9</v>
      </c>
      <c r="O1657" s="221">
        <f>YEAR(Tableau13[[#This Row],[Date fin intervention]])</f>
        <v>2021</v>
      </c>
      <c r="P1657" s="72"/>
    </row>
    <row r="1658" spans="1:16">
      <c r="A1658" s="218">
        <v>44447</v>
      </c>
      <c r="B1658" s="219">
        <v>565</v>
      </c>
      <c r="C1658" s="220" t="str">
        <f>IF(ISNA(VLOOKUP(Tableau13[[#This Row],[Code machine]],'CODE mchn'!$A$4:$C$170,2,0)),"",VLOOKUP(Tableau13[[#This Row],[Code machine]],'CODE mchn'!$A$4:$C$170,2,0))</f>
        <v>Acier</v>
      </c>
      <c r="D1658" s="72" t="str">
        <f>IF(ISNA(VLOOKUP(Tableau13[[#This Row],[Code machine]],'CODE mchn'!$A$4:$C$170,3,0)),"",VLOOKUP(Tableau13[[#This Row],[Code machine]],'CODE mchn'!$A$4:$C$170,3,0))</f>
        <v>EVG GE12</v>
      </c>
      <c r="E1658" s="105">
        <v>25493</v>
      </c>
      <c r="F1658" s="36"/>
      <c r="G1658" s="72" t="s">
        <v>2243</v>
      </c>
      <c r="H1658" s="72" t="s">
        <v>2971</v>
      </c>
      <c r="I1658" s="72" t="s">
        <v>13</v>
      </c>
      <c r="J1658" s="253" t="s">
        <v>2972</v>
      </c>
      <c r="K1658" s="73">
        <v>44447</v>
      </c>
      <c r="L1658" s="72"/>
      <c r="M1658" s="221">
        <f>5*60</f>
        <v>300</v>
      </c>
      <c r="N1658" s="221">
        <f>MONTH(Tableau13[[#This Row],[Date fin intervention]])</f>
        <v>9</v>
      </c>
      <c r="O1658" s="221">
        <f>YEAR(Tableau13[[#This Row],[Date fin intervention]])</f>
        <v>2021</v>
      </c>
      <c r="P1658" s="72"/>
    </row>
    <row r="1659" spans="1:16">
      <c r="A1659" s="218">
        <v>44448</v>
      </c>
      <c r="B1659" s="219">
        <v>800</v>
      </c>
      <c r="C1659" s="220" t="str">
        <f>IF(ISNA(VLOOKUP(Tableau13[[#This Row],[Code machine]],'CODE mchn'!$A$4:$C$170,2,0)),"",VLOOKUP(Tableau13[[#This Row],[Code machine]],'CODE mchn'!$A$4:$C$170,2,0))</f>
        <v>Béton</v>
      </c>
      <c r="D1659" s="72" t="str">
        <f>IF(ISNA(VLOOKUP(Tableau13[[#This Row],[Code machine]],'CODE mchn'!$A$4:$C$170,3,0)),"",VLOOKUP(Tableau13[[#This Row],[Code machine]],'CODE mchn'!$A$4:$C$170,3,0))</f>
        <v>Poyatos 2</v>
      </c>
      <c r="E1659" s="105">
        <v>25453</v>
      </c>
      <c r="F1659" s="36"/>
      <c r="G1659" s="72" t="s">
        <v>118</v>
      </c>
      <c r="H1659" s="72" t="s">
        <v>2934</v>
      </c>
      <c r="I1659" s="72" t="s">
        <v>13</v>
      </c>
      <c r="J1659" s="253" t="s">
        <v>2935</v>
      </c>
      <c r="K1659" s="73">
        <v>44448</v>
      </c>
      <c r="L1659" s="72"/>
      <c r="M1659" s="221">
        <f>2.5*60</f>
        <v>150</v>
      </c>
      <c r="N1659" s="221">
        <f>MONTH(Tableau13[[#This Row],[Date fin intervention]])</f>
        <v>9</v>
      </c>
      <c r="O1659" s="221">
        <f>YEAR(Tableau13[[#This Row],[Date fin intervention]])</f>
        <v>2021</v>
      </c>
      <c r="P1659" s="72"/>
    </row>
    <row r="1660" spans="1:16">
      <c r="A1660" s="218">
        <v>44448</v>
      </c>
      <c r="B1660" s="219">
        <v>800</v>
      </c>
      <c r="C1660" s="220" t="str">
        <f>IF(ISNA(VLOOKUP(Tableau13[[#This Row],[Code machine]],'CODE mchn'!$A$4:$C$170,2,0)),"",VLOOKUP(Tableau13[[#This Row],[Code machine]],'CODE mchn'!$A$4:$C$170,2,0))</f>
        <v>Béton</v>
      </c>
      <c r="D1660" s="72" t="str">
        <f>IF(ISNA(VLOOKUP(Tableau13[[#This Row],[Code machine]],'CODE mchn'!$A$4:$C$170,3,0)),"",VLOOKUP(Tableau13[[#This Row],[Code machine]],'CODE mchn'!$A$4:$C$170,3,0))</f>
        <v>Poyatos 2</v>
      </c>
      <c r="E1660" s="105">
        <v>25456</v>
      </c>
      <c r="F1660" s="36"/>
      <c r="G1660" s="72" t="s">
        <v>213</v>
      </c>
      <c r="H1660" s="72" t="s">
        <v>2938</v>
      </c>
      <c r="I1660" s="72" t="s">
        <v>13</v>
      </c>
      <c r="J1660" s="253" t="s">
        <v>901</v>
      </c>
      <c r="K1660" s="73">
        <v>44448</v>
      </c>
      <c r="L1660" s="72"/>
      <c r="M1660" s="221">
        <v>30</v>
      </c>
      <c r="N1660" s="221">
        <f>MONTH(Tableau13[[#This Row],[Date fin intervention]])</f>
        <v>9</v>
      </c>
      <c r="O1660" s="221">
        <f>YEAR(Tableau13[[#This Row],[Date fin intervention]])</f>
        <v>2021</v>
      </c>
      <c r="P1660" s="72"/>
    </row>
    <row r="1661" spans="1:16">
      <c r="A1661" s="218">
        <v>44449</v>
      </c>
      <c r="B1661" s="219">
        <v>570</v>
      </c>
      <c r="C1661" s="220" t="str">
        <f>IF(ISNA(VLOOKUP(Tableau13[[#This Row],[Code machine]],'CODE mchn'!$A$4:$C$170,2,0)),"",VLOOKUP(Tableau13[[#This Row],[Code machine]],'CODE mchn'!$A$4:$C$170,2,0))</f>
        <v>Acier</v>
      </c>
      <c r="D1661" s="72" t="str">
        <f>IF(ISNA(VLOOKUP(Tableau13[[#This Row],[Code machine]],'CODE mchn'!$A$4:$C$170,3,0)),"",VLOOKUP(Tableau13[[#This Row],[Code machine]],'CODE mchn'!$A$4:$C$170,3,0))</f>
        <v>Sigmatic</v>
      </c>
      <c r="E1661" s="105">
        <v>25455</v>
      </c>
      <c r="F1661" s="36"/>
      <c r="G1661" s="72" t="s">
        <v>10</v>
      </c>
      <c r="H1661" s="72" t="s">
        <v>2936</v>
      </c>
      <c r="I1661" s="72" t="s">
        <v>13</v>
      </c>
      <c r="J1661" s="253" t="s">
        <v>2937</v>
      </c>
      <c r="K1661" s="73">
        <v>44449</v>
      </c>
      <c r="L1661" s="72"/>
      <c r="M1661" s="221">
        <v>90</v>
      </c>
      <c r="N1661" s="221">
        <f>MONTH(Tableau13[[#This Row],[Date fin intervention]])</f>
        <v>9</v>
      </c>
      <c r="O1661" s="221">
        <f>YEAR(Tableau13[[#This Row],[Date fin intervention]])</f>
        <v>2021</v>
      </c>
      <c r="P1661" s="72"/>
    </row>
    <row r="1662" spans="1:16">
      <c r="A1662" s="218">
        <v>44449</v>
      </c>
      <c r="B1662" s="219">
        <v>700</v>
      </c>
      <c r="C1662" s="220" t="str">
        <f>IF(ISNA(VLOOKUP(Tableau13[[#This Row],[Code machine]],'CODE mchn'!$A$4:$C$170,2,0)),"",VLOOKUP(Tableau13[[#This Row],[Code machine]],'CODE mchn'!$A$4:$C$170,2,0))</f>
        <v>Béton</v>
      </c>
      <c r="D1662" s="72" t="str">
        <f>IF(ISNA(VLOOKUP(Tableau13[[#This Row],[Code machine]],'CODE mchn'!$A$4:$C$170,3,0)),"",VLOOKUP(Tableau13[[#This Row],[Code machine]],'CODE mchn'!$A$4:$C$170,3,0))</f>
        <v>Poyatos 1</v>
      </c>
      <c r="E1662" s="105">
        <v>25473</v>
      </c>
      <c r="F1662" s="36"/>
      <c r="G1662" s="72" t="s">
        <v>300</v>
      </c>
      <c r="H1662" s="72" t="s">
        <v>2957</v>
      </c>
      <c r="I1662" s="72" t="s">
        <v>101</v>
      </c>
      <c r="J1662" s="253" t="s">
        <v>2958</v>
      </c>
      <c r="K1662" s="73">
        <v>44449</v>
      </c>
      <c r="L1662" s="72"/>
      <c r="M1662" s="221">
        <v>150</v>
      </c>
      <c r="N1662" s="221">
        <f>MONTH(Tableau13[[#This Row],[Date fin intervention]])</f>
        <v>9</v>
      </c>
      <c r="O1662" s="221">
        <f>YEAR(Tableau13[[#This Row],[Date fin intervention]])</f>
        <v>2021</v>
      </c>
      <c r="P1662" s="72"/>
    </row>
    <row r="1663" spans="1:16">
      <c r="A1663" s="218">
        <v>44449</v>
      </c>
      <c r="B1663" s="219">
        <v>582</v>
      </c>
      <c r="C1663" s="220" t="str">
        <f>IF(ISNA(VLOOKUP(Tableau13[[#This Row],[Code machine]],'CODE mchn'!$A$4:$C$170,2,0)),"",VLOOKUP(Tableau13[[#This Row],[Code machine]],'CODE mchn'!$A$4:$C$170,2,0))</f>
        <v>Acier</v>
      </c>
      <c r="D1663" s="72" t="str">
        <f>IF(ISNA(VLOOKUP(Tableau13[[#This Row],[Code machine]],'CODE mchn'!$A$4:$C$170,3,0)),"",VLOOKUP(Tableau13[[#This Row],[Code machine]],'CODE mchn'!$A$4:$C$170,3,0))</f>
        <v>Teurema 2</v>
      </c>
      <c r="E1663" s="105">
        <v>25480</v>
      </c>
      <c r="F1663" s="36"/>
      <c r="G1663" s="72" t="s">
        <v>1771</v>
      </c>
      <c r="H1663" s="72" t="s">
        <v>458</v>
      </c>
      <c r="I1663" s="72" t="s">
        <v>13</v>
      </c>
      <c r="J1663" s="253" t="s">
        <v>2963</v>
      </c>
      <c r="K1663" s="73">
        <v>44449</v>
      </c>
      <c r="L1663" s="72"/>
      <c r="M1663" s="221">
        <v>75</v>
      </c>
      <c r="N1663" s="221">
        <f>MONTH(Tableau13[[#This Row],[Date fin intervention]])</f>
        <v>9</v>
      </c>
      <c r="O1663" s="221">
        <f>YEAR(Tableau13[[#This Row],[Date fin intervention]])</f>
        <v>2021</v>
      </c>
      <c r="P1663" s="72"/>
    </row>
    <row r="1664" spans="1:16">
      <c r="A1664" s="218">
        <v>44450</v>
      </c>
      <c r="B1664" s="219">
        <v>606</v>
      </c>
      <c r="C1664" s="220" t="str">
        <f>IF(ISNA(VLOOKUP(Tableau13[[#This Row],[Code machine]],'CODE mchn'!$A$4:$C$170,2,0)),"",VLOOKUP(Tableau13[[#This Row],[Code machine]],'CODE mchn'!$A$4:$C$170,2,0))</f>
        <v>Acier</v>
      </c>
      <c r="D1664" s="72" t="str">
        <f>IF(ISNA(VLOOKUP(Tableau13[[#This Row],[Code machine]],'CODE mchn'!$A$4:$C$170,3,0)),"",VLOOKUP(Tableau13[[#This Row],[Code machine]],'CODE mchn'!$A$4:$C$170,3,0))</f>
        <v>Vitari 2</v>
      </c>
      <c r="E1664" s="105">
        <v>25458</v>
      </c>
      <c r="F1664" s="36"/>
      <c r="G1664" s="72" t="s">
        <v>78</v>
      </c>
      <c r="H1664" s="72" t="s">
        <v>2940</v>
      </c>
      <c r="I1664" s="72" t="s">
        <v>13</v>
      </c>
      <c r="J1664" s="253" t="s">
        <v>2941</v>
      </c>
      <c r="K1664" s="73">
        <v>44450</v>
      </c>
      <c r="L1664" s="72"/>
      <c r="M1664" s="221">
        <v>60</v>
      </c>
      <c r="N1664" s="221">
        <f>MONTH(Tableau13[[#This Row],[Date fin intervention]])</f>
        <v>9</v>
      </c>
      <c r="O1664" s="221">
        <f>YEAR(Tableau13[[#This Row],[Date fin intervention]])</f>
        <v>2021</v>
      </c>
      <c r="P1664" s="72"/>
    </row>
    <row r="1665" spans="1:16">
      <c r="A1665" s="218">
        <v>44452</v>
      </c>
      <c r="B1665" s="219">
        <v>800</v>
      </c>
      <c r="C1665" s="220" t="str">
        <f>IF(ISNA(VLOOKUP(Tableau13[[#This Row],[Code machine]],'CODE mchn'!$A$4:$C$170,2,0)),"",VLOOKUP(Tableau13[[#This Row],[Code machine]],'CODE mchn'!$A$4:$C$170,2,0))</f>
        <v>Béton</v>
      </c>
      <c r="D1665" s="72" t="str">
        <f>IF(ISNA(VLOOKUP(Tableau13[[#This Row],[Code machine]],'CODE mchn'!$A$4:$C$170,3,0)),"",VLOOKUP(Tableau13[[#This Row],[Code machine]],'CODE mchn'!$A$4:$C$170,3,0))</f>
        <v>Poyatos 2</v>
      </c>
      <c r="E1665" s="105">
        <v>25461</v>
      </c>
      <c r="F1665" s="36"/>
      <c r="G1665" s="72" t="s">
        <v>1388</v>
      </c>
      <c r="H1665" s="72" t="s">
        <v>2942</v>
      </c>
      <c r="I1665" s="72" t="s">
        <v>13</v>
      </c>
      <c r="J1665" s="253" t="s">
        <v>2943</v>
      </c>
      <c r="K1665" s="73">
        <v>44452</v>
      </c>
      <c r="L1665" s="72"/>
      <c r="M1665" s="221">
        <v>90</v>
      </c>
      <c r="N1665" s="221">
        <f>MONTH(Tableau13[[#This Row],[Date fin intervention]])</f>
        <v>9</v>
      </c>
      <c r="O1665" s="221">
        <f>YEAR(Tableau13[[#This Row],[Date fin intervention]])</f>
        <v>2021</v>
      </c>
      <c r="P1665" s="72"/>
    </row>
    <row r="1666" spans="1:16">
      <c r="A1666" s="218">
        <v>44452</v>
      </c>
      <c r="B1666" s="219">
        <v>590</v>
      </c>
      <c r="C1666" s="220" t="str">
        <f>IF(ISNA(VLOOKUP(Tableau13[[#This Row],[Code machine]],'CODE mchn'!$A$4:$C$170,2,0)),"",VLOOKUP(Tableau13[[#This Row],[Code machine]],'CODE mchn'!$A$4:$C$170,2,0))</f>
        <v>Acier</v>
      </c>
      <c r="D1666" s="72" t="str">
        <f>IF(ISNA(VLOOKUP(Tableau13[[#This Row],[Code machine]],'CODE mchn'!$A$4:$C$170,3,0)),"",VLOOKUP(Tableau13[[#This Row],[Code machine]],'CODE mchn'!$A$4:$C$170,3,0))</f>
        <v>Teurema 3</v>
      </c>
      <c r="E1666" s="105">
        <v>25465</v>
      </c>
      <c r="F1666" s="36"/>
      <c r="G1666" s="72" t="s">
        <v>2945</v>
      </c>
      <c r="H1666" s="72" t="s">
        <v>2946</v>
      </c>
      <c r="I1666" s="72" t="s">
        <v>13</v>
      </c>
      <c r="J1666" s="253" t="s">
        <v>2947</v>
      </c>
      <c r="K1666" s="73">
        <v>44452</v>
      </c>
      <c r="L1666" s="72"/>
      <c r="M1666" s="221">
        <v>90</v>
      </c>
      <c r="N1666" s="221">
        <f>MONTH(Tableau13[[#This Row],[Date fin intervention]])</f>
        <v>9</v>
      </c>
      <c r="O1666" s="221">
        <f>YEAR(Tableau13[[#This Row],[Date fin intervention]])</f>
        <v>2021</v>
      </c>
      <c r="P1666" s="72"/>
    </row>
    <row r="1667" spans="1:16">
      <c r="A1667" s="218">
        <v>44452</v>
      </c>
      <c r="B1667" s="219">
        <v>571</v>
      </c>
      <c r="C1667" s="220" t="str">
        <f>IF(ISNA(VLOOKUP(Tableau13[[#This Row],[Code machine]],'CODE mchn'!$A$4:$C$170,2,0)),"",VLOOKUP(Tableau13[[#This Row],[Code machine]],'CODE mchn'!$A$4:$C$170,2,0))</f>
        <v>Acier</v>
      </c>
      <c r="D1667" s="72" t="str">
        <f>IF(ISNA(VLOOKUP(Tableau13[[#This Row],[Code machine]],'CODE mchn'!$A$4:$C$170,3,0)),"",VLOOKUP(Tableau13[[#This Row],[Code machine]],'CODE mchn'!$A$4:$C$170,3,0))</f>
        <v>EVG PN 1</v>
      </c>
      <c r="E1667" s="105">
        <v>25345</v>
      </c>
      <c r="F1667" s="36"/>
      <c r="G1667" s="72" t="s">
        <v>78</v>
      </c>
      <c r="H1667" s="72" t="s">
        <v>2989</v>
      </c>
      <c r="I1667" s="72" t="s">
        <v>13</v>
      </c>
      <c r="J1667" s="253" t="s">
        <v>2990</v>
      </c>
      <c r="K1667" s="73">
        <v>44452</v>
      </c>
      <c r="L1667" s="72"/>
      <c r="M1667" s="221">
        <f>8*13*60</f>
        <v>6240</v>
      </c>
      <c r="N1667" s="221">
        <f>MONTH(Tableau13[[#This Row],[Date fin intervention]])</f>
        <v>9</v>
      </c>
      <c r="O1667" s="221">
        <f>YEAR(Tableau13[[#This Row],[Date fin intervention]])</f>
        <v>2021</v>
      </c>
      <c r="P1667" s="72"/>
    </row>
    <row r="1668" spans="1:16">
      <c r="A1668" s="218">
        <v>44453</v>
      </c>
      <c r="B1668" s="219">
        <v>590</v>
      </c>
      <c r="C1668" s="220" t="str">
        <f>IF(ISNA(VLOOKUP(Tableau13[[#This Row],[Code machine]],'CODE mchn'!$A$4:$C$170,2,0)),"",VLOOKUP(Tableau13[[#This Row],[Code machine]],'CODE mchn'!$A$4:$C$170,2,0))</f>
        <v>Acier</v>
      </c>
      <c r="D1668" s="72" t="str">
        <f>IF(ISNA(VLOOKUP(Tableau13[[#This Row],[Code machine]],'CODE mchn'!$A$4:$C$170,3,0)),"",VLOOKUP(Tableau13[[#This Row],[Code machine]],'CODE mchn'!$A$4:$C$170,3,0))</f>
        <v>Teurema 3</v>
      </c>
      <c r="E1668" s="105">
        <v>25475</v>
      </c>
      <c r="F1668" s="36"/>
      <c r="G1668" s="72" t="s">
        <v>20</v>
      </c>
      <c r="H1668" s="72" t="s">
        <v>1853</v>
      </c>
      <c r="I1668" s="72" t="s">
        <v>13</v>
      </c>
      <c r="J1668" s="253" t="s">
        <v>2933</v>
      </c>
      <c r="K1668" s="73">
        <v>44467</v>
      </c>
      <c r="L1668" s="72"/>
      <c r="M1668" s="221">
        <f>14*8*60</f>
        <v>6720</v>
      </c>
      <c r="N1668" s="221">
        <f>MONTH(Tableau13[[#This Row],[Date fin intervention]])</f>
        <v>9</v>
      </c>
      <c r="O1668" s="221">
        <f>YEAR(Tableau13[[#This Row],[Date fin intervention]])</f>
        <v>2021</v>
      </c>
      <c r="P1668" s="72"/>
    </row>
    <row r="1669" spans="1:16">
      <c r="A1669" s="218">
        <v>44453</v>
      </c>
      <c r="B1669" s="219">
        <v>800</v>
      </c>
      <c r="C1669" s="220" t="str">
        <f>IF(ISNA(VLOOKUP(Tableau13[[#This Row],[Code machine]],'CODE mchn'!$A$4:$C$170,2,0)),"",VLOOKUP(Tableau13[[#This Row],[Code machine]],'CODE mchn'!$A$4:$C$170,2,0))</f>
        <v>Béton</v>
      </c>
      <c r="D1669" s="72" t="str">
        <f>IF(ISNA(VLOOKUP(Tableau13[[#This Row],[Code machine]],'CODE mchn'!$A$4:$C$170,3,0)),"",VLOOKUP(Tableau13[[#This Row],[Code machine]],'CODE mchn'!$A$4:$C$170,3,0))</f>
        <v>Poyatos 2</v>
      </c>
      <c r="E1669" s="105">
        <v>25464</v>
      </c>
      <c r="F1669" s="36"/>
      <c r="G1669" s="72" t="s">
        <v>128</v>
      </c>
      <c r="H1669" s="72" t="s">
        <v>482</v>
      </c>
      <c r="I1669" s="72" t="s">
        <v>13</v>
      </c>
      <c r="J1669" s="253" t="s">
        <v>2944</v>
      </c>
      <c r="K1669" s="73">
        <v>44453</v>
      </c>
      <c r="L1669" s="72"/>
      <c r="M1669" s="221">
        <v>60</v>
      </c>
      <c r="N1669" s="221">
        <f>MONTH(Tableau13[[#This Row],[Date fin intervention]])</f>
        <v>9</v>
      </c>
      <c r="O1669" s="221">
        <f>YEAR(Tableau13[[#This Row],[Date fin intervention]])</f>
        <v>2021</v>
      </c>
      <c r="P1669" s="72"/>
    </row>
    <row r="1670" spans="1:16">
      <c r="A1670" s="218">
        <v>44453</v>
      </c>
      <c r="B1670" s="219">
        <v>800</v>
      </c>
      <c r="C1670" s="220" t="str">
        <f>IF(ISNA(VLOOKUP(Tableau13[[#This Row],[Code machine]],'CODE mchn'!$A$4:$C$170,2,0)),"",VLOOKUP(Tableau13[[#This Row],[Code machine]],'CODE mchn'!$A$4:$C$170,2,0))</f>
        <v>Béton</v>
      </c>
      <c r="D1670" s="72" t="str">
        <f>IF(ISNA(VLOOKUP(Tableau13[[#This Row],[Code machine]],'CODE mchn'!$A$4:$C$170,3,0)),"",VLOOKUP(Tableau13[[#This Row],[Code machine]],'CODE mchn'!$A$4:$C$170,3,0))</f>
        <v>Poyatos 2</v>
      </c>
      <c r="E1670" s="105">
        <v>25470</v>
      </c>
      <c r="F1670" s="36"/>
      <c r="G1670" s="72" t="s">
        <v>2951</v>
      </c>
      <c r="H1670" s="72" t="s">
        <v>2952</v>
      </c>
      <c r="I1670" s="72" t="s">
        <v>13</v>
      </c>
      <c r="J1670" s="253" t="s">
        <v>2953</v>
      </c>
      <c r="K1670" s="73">
        <v>44453</v>
      </c>
      <c r="L1670" s="72"/>
      <c r="M1670" s="221">
        <v>75</v>
      </c>
      <c r="N1670" s="221">
        <f>MONTH(Tableau13[[#This Row],[Date fin intervention]])</f>
        <v>9</v>
      </c>
      <c r="O1670" s="221">
        <f>YEAR(Tableau13[[#This Row],[Date fin intervention]])</f>
        <v>2021</v>
      </c>
      <c r="P1670" s="72"/>
    </row>
    <row r="1671" spans="1:16">
      <c r="A1671" s="218">
        <v>44453</v>
      </c>
      <c r="B1671" s="219">
        <v>570</v>
      </c>
      <c r="C1671" s="220" t="str">
        <f>IF(ISNA(VLOOKUP(Tableau13[[#This Row],[Code machine]],'CODE mchn'!$A$4:$C$170,2,0)),"",VLOOKUP(Tableau13[[#This Row],[Code machine]],'CODE mchn'!$A$4:$C$170,2,0))</f>
        <v>Acier</v>
      </c>
      <c r="D1671" s="72" t="str">
        <f>IF(ISNA(VLOOKUP(Tableau13[[#This Row],[Code machine]],'CODE mchn'!$A$4:$C$170,3,0)),"",VLOOKUP(Tableau13[[#This Row],[Code machine]],'CODE mchn'!$A$4:$C$170,3,0))</f>
        <v>Sigmatic</v>
      </c>
      <c r="E1671" s="105">
        <v>25477</v>
      </c>
      <c r="F1671" s="36"/>
      <c r="G1671" s="72" t="s">
        <v>982</v>
      </c>
      <c r="H1671" s="72" t="s">
        <v>458</v>
      </c>
      <c r="I1671" s="72" t="s">
        <v>13</v>
      </c>
      <c r="J1671" s="253" t="s">
        <v>2960</v>
      </c>
      <c r="K1671" s="73">
        <v>44453</v>
      </c>
      <c r="L1671" s="72"/>
      <c r="M1671" s="221">
        <v>60</v>
      </c>
      <c r="N1671" s="221">
        <f>MONTH(Tableau13[[#This Row],[Date fin intervention]])</f>
        <v>9</v>
      </c>
      <c r="O1671" s="221">
        <f>YEAR(Tableau13[[#This Row],[Date fin intervention]])</f>
        <v>2021</v>
      </c>
      <c r="P1671" s="72"/>
    </row>
    <row r="1672" spans="1:16">
      <c r="A1672" s="218">
        <v>44453</v>
      </c>
      <c r="B1672" s="219">
        <v>700</v>
      </c>
      <c r="C1672" s="220" t="str">
        <f>IF(ISNA(VLOOKUP(Tableau13[[#This Row],[Code machine]],'CODE mchn'!$A$4:$C$170,2,0)),"",VLOOKUP(Tableau13[[#This Row],[Code machine]],'CODE mchn'!$A$4:$C$170,2,0))</f>
        <v>Béton</v>
      </c>
      <c r="D1672" s="72" t="str">
        <f>IF(ISNA(VLOOKUP(Tableau13[[#This Row],[Code machine]],'CODE mchn'!$A$4:$C$170,3,0)),"",VLOOKUP(Tableau13[[#This Row],[Code machine]],'CODE mchn'!$A$4:$C$170,3,0))</f>
        <v>Poyatos 1</v>
      </c>
      <c r="E1672" s="105">
        <v>25483</v>
      </c>
      <c r="F1672" s="36"/>
      <c r="G1672" s="72" t="s">
        <v>43</v>
      </c>
      <c r="H1672" s="72" t="s">
        <v>768</v>
      </c>
      <c r="I1672" s="72" t="s">
        <v>13</v>
      </c>
      <c r="J1672" s="253" t="s">
        <v>1724</v>
      </c>
      <c r="K1672" s="73">
        <v>44453</v>
      </c>
      <c r="L1672" s="72"/>
      <c r="M1672" s="221">
        <v>60</v>
      </c>
      <c r="N1672" s="221">
        <f>MONTH(Tableau13[[#This Row],[Date fin intervention]])</f>
        <v>9</v>
      </c>
      <c r="O1672" s="221">
        <f>YEAR(Tableau13[[#This Row],[Date fin intervention]])</f>
        <v>2021</v>
      </c>
      <c r="P1672" s="72"/>
    </row>
    <row r="1673" spans="1:16">
      <c r="A1673" s="218">
        <v>44454</v>
      </c>
      <c r="B1673" s="219">
        <v>800</v>
      </c>
      <c r="C1673" s="220" t="str">
        <f>IF(ISNA(VLOOKUP(Tableau13[[#This Row],[Code machine]],'CODE mchn'!$A$4:$C$170,2,0)),"",VLOOKUP(Tableau13[[#This Row],[Code machine]],'CODE mchn'!$A$4:$C$170,2,0))</f>
        <v>Béton</v>
      </c>
      <c r="D1673" s="72" t="str">
        <f>IF(ISNA(VLOOKUP(Tableau13[[#This Row],[Code machine]],'CODE mchn'!$A$4:$C$170,3,0)),"",VLOOKUP(Tableau13[[#This Row],[Code machine]],'CODE mchn'!$A$4:$C$170,3,0))</f>
        <v>Poyatos 2</v>
      </c>
      <c r="E1673" s="105">
        <v>25474</v>
      </c>
      <c r="F1673" s="36"/>
      <c r="G1673" s="72" t="s">
        <v>128</v>
      </c>
      <c r="H1673" s="72" t="s">
        <v>2623</v>
      </c>
      <c r="I1673" s="72" t="s">
        <v>13</v>
      </c>
      <c r="J1673" s="253" t="s">
        <v>2959</v>
      </c>
      <c r="K1673" s="73">
        <v>44454</v>
      </c>
      <c r="L1673" s="72"/>
      <c r="M1673" s="221">
        <v>120</v>
      </c>
      <c r="N1673" s="221">
        <f>MONTH(Tableau13[[#This Row],[Date fin intervention]])</f>
        <v>9</v>
      </c>
      <c r="O1673" s="221">
        <f>YEAR(Tableau13[[#This Row],[Date fin intervention]])</f>
        <v>2021</v>
      </c>
      <c r="P1673" s="72"/>
    </row>
    <row r="1674" spans="1:16">
      <c r="A1674" s="218">
        <v>44454</v>
      </c>
      <c r="B1674" s="219">
        <v>700</v>
      </c>
      <c r="C1674" s="220" t="str">
        <f>IF(ISNA(VLOOKUP(Tableau13[[#This Row],[Code machine]],'CODE mchn'!$A$4:$C$170,2,0)),"",VLOOKUP(Tableau13[[#This Row],[Code machine]],'CODE mchn'!$A$4:$C$170,2,0))</f>
        <v>Béton</v>
      </c>
      <c r="D1674" s="72" t="str">
        <f>IF(ISNA(VLOOKUP(Tableau13[[#This Row],[Code machine]],'CODE mchn'!$A$4:$C$170,3,0)),"",VLOOKUP(Tableau13[[#This Row],[Code machine]],'CODE mchn'!$A$4:$C$170,3,0))</f>
        <v>Poyatos 1</v>
      </c>
      <c r="E1674" s="105">
        <v>25478</v>
      </c>
      <c r="F1674" s="36"/>
      <c r="G1674" s="72" t="s">
        <v>291</v>
      </c>
      <c r="H1674" s="72" t="s">
        <v>2961</v>
      </c>
      <c r="I1674" s="72" t="s">
        <v>13</v>
      </c>
      <c r="J1674" s="253" t="s">
        <v>2962</v>
      </c>
      <c r="K1674" s="73">
        <v>44454</v>
      </c>
      <c r="L1674" s="72"/>
      <c r="M1674" s="221">
        <v>90</v>
      </c>
      <c r="N1674" s="221">
        <f>MONTH(Tableau13[[#This Row],[Date fin intervention]])</f>
        <v>9</v>
      </c>
      <c r="O1674" s="221">
        <f>YEAR(Tableau13[[#This Row],[Date fin intervention]])</f>
        <v>2021</v>
      </c>
      <c r="P1674" s="72"/>
    </row>
    <row r="1675" spans="1:16">
      <c r="A1675" s="218">
        <v>44454</v>
      </c>
      <c r="B1675" s="219">
        <v>700</v>
      </c>
      <c r="C1675" s="220" t="str">
        <f>IF(ISNA(VLOOKUP(Tableau13[[#This Row],[Code machine]],'CODE mchn'!$A$4:$C$170,2,0)),"",VLOOKUP(Tableau13[[#This Row],[Code machine]],'CODE mchn'!$A$4:$C$170,2,0))</f>
        <v>Béton</v>
      </c>
      <c r="D1675" s="72" t="str">
        <f>IF(ISNA(VLOOKUP(Tableau13[[#This Row],[Code machine]],'CODE mchn'!$A$4:$C$170,3,0)),"",VLOOKUP(Tableau13[[#This Row],[Code machine]],'CODE mchn'!$A$4:$C$170,3,0))</f>
        <v>Poyatos 1</v>
      </c>
      <c r="E1675" s="105">
        <v>25496</v>
      </c>
      <c r="F1675" s="36"/>
      <c r="G1675" s="72" t="s">
        <v>213</v>
      </c>
      <c r="H1675" s="72" t="s">
        <v>2976</v>
      </c>
      <c r="I1675" s="72" t="s">
        <v>13</v>
      </c>
      <c r="J1675" s="253"/>
      <c r="K1675" s="73">
        <v>44454</v>
      </c>
      <c r="L1675" s="72"/>
      <c r="M1675" s="221">
        <v>120</v>
      </c>
      <c r="N1675" s="221">
        <f>MONTH(Tableau13[[#This Row],[Date fin intervention]])</f>
        <v>9</v>
      </c>
      <c r="O1675" s="221">
        <f>YEAR(Tableau13[[#This Row],[Date fin intervention]])</f>
        <v>2021</v>
      </c>
      <c r="P1675" s="72"/>
    </row>
    <row r="1676" spans="1:16" ht="28.5">
      <c r="A1676" s="238">
        <v>44454</v>
      </c>
      <c r="B1676" s="239">
        <v>565</v>
      </c>
      <c r="C1676" s="240" t="str">
        <f>IF(ISNA(VLOOKUP(Tableau13[[#This Row],[Code machine]],'CODE mchn'!$A$4:$C$170,2,0)),"",VLOOKUP(Tableau13[[#This Row],[Code machine]],'CODE mchn'!$A$4:$C$170,2,0))</f>
        <v>Acier</v>
      </c>
      <c r="D1676" s="241" t="str">
        <f>IF(ISNA(VLOOKUP(Tableau13[[#This Row],[Code machine]],'CODE mchn'!$A$4:$C$170,3,0)),"",VLOOKUP(Tableau13[[#This Row],[Code machine]],'CODE mchn'!$A$4:$C$170,3,0))</f>
        <v>EVG GE12</v>
      </c>
      <c r="E1676" s="239"/>
      <c r="F1676" s="241"/>
      <c r="G1676" s="241" t="s">
        <v>2243</v>
      </c>
      <c r="H1676" s="241" t="s">
        <v>4120</v>
      </c>
      <c r="I1676" s="241" t="s">
        <v>30</v>
      </c>
      <c r="J1676" s="249" t="s">
        <v>4121</v>
      </c>
      <c r="K1676" s="242">
        <v>44454</v>
      </c>
      <c r="L1676" s="241"/>
      <c r="M1676" s="243">
        <v>240</v>
      </c>
      <c r="N1676" s="243">
        <f>MONTH(Tableau13[[#This Row],[Date fin intervention]])</f>
        <v>9</v>
      </c>
      <c r="O1676" s="243">
        <f>YEAR(Tableau13[[#This Row],[Date fin intervention]])</f>
        <v>2021</v>
      </c>
      <c r="P1676" s="241"/>
    </row>
    <row r="1677" spans="1:16" ht="28.5">
      <c r="A1677" s="218">
        <v>44455</v>
      </c>
      <c r="B1677" s="219">
        <v>584</v>
      </c>
      <c r="C1677" s="220" t="str">
        <f>IF(ISNA(VLOOKUP(Tableau13[[#This Row],[Code machine]],'CODE mchn'!$A$4:$C$170,2,0)),"",VLOOKUP(Tableau13[[#This Row],[Code machine]],'CODE mchn'!$A$4:$C$170,2,0))</f>
        <v>Ponts roulants</v>
      </c>
      <c r="D1677" s="72" t="str">
        <f>IF(ISNA(VLOOKUP(Tableau13[[#This Row],[Code machine]],'CODE mchn'!$A$4:$C$170,3,0)),"",VLOOKUP(Tableau13[[#This Row],[Code machine]],'CODE mchn'!$A$4:$C$170,3,0))</f>
        <v>Pont roulant Demag 3,2T (teurema2)</v>
      </c>
      <c r="E1677" s="105">
        <v>25457</v>
      </c>
      <c r="F1677" s="36"/>
      <c r="G1677" s="72" t="s">
        <v>2544</v>
      </c>
      <c r="H1677" s="72" t="s">
        <v>482</v>
      </c>
      <c r="I1677" s="72" t="s">
        <v>13</v>
      </c>
      <c r="J1677" s="253" t="s">
        <v>2939</v>
      </c>
      <c r="K1677" s="73">
        <v>44455</v>
      </c>
      <c r="L1677" s="72"/>
      <c r="M1677" s="221">
        <f>4*60</f>
        <v>240</v>
      </c>
      <c r="N1677" s="221">
        <f>MONTH(Tableau13[[#This Row],[Date fin intervention]])</f>
        <v>9</v>
      </c>
      <c r="O1677" s="221">
        <f>YEAR(Tableau13[[#This Row],[Date fin intervention]])</f>
        <v>2021</v>
      </c>
      <c r="P1677" s="72"/>
    </row>
    <row r="1678" spans="1:16">
      <c r="A1678" s="218">
        <v>44455</v>
      </c>
      <c r="B1678" s="219">
        <v>581</v>
      </c>
      <c r="C1678" s="220" t="str">
        <f>IF(ISNA(VLOOKUP(Tableau13[[#This Row],[Code machine]],'CODE mchn'!$A$4:$C$170,2,0)),"",VLOOKUP(Tableau13[[#This Row],[Code machine]],'CODE mchn'!$A$4:$C$170,2,0))</f>
        <v>Acier</v>
      </c>
      <c r="D1678" s="72" t="str">
        <f>IF(ISNA(VLOOKUP(Tableau13[[#This Row],[Code machine]],'CODE mchn'!$A$4:$C$170,3,0)),"",VLOOKUP(Tableau13[[#This Row],[Code machine]],'CODE mchn'!$A$4:$C$170,3,0))</f>
        <v>Teurema 1</v>
      </c>
      <c r="E1678" s="105">
        <v>25468</v>
      </c>
      <c r="F1678" s="36"/>
      <c r="G1678" s="72" t="s">
        <v>1948</v>
      </c>
      <c r="H1678" s="72" t="s">
        <v>2949</v>
      </c>
      <c r="I1678" s="72" t="s">
        <v>13</v>
      </c>
      <c r="J1678" s="253" t="s">
        <v>2950</v>
      </c>
      <c r="K1678" s="73">
        <v>44424</v>
      </c>
      <c r="L1678" s="72"/>
      <c r="M1678" s="221">
        <v>60</v>
      </c>
      <c r="N1678" s="221">
        <f>MONTH(Tableau13[[#This Row],[Date fin intervention]])</f>
        <v>8</v>
      </c>
      <c r="O1678" s="221">
        <f>YEAR(Tableau13[[#This Row],[Date fin intervention]])</f>
        <v>2021</v>
      </c>
      <c r="P1678" s="72"/>
    </row>
    <row r="1679" spans="1:16">
      <c r="A1679" s="218">
        <v>44455</v>
      </c>
      <c r="B1679" s="219">
        <v>581</v>
      </c>
      <c r="C1679" s="220" t="str">
        <f>IF(ISNA(VLOOKUP(Tableau13[[#This Row],[Code machine]],'CODE mchn'!$A$4:$C$170,2,0)),"",VLOOKUP(Tableau13[[#This Row],[Code machine]],'CODE mchn'!$A$4:$C$170,2,0))</f>
        <v>Acier</v>
      </c>
      <c r="D1679" s="72" t="str">
        <f>IF(ISNA(VLOOKUP(Tableau13[[#This Row],[Code machine]],'CODE mchn'!$A$4:$C$170,3,0)),"",VLOOKUP(Tableau13[[#This Row],[Code machine]],'CODE mchn'!$A$4:$C$170,3,0))</f>
        <v>Teurema 1</v>
      </c>
      <c r="E1679" s="105">
        <v>25484</v>
      </c>
      <c r="F1679" s="36"/>
      <c r="G1679" s="72" t="s">
        <v>70</v>
      </c>
      <c r="H1679" s="72" t="s">
        <v>2964</v>
      </c>
      <c r="I1679" s="72" t="s">
        <v>13</v>
      </c>
      <c r="J1679" s="253" t="s">
        <v>2965</v>
      </c>
      <c r="K1679" s="73">
        <v>44455</v>
      </c>
      <c r="L1679" s="72"/>
      <c r="M1679" s="221">
        <v>90</v>
      </c>
      <c r="N1679" s="221">
        <f>MONTH(Tableau13[[#This Row],[Date fin intervention]])</f>
        <v>9</v>
      </c>
      <c r="O1679" s="221">
        <f>YEAR(Tableau13[[#This Row],[Date fin intervention]])</f>
        <v>2021</v>
      </c>
      <c r="P1679" s="72"/>
    </row>
    <row r="1680" spans="1:16">
      <c r="A1680" s="218">
        <v>44456</v>
      </c>
      <c r="B1680" s="219">
        <v>800</v>
      </c>
      <c r="C1680" s="220" t="str">
        <f>IF(ISNA(VLOOKUP(Tableau13[[#This Row],[Code machine]],'CODE mchn'!$A$4:$C$170,2,0)),"",VLOOKUP(Tableau13[[#This Row],[Code machine]],'CODE mchn'!$A$4:$C$170,2,0))</f>
        <v>Béton</v>
      </c>
      <c r="D1680" s="72" t="str">
        <f>IF(ISNA(VLOOKUP(Tableau13[[#This Row],[Code machine]],'CODE mchn'!$A$4:$C$170,3,0)),"",VLOOKUP(Tableau13[[#This Row],[Code machine]],'CODE mchn'!$A$4:$C$170,3,0))</f>
        <v>Poyatos 2</v>
      </c>
      <c r="E1680" s="105">
        <v>25467</v>
      </c>
      <c r="F1680" s="36"/>
      <c r="G1680" s="72" t="s">
        <v>300</v>
      </c>
      <c r="H1680" s="72" t="s">
        <v>587</v>
      </c>
      <c r="I1680" s="72" t="s">
        <v>13</v>
      </c>
      <c r="J1680" s="253" t="s">
        <v>2948</v>
      </c>
      <c r="K1680" s="73">
        <v>44456</v>
      </c>
      <c r="L1680" s="72"/>
      <c r="M1680" s="221">
        <v>90</v>
      </c>
      <c r="N1680" s="221">
        <f>MONTH(Tableau13[[#This Row],[Date fin intervention]])</f>
        <v>9</v>
      </c>
      <c r="O1680" s="221">
        <f>YEAR(Tableau13[[#This Row],[Date fin intervention]])</f>
        <v>2021</v>
      </c>
      <c r="P1680" s="72"/>
    </row>
    <row r="1681" spans="1:16">
      <c r="A1681" s="218">
        <v>44456</v>
      </c>
      <c r="B1681" s="219">
        <v>570</v>
      </c>
      <c r="C1681" s="220" t="str">
        <f>IF(ISNA(VLOOKUP(Tableau13[[#This Row],[Code machine]],'CODE mchn'!$A$4:$C$170,2,0)),"",VLOOKUP(Tableau13[[#This Row],[Code machine]],'CODE mchn'!$A$4:$C$170,2,0))</f>
        <v>Acier</v>
      </c>
      <c r="D1681" s="72" t="str">
        <f>IF(ISNA(VLOOKUP(Tableau13[[#This Row],[Code machine]],'CODE mchn'!$A$4:$C$170,3,0)),"",VLOOKUP(Tableau13[[#This Row],[Code machine]],'CODE mchn'!$A$4:$C$170,3,0))</f>
        <v>Sigmatic</v>
      </c>
      <c r="E1681" s="105">
        <v>25472</v>
      </c>
      <c r="F1681" s="36"/>
      <c r="G1681" s="72" t="s">
        <v>2954</v>
      </c>
      <c r="H1681" s="72" t="s">
        <v>2955</v>
      </c>
      <c r="I1681" s="72" t="s">
        <v>13</v>
      </c>
      <c r="J1681" s="253" t="s">
        <v>2956</v>
      </c>
      <c r="K1681" s="73">
        <v>44456</v>
      </c>
      <c r="L1681" s="72"/>
      <c r="M1681" s="221">
        <v>120</v>
      </c>
      <c r="N1681" s="221">
        <f>MONTH(Tableau13[[#This Row],[Date fin intervention]])</f>
        <v>9</v>
      </c>
      <c r="O1681" s="221">
        <f>YEAR(Tableau13[[#This Row],[Date fin intervention]])</f>
        <v>2021</v>
      </c>
      <c r="P1681" s="72"/>
    </row>
    <row r="1682" spans="1:16">
      <c r="A1682" s="218">
        <v>44456</v>
      </c>
      <c r="B1682" s="219">
        <v>565</v>
      </c>
      <c r="C1682" s="220" t="str">
        <f>IF(ISNA(VLOOKUP(Tableau13[[#This Row],[Code machine]],'CODE mchn'!$A$4:$C$170,2,0)),"",VLOOKUP(Tableau13[[#This Row],[Code machine]],'CODE mchn'!$A$4:$C$170,2,0))</f>
        <v>Acier</v>
      </c>
      <c r="D1682" s="72" t="str">
        <f>IF(ISNA(VLOOKUP(Tableau13[[#This Row],[Code machine]],'CODE mchn'!$A$4:$C$170,3,0)),"",VLOOKUP(Tableau13[[#This Row],[Code machine]],'CODE mchn'!$A$4:$C$170,3,0))</f>
        <v>EVG GE12</v>
      </c>
      <c r="E1682" s="105">
        <v>25495</v>
      </c>
      <c r="F1682" s="36"/>
      <c r="G1682" s="72" t="s">
        <v>2974</v>
      </c>
      <c r="H1682" s="72" t="s">
        <v>2975</v>
      </c>
      <c r="I1682" s="72" t="s">
        <v>13</v>
      </c>
      <c r="J1682" s="253" t="s">
        <v>1648</v>
      </c>
      <c r="K1682" s="73">
        <v>44456</v>
      </c>
      <c r="L1682" s="72"/>
      <c r="M1682" s="221">
        <v>120</v>
      </c>
      <c r="N1682" s="221">
        <f>MONTH(Tableau13[[#This Row],[Date fin intervention]])</f>
        <v>9</v>
      </c>
      <c r="O1682" s="221">
        <f>YEAR(Tableau13[[#This Row],[Date fin intervention]])</f>
        <v>2021</v>
      </c>
      <c r="P1682" s="72"/>
    </row>
    <row r="1683" spans="1:16" ht="28.5">
      <c r="A1683" s="104">
        <v>44457</v>
      </c>
      <c r="B1683" s="105">
        <v>607</v>
      </c>
      <c r="C1683" s="106" t="str">
        <f>IF(ISNA(VLOOKUP(Tableau13[[#This Row],[Code machine]],'CODE mchn'!$A$4:$C$170,2,0)),"",VLOOKUP(Tableau13[[#This Row],[Code machine]],'CODE mchn'!$A$4:$C$170,2,0))</f>
        <v>Acier</v>
      </c>
      <c r="D1683" s="36" t="str">
        <f>IF(ISNA(VLOOKUP(Tableau13[[#This Row],[Code machine]],'CODE mchn'!$A$4:$C$170,3,0)),"",VLOOKUP(Tableau13[[#This Row],[Code machine]],'CODE mchn'!$A$4:$C$170,3,0))</f>
        <v>Vitari 3</v>
      </c>
      <c r="E1683" s="105">
        <v>25355</v>
      </c>
      <c r="F1683" s="36"/>
      <c r="G1683" s="36" t="s">
        <v>75</v>
      </c>
      <c r="H1683" s="36" t="s">
        <v>3034</v>
      </c>
      <c r="I1683" s="36" t="s">
        <v>13</v>
      </c>
      <c r="J1683" s="252" t="s">
        <v>3035</v>
      </c>
      <c r="K1683" s="71">
        <v>44460</v>
      </c>
      <c r="L1683" s="36" t="s">
        <v>3036</v>
      </c>
      <c r="M1683" s="108">
        <v>0</v>
      </c>
      <c r="N1683" s="108">
        <f>MONTH(Tableau13[[#This Row],[Date fin intervention]])</f>
        <v>9</v>
      </c>
      <c r="O1683" s="108">
        <f>YEAR(Tableau13[[#This Row],[Date fin intervention]])</f>
        <v>2021</v>
      </c>
      <c r="P1683" s="36"/>
    </row>
    <row r="1684" spans="1:16">
      <c r="A1684" s="104">
        <v>44457</v>
      </c>
      <c r="B1684" s="105">
        <v>581</v>
      </c>
      <c r="C1684" s="106" t="str">
        <f>IF(ISNA(VLOOKUP(Tableau13[[#This Row],[Code machine]],'CODE mchn'!$A$4:$C$170,2,0)),"",VLOOKUP(Tableau13[[#This Row],[Code machine]],'CODE mchn'!$A$4:$C$170,2,0))</f>
        <v>Acier</v>
      </c>
      <c r="D1684" s="36" t="str">
        <f>IF(ISNA(VLOOKUP(Tableau13[[#This Row],[Code machine]],'CODE mchn'!$A$4:$C$170,3,0)),"",VLOOKUP(Tableau13[[#This Row],[Code machine]],'CODE mchn'!$A$4:$C$170,3,0))</f>
        <v>Teurema 1</v>
      </c>
      <c r="E1684" s="105">
        <v>25356</v>
      </c>
      <c r="F1684" s="36"/>
      <c r="G1684" s="36" t="s">
        <v>3037</v>
      </c>
      <c r="H1684" s="36" t="s">
        <v>892</v>
      </c>
      <c r="I1684" s="36" t="s">
        <v>13</v>
      </c>
      <c r="J1684" s="252" t="s">
        <v>3038</v>
      </c>
      <c r="K1684" s="71">
        <v>44457</v>
      </c>
      <c r="L1684" s="36"/>
      <c r="M1684" s="108">
        <v>0</v>
      </c>
      <c r="N1684" s="108">
        <f>MONTH(Tableau13[[#This Row],[Date fin intervention]])</f>
        <v>9</v>
      </c>
      <c r="O1684" s="108">
        <f>YEAR(Tableau13[[#This Row],[Date fin intervention]])</f>
        <v>2021</v>
      </c>
      <c r="P1684" s="36"/>
    </row>
    <row r="1685" spans="1:16" ht="28.5">
      <c r="A1685" s="238">
        <v>44457</v>
      </c>
      <c r="B1685" s="239">
        <v>581</v>
      </c>
      <c r="C1685" s="240" t="str">
        <f>IF(ISNA(VLOOKUP(Tableau13[[#This Row],[Code machine]],'CODE mchn'!$A$4:$C$170,2,0)),"",VLOOKUP(Tableau13[[#This Row],[Code machine]],'CODE mchn'!$A$4:$C$170,2,0))</f>
        <v>Acier</v>
      </c>
      <c r="D1685" s="241" t="str">
        <f>IF(ISNA(VLOOKUP(Tableau13[[#This Row],[Code machine]],'CODE mchn'!$A$4:$C$170,3,0)),"",VLOOKUP(Tableau13[[#This Row],[Code machine]],'CODE mchn'!$A$4:$C$170,3,0))</f>
        <v>Teurema 1</v>
      </c>
      <c r="E1685" s="239">
        <v>25356</v>
      </c>
      <c r="F1685" s="241"/>
      <c r="G1685" s="241" t="s">
        <v>3345</v>
      </c>
      <c r="H1685" s="241" t="s">
        <v>3340</v>
      </c>
      <c r="I1685" s="241" t="s">
        <v>3287</v>
      </c>
      <c r="J1685" s="249" t="s">
        <v>3341</v>
      </c>
      <c r="K1685" s="242">
        <v>44457</v>
      </c>
      <c r="L1685" s="241"/>
      <c r="M1685" s="243">
        <v>240</v>
      </c>
      <c r="N1685" s="243">
        <f>MONTH(Tableau13[[#This Row],[Date fin intervention]])</f>
        <v>9</v>
      </c>
      <c r="O1685" s="243">
        <f>YEAR(Tableau13[[#This Row],[Date fin intervention]])</f>
        <v>2021</v>
      </c>
      <c r="P1685" s="241"/>
    </row>
    <row r="1686" spans="1:16">
      <c r="A1686" s="238">
        <v>44457</v>
      </c>
      <c r="B1686" s="239">
        <v>582</v>
      </c>
      <c r="C1686" s="240" t="str">
        <f>IF(ISNA(VLOOKUP(Tableau13[[#This Row],[Code machine]],'CODE mchn'!$A$4:$C$170,2,0)),"",VLOOKUP(Tableau13[[#This Row],[Code machine]],'CODE mchn'!$A$4:$C$170,2,0))</f>
        <v>Acier</v>
      </c>
      <c r="D1686" s="241" t="str">
        <f>IF(ISNA(VLOOKUP(Tableau13[[#This Row],[Code machine]],'CODE mchn'!$A$4:$C$170,3,0)),"",VLOOKUP(Tableau13[[#This Row],[Code machine]],'CODE mchn'!$A$4:$C$170,3,0))</f>
        <v>Teurema 2</v>
      </c>
      <c r="E1686" s="239">
        <v>25361</v>
      </c>
      <c r="F1686" s="241"/>
      <c r="G1686" s="241" t="s">
        <v>3351</v>
      </c>
      <c r="H1686" s="241" t="s">
        <v>3352</v>
      </c>
      <c r="I1686" s="241" t="s">
        <v>3287</v>
      </c>
      <c r="J1686" s="249" t="s">
        <v>3353</v>
      </c>
      <c r="K1686" s="242">
        <v>44457</v>
      </c>
      <c r="L1686" s="241"/>
      <c r="M1686" s="243">
        <v>30</v>
      </c>
      <c r="N1686" s="243">
        <f>MONTH(Tableau13[[#This Row],[Date fin intervention]])</f>
        <v>9</v>
      </c>
      <c r="O1686" s="243">
        <f>YEAR(Tableau13[[#This Row],[Date fin intervention]])</f>
        <v>2021</v>
      </c>
      <c r="P1686" s="241"/>
    </row>
    <row r="1687" spans="1:16">
      <c r="A1687" s="218">
        <v>44459</v>
      </c>
      <c r="B1687" s="219">
        <v>570</v>
      </c>
      <c r="C1687" s="220" t="str">
        <f>IF(ISNA(VLOOKUP(Tableau13[[#This Row],[Code machine]],'CODE mchn'!$A$4:$C$170,2,0)),"",VLOOKUP(Tableau13[[#This Row],[Code machine]],'CODE mchn'!$A$4:$C$170,2,0))</f>
        <v>Acier</v>
      </c>
      <c r="D1687" s="72" t="str">
        <f>IF(ISNA(VLOOKUP(Tableau13[[#This Row],[Code machine]],'CODE mchn'!$A$4:$C$170,3,0)),"",VLOOKUP(Tableau13[[#This Row],[Code machine]],'CODE mchn'!$A$4:$C$170,3,0))</f>
        <v>Sigmatic</v>
      </c>
      <c r="E1687" s="105">
        <v>25487</v>
      </c>
      <c r="F1687" s="36"/>
      <c r="G1687" s="72" t="s">
        <v>664</v>
      </c>
      <c r="H1687" s="72" t="s">
        <v>2356</v>
      </c>
      <c r="I1687" s="72" t="s">
        <v>13</v>
      </c>
      <c r="J1687" s="253" t="s">
        <v>1906</v>
      </c>
      <c r="K1687" s="73">
        <v>44459</v>
      </c>
      <c r="L1687" s="72"/>
      <c r="M1687" s="221">
        <v>90</v>
      </c>
      <c r="N1687" s="221">
        <f>MONTH(Tableau13[[#This Row],[Date fin intervention]])</f>
        <v>9</v>
      </c>
      <c r="O1687" s="221">
        <f>YEAR(Tableau13[[#This Row],[Date fin intervention]])</f>
        <v>2021</v>
      </c>
      <c r="P1687" s="72"/>
    </row>
    <row r="1688" spans="1:16">
      <c r="A1688" s="218">
        <v>44459</v>
      </c>
      <c r="B1688" s="219">
        <v>700</v>
      </c>
      <c r="C1688" s="220" t="str">
        <f>IF(ISNA(VLOOKUP(Tableau13[[#This Row],[Code machine]],'CODE mchn'!$A$4:$C$170,2,0)),"",VLOOKUP(Tableau13[[#This Row],[Code machine]],'CODE mchn'!$A$4:$C$170,2,0))</f>
        <v>Béton</v>
      </c>
      <c r="D1688" s="72" t="str">
        <f>IF(ISNA(VLOOKUP(Tableau13[[#This Row],[Code machine]],'CODE mchn'!$A$4:$C$170,3,0)),"",VLOOKUP(Tableau13[[#This Row],[Code machine]],'CODE mchn'!$A$4:$C$170,3,0))</f>
        <v>Poyatos 1</v>
      </c>
      <c r="E1688" s="105">
        <v>25488</v>
      </c>
      <c r="F1688" s="36"/>
      <c r="G1688" s="72" t="s">
        <v>291</v>
      </c>
      <c r="H1688" s="72" t="s">
        <v>2966</v>
      </c>
      <c r="I1688" s="72" t="s">
        <v>13</v>
      </c>
      <c r="J1688" s="253" t="s">
        <v>2967</v>
      </c>
      <c r="K1688" s="73">
        <v>44459</v>
      </c>
      <c r="L1688" s="72"/>
      <c r="M1688" s="221">
        <v>105</v>
      </c>
      <c r="N1688" s="221">
        <f>MONTH(Tableau13[[#This Row],[Date fin intervention]])</f>
        <v>9</v>
      </c>
      <c r="O1688" s="221">
        <f>YEAR(Tableau13[[#This Row],[Date fin intervention]])</f>
        <v>2021</v>
      </c>
      <c r="P1688" s="72"/>
    </row>
    <row r="1689" spans="1:16">
      <c r="A1689" s="218">
        <v>44459</v>
      </c>
      <c r="B1689" s="219">
        <v>800</v>
      </c>
      <c r="C1689" s="220" t="str">
        <f>IF(ISNA(VLOOKUP(Tableau13[[#This Row],[Code machine]],'CODE mchn'!$A$4:$C$170,2,0)),"",VLOOKUP(Tableau13[[#This Row],[Code machine]],'CODE mchn'!$A$4:$C$170,2,0))</f>
        <v>Béton</v>
      </c>
      <c r="D1689" s="72" t="str">
        <f>IF(ISNA(VLOOKUP(Tableau13[[#This Row],[Code machine]],'CODE mchn'!$A$4:$C$170,3,0)),"",VLOOKUP(Tableau13[[#This Row],[Code machine]],'CODE mchn'!$A$4:$C$170,3,0))</f>
        <v>Poyatos 2</v>
      </c>
      <c r="E1689" s="105">
        <v>25489</v>
      </c>
      <c r="F1689" s="36"/>
      <c r="G1689" s="72" t="s">
        <v>185</v>
      </c>
      <c r="H1689" s="72" t="s">
        <v>430</v>
      </c>
      <c r="I1689" s="72" t="s">
        <v>13</v>
      </c>
      <c r="J1689" s="253" t="s">
        <v>2968</v>
      </c>
      <c r="K1689" s="73">
        <v>44459</v>
      </c>
      <c r="L1689" s="72"/>
      <c r="M1689" s="221">
        <f>4*60</f>
        <v>240</v>
      </c>
      <c r="N1689" s="221">
        <f>MONTH(Tableau13[[#This Row],[Date fin intervention]])</f>
        <v>9</v>
      </c>
      <c r="O1689" s="221">
        <f>YEAR(Tableau13[[#This Row],[Date fin intervention]])</f>
        <v>2021</v>
      </c>
      <c r="P1689" s="72"/>
    </row>
    <row r="1690" spans="1:16">
      <c r="A1690" s="218">
        <v>44459</v>
      </c>
      <c r="B1690" s="219">
        <v>700</v>
      </c>
      <c r="C1690" s="220" t="str">
        <f>IF(ISNA(VLOOKUP(Tableau13[[#This Row],[Code machine]],'CODE mchn'!$A$4:$C$170,2,0)),"",VLOOKUP(Tableau13[[#This Row],[Code machine]],'CODE mchn'!$A$4:$C$170,2,0))</f>
        <v>Béton</v>
      </c>
      <c r="D1690" s="72" t="str">
        <f>IF(ISNA(VLOOKUP(Tableau13[[#This Row],[Code machine]],'CODE mchn'!$A$4:$C$170,3,0)),"",VLOOKUP(Tableau13[[#This Row],[Code machine]],'CODE mchn'!$A$4:$C$170,3,0))</f>
        <v>Poyatos 1</v>
      </c>
      <c r="E1690" s="105">
        <v>25490</v>
      </c>
      <c r="F1690" s="36"/>
      <c r="G1690" s="72" t="s">
        <v>185</v>
      </c>
      <c r="H1690" s="72" t="s">
        <v>654</v>
      </c>
      <c r="I1690" s="72" t="s">
        <v>13</v>
      </c>
      <c r="J1690" s="253" t="s">
        <v>2969</v>
      </c>
      <c r="K1690" s="73">
        <v>44459</v>
      </c>
      <c r="L1690" s="72"/>
      <c r="M1690" s="221">
        <v>150</v>
      </c>
      <c r="N1690" s="221">
        <f>MONTH(Tableau13[[#This Row],[Date fin intervention]])</f>
        <v>9</v>
      </c>
      <c r="O1690" s="221">
        <f>YEAR(Tableau13[[#This Row],[Date fin intervention]])</f>
        <v>2021</v>
      </c>
      <c r="P1690" s="72"/>
    </row>
    <row r="1691" spans="1:16">
      <c r="A1691" s="218">
        <v>44459</v>
      </c>
      <c r="B1691" s="219">
        <v>800</v>
      </c>
      <c r="C1691" s="220" t="str">
        <f>IF(ISNA(VLOOKUP(Tableau13[[#This Row],[Code machine]],'CODE mchn'!$A$4:$C$170,2,0)),"",VLOOKUP(Tableau13[[#This Row],[Code machine]],'CODE mchn'!$A$4:$C$170,2,0))</f>
        <v>Béton</v>
      </c>
      <c r="D1691" s="72" t="str">
        <f>IF(ISNA(VLOOKUP(Tableau13[[#This Row],[Code machine]],'CODE mchn'!$A$4:$C$170,3,0)),"",VLOOKUP(Tableau13[[#This Row],[Code machine]],'CODE mchn'!$A$4:$C$170,3,0))</f>
        <v>Poyatos 2</v>
      </c>
      <c r="E1691" s="105">
        <v>25491</v>
      </c>
      <c r="F1691" s="36"/>
      <c r="G1691" s="72" t="s">
        <v>213</v>
      </c>
      <c r="H1691" s="72" t="s">
        <v>1134</v>
      </c>
      <c r="I1691" s="72" t="s">
        <v>13</v>
      </c>
      <c r="J1691" s="253" t="s">
        <v>2970</v>
      </c>
      <c r="K1691" s="73">
        <v>44459</v>
      </c>
      <c r="L1691" s="72"/>
      <c r="M1691" s="221">
        <v>90</v>
      </c>
      <c r="N1691" s="221">
        <f>MONTH(Tableau13[[#This Row],[Date fin intervention]])</f>
        <v>9</v>
      </c>
      <c r="O1691" s="221">
        <f>YEAR(Tableau13[[#This Row],[Date fin intervention]])</f>
        <v>2021</v>
      </c>
      <c r="P1691" s="72"/>
    </row>
    <row r="1692" spans="1:16" ht="28.5">
      <c r="A1692" s="238">
        <v>44459</v>
      </c>
      <c r="B1692" s="239">
        <v>700</v>
      </c>
      <c r="C1692" s="240" t="str">
        <f>IF(ISNA(VLOOKUP(Tableau13[[#This Row],[Code machine]],'CODE mchn'!$A$4:$C$170,2,0)),"",VLOOKUP(Tableau13[[#This Row],[Code machine]],'CODE mchn'!$A$4:$C$170,2,0))</f>
        <v>Béton</v>
      </c>
      <c r="D1692" s="241" t="str">
        <f>IF(ISNA(VLOOKUP(Tableau13[[#This Row],[Code machine]],'CODE mchn'!$A$4:$C$170,3,0)),"",VLOOKUP(Tableau13[[#This Row],[Code machine]],'CODE mchn'!$A$4:$C$170,3,0))</f>
        <v>Poyatos 1</v>
      </c>
      <c r="E1692" s="239">
        <v>25354</v>
      </c>
      <c r="F1692" s="241"/>
      <c r="G1692" s="241" t="s">
        <v>3334</v>
      </c>
      <c r="H1692" s="241" t="s">
        <v>3335</v>
      </c>
      <c r="I1692" s="241" t="s">
        <v>3287</v>
      </c>
      <c r="J1692" s="249" t="s">
        <v>3336</v>
      </c>
      <c r="K1692" s="242">
        <v>44459</v>
      </c>
      <c r="L1692" s="241"/>
      <c r="M1692" s="243">
        <v>30</v>
      </c>
      <c r="N1692" s="243">
        <f>MONTH(Tableau13[[#This Row],[Date fin intervention]])</f>
        <v>9</v>
      </c>
      <c r="O1692" s="243">
        <f>YEAR(Tableau13[[#This Row],[Date fin intervention]])</f>
        <v>2021</v>
      </c>
      <c r="P1692" s="241"/>
    </row>
    <row r="1693" spans="1:16" ht="28.5">
      <c r="A1693" s="238">
        <v>44459</v>
      </c>
      <c r="B1693" s="239">
        <v>700</v>
      </c>
      <c r="C1693" s="240" t="str">
        <f>IF(ISNA(VLOOKUP(Tableau13[[#This Row],[Code machine]],'CODE mchn'!$A$4:$C$170,2,0)),"",VLOOKUP(Tableau13[[#This Row],[Code machine]],'CODE mchn'!$A$4:$C$170,2,0))</f>
        <v>Béton</v>
      </c>
      <c r="D1693" s="241" t="str">
        <f>IF(ISNA(VLOOKUP(Tableau13[[#This Row],[Code machine]],'CODE mchn'!$A$4:$C$170,3,0)),"",VLOOKUP(Tableau13[[#This Row],[Code machine]],'CODE mchn'!$A$4:$C$170,3,0))</f>
        <v>Poyatos 1</v>
      </c>
      <c r="E1693" s="239">
        <v>25357</v>
      </c>
      <c r="F1693" s="241"/>
      <c r="G1693" s="241" t="s">
        <v>3342</v>
      </c>
      <c r="H1693" s="241"/>
      <c r="I1693" s="241" t="s">
        <v>3287</v>
      </c>
      <c r="J1693" s="249" t="s">
        <v>3343</v>
      </c>
      <c r="K1693" s="242">
        <v>44459</v>
      </c>
      <c r="L1693" s="241"/>
      <c r="M1693" s="243">
        <v>60</v>
      </c>
      <c r="N1693" s="243">
        <f>MONTH(Tableau13[[#This Row],[Date fin intervention]])</f>
        <v>9</v>
      </c>
      <c r="O1693" s="243">
        <f>YEAR(Tableau13[[#This Row],[Date fin intervention]])</f>
        <v>2021</v>
      </c>
      <c r="P1693" s="241"/>
    </row>
    <row r="1694" spans="1:16">
      <c r="A1694" s="218">
        <v>44460</v>
      </c>
      <c r="B1694" s="219">
        <v>700</v>
      </c>
      <c r="C1694" s="220" t="str">
        <f>IF(ISNA(VLOOKUP(Tableau13[[#This Row],[Code machine]],'CODE mchn'!$A$4:$C$170,2,0)),"",VLOOKUP(Tableau13[[#This Row],[Code machine]],'CODE mchn'!$A$4:$C$170,2,0))</f>
        <v>Béton</v>
      </c>
      <c r="D1694" s="72" t="str">
        <f>IF(ISNA(VLOOKUP(Tableau13[[#This Row],[Code machine]],'CODE mchn'!$A$4:$C$170,3,0)),"",VLOOKUP(Tableau13[[#This Row],[Code machine]],'CODE mchn'!$A$4:$C$170,3,0))</f>
        <v>Poyatos 1</v>
      </c>
      <c r="E1694" s="105">
        <v>25494</v>
      </c>
      <c r="F1694" s="36"/>
      <c r="G1694" s="72" t="s">
        <v>49</v>
      </c>
      <c r="H1694" s="72" t="s">
        <v>2973</v>
      </c>
      <c r="I1694" s="72" t="s">
        <v>13</v>
      </c>
      <c r="J1694" s="253" t="s">
        <v>1740</v>
      </c>
      <c r="K1694" s="73">
        <v>44460</v>
      </c>
      <c r="L1694" s="72"/>
      <c r="M1694" s="221">
        <v>60</v>
      </c>
      <c r="N1694" s="221">
        <f>MONTH(Tableau13[[#This Row],[Date fin intervention]])</f>
        <v>9</v>
      </c>
      <c r="O1694" s="221">
        <f>YEAR(Tableau13[[#This Row],[Date fin intervention]])</f>
        <v>2021</v>
      </c>
      <c r="P1694" s="72"/>
    </row>
    <row r="1695" spans="1:16">
      <c r="A1695" s="218">
        <v>44460</v>
      </c>
      <c r="B1695" s="219">
        <v>607</v>
      </c>
      <c r="C1695" s="220" t="str">
        <f>IF(ISNA(VLOOKUP(Tableau13[[#This Row],[Code machine]],'CODE mchn'!$A$4:$C$170,2,0)),"",VLOOKUP(Tableau13[[#This Row],[Code machine]],'CODE mchn'!$A$4:$C$170,2,0))</f>
        <v>Acier</v>
      </c>
      <c r="D1695" s="72" t="str">
        <f>IF(ISNA(VLOOKUP(Tableau13[[#This Row],[Code machine]],'CODE mchn'!$A$4:$C$170,3,0)),"",VLOOKUP(Tableau13[[#This Row],[Code machine]],'CODE mchn'!$A$4:$C$170,3,0))</f>
        <v>Vitari 3</v>
      </c>
      <c r="E1695" s="105">
        <v>25355</v>
      </c>
      <c r="F1695" s="36"/>
      <c r="G1695" s="72" t="s">
        <v>75</v>
      </c>
      <c r="H1695" s="72" t="s">
        <v>2981</v>
      </c>
      <c r="I1695" s="72" t="s">
        <v>13</v>
      </c>
      <c r="J1695" s="253" t="s">
        <v>2982</v>
      </c>
      <c r="K1695" s="73">
        <v>44460</v>
      </c>
      <c r="L1695" s="72"/>
      <c r="M1695" s="221">
        <f>4*60</f>
        <v>240</v>
      </c>
      <c r="N1695" s="221">
        <f>MONTH(Tableau13[[#This Row],[Date fin intervention]])</f>
        <v>9</v>
      </c>
      <c r="O1695" s="221">
        <f>YEAR(Tableau13[[#This Row],[Date fin intervention]])</f>
        <v>2021</v>
      </c>
      <c r="P1695" s="72"/>
    </row>
    <row r="1696" spans="1:16" ht="28.5">
      <c r="A1696" s="104">
        <v>44460</v>
      </c>
      <c r="B1696" s="105">
        <v>581</v>
      </c>
      <c r="C1696" s="106" t="str">
        <f>IF(ISNA(VLOOKUP(Tableau13[[#This Row],[Code machine]],'CODE mchn'!$A$4:$C$170,2,0)),"",VLOOKUP(Tableau13[[#This Row],[Code machine]],'CODE mchn'!$A$4:$C$170,2,0))</f>
        <v>Acier</v>
      </c>
      <c r="D1696" s="36" t="str">
        <f>IF(ISNA(VLOOKUP(Tableau13[[#This Row],[Code machine]],'CODE mchn'!$A$4:$C$170,3,0)),"",VLOOKUP(Tableau13[[#This Row],[Code machine]],'CODE mchn'!$A$4:$C$170,3,0))</f>
        <v>Teurema 1</v>
      </c>
      <c r="E1696" s="105">
        <v>25365</v>
      </c>
      <c r="F1696" s="36"/>
      <c r="G1696" s="36" t="s">
        <v>446</v>
      </c>
      <c r="H1696" s="36" t="s">
        <v>3043</v>
      </c>
      <c r="I1696" s="36" t="s">
        <v>13</v>
      </c>
      <c r="J1696" s="252" t="s">
        <v>2948</v>
      </c>
      <c r="K1696" s="71">
        <v>44460</v>
      </c>
      <c r="L1696" s="36" t="s">
        <v>3044</v>
      </c>
      <c r="M1696" s="108">
        <v>90</v>
      </c>
      <c r="N1696" s="108">
        <f>MONTH(Tableau13[[#This Row],[Date fin intervention]])</f>
        <v>9</v>
      </c>
      <c r="O1696" s="108">
        <f>YEAR(Tableau13[[#This Row],[Date fin intervention]])</f>
        <v>2021</v>
      </c>
      <c r="P1696" s="36"/>
    </row>
    <row r="1697" spans="1:16">
      <c r="A1697" s="238">
        <v>44460</v>
      </c>
      <c r="B1697" s="239">
        <v>582</v>
      </c>
      <c r="C1697" s="240" t="str">
        <f>IF(ISNA(VLOOKUP(Tableau13[[#This Row],[Code machine]],'CODE mchn'!$A$4:$C$170,2,0)),"",VLOOKUP(Tableau13[[#This Row],[Code machine]],'CODE mchn'!$A$4:$C$170,2,0))</f>
        <v>Acier</v>
      </c>
      <c r="D1697" s="241" t="str">
        <f>IF(ISNA(VLOOKUP(Tableau13[[#This Row],[Code machine]],'CODE mchn'!$A$4:$C$170,3,0)),"",VLOOKUP(Tableau13[[#This Row],[Code machine]],'CODE mchn'!$A$4:$C$170,3,0))</f>
        <v>Teurema 2</v>
      </c>
      <c r="E1697" s="239">
        <v>25353</v>
      </c>
      <c r="F1697" s="241"/>
      <c r="G1697" s="241" t="s">
        <v>3325</v>
      </c>
      <c r="H1697" s="241" t="s">
        <v>3326</v>
      </c>
      <c r="I1697" s="241" t="s">
        <v>3287</v>
      </c>
      <c r="J1697" s="249" t="s">
        <v>3327</v>
      </c>
      <c r="K1697" s="242">
        <v>44460</v>
      </c>
      <c r="L1697" s="241"/>
      <c r="M1697" s="243">
        <v>75</v>
      </c>
      <c r="N1697" s="243">
        <f>MONTH(Tableau13[[#This Row],[Date fin intervention]])</f>
        <v>9</v>
      </c>
      <c r="O1697" s="243">
        <f>YEAR(Tableau13[[#This Row],[Date fin intervention]])</f>
        <v>2021</v>
      </c>
      <c r="P1697" s="241"/>
    </row>
    <row r="1698" spans="1:16" ht="28.5">
      <c r="A1698" s="238">
        <v>44460</v>
      </c>
      <c r="B1698" s="239">
        <v>607</v>
      </c>
      <c r="C1698" s="240" t="str">
        <f>IF(ISNA(VLOOKUP(Tableau13[[#This Row],[Code machine]],'CODE mchn'!$A$4:$C$170,2,0)),"",VLOOKUP(Tableau13[[#This Row],[Code machine]],'CODE mchn'!$A$4:$C$170,2,0))</f>
        <v>Acier</v>
      </c>
      <c r="D1698" s="241" t="str">
        <f>IF(ISNA(VLOOKUP(Tableau13[[#This Row],[Code machine]],'CODE mchn'!$A$4:$C$170,3,0)),"",VLOOKUP(Tableau13[[#This Row],[Code machine]],'CODE mchn'!$A$4:$C$170,3,0))</f>
        <v>Vitari 3</v>
      </c>
      <c r="E1698" s="239">
        <v>25355</v>
      </c>
      <c r="F1698" s="241"/>
      <c r="G1698" s="241" t="s">
        <v>3337</v>
      </c>
      <c r="H1698" s="241" t="s">
        <v>3338</v>
      </c>
      <c r="I1698" s="241" t="s">
        <v>3287</v>
      </c>
      <c r="J1698" s="249" t="s">
        <v>3339</v>
      </c>
      <c r="K1698" s="242">
        <v>44460</v>
      </c>
      <c r="L1698" s="241"/>
      <c r="M1698" s="243">
        <v>120</v>
      </c>
      <c r="N1698" s="243">
        <f>MONTH(Tableau13[[#This Row],[Date fin intervention]])</f>
        <v>9</v>
      </c>
      <c r="O1698" s="243">
        <f>YEAR(Tableau13[[#This Row],[Date fin intervention]])</f>
        <v>2021</v>
      </c>
      <c r="P1698" s="241"/>
    </row>
    <row r="1699" spans="1:16" ht="42.75">
      <c r="A1699" s="238">
        <v>44460</v>
      </c>
      <c r="B1699" s="239">
        <v>565</v>
      </c>
      <c r="C1699" s="240" t="str">
        <f>IF(ISNA(VLOOKUP(Tableau13[[#This Row],[Code machine]],'CODE mchn'!$A$4:$C$170,2,0)),"",VLOOKUP(Tableau13[[#This Row],[Code machine]],'CODE mchn'!$A$4:$C$170,2,0))</f>
        <v>Acier</v>
      </c>
      <c r="D1699" s="241" t="str">
        <f>IF(ISNA(VLOOKUP(Tableau13[[#This Row],[Code machine]],'CODE mchn'!$A$4:$C$170,3,0)),"",VLOOKUP(Tableau13[[#This Row],[Code machine]],'CODE mchn'!$A$4:$C$170,3,0))</f>
        <v>EVG GE12</v>
      </c>
      <c r="E1699" s="239">
        <v>25368</v>
      </c>
      <c r="F1699" s="241"/>
      <c r="G1699" s="241" t="s">
        <v>3369</v>
      </c>
      <c r="H1699" s="241" t="s">
        <v>3370</v>
      </c>
      <c r="I1699" s="241" t="s">
        <v>3287</v>
      </c>
      <c r="J1699" s="249" t="s">
        <v>3371</v>
      </c>
      <c r="K1699" s="242">
        <v>44460</v>
      </c>
      <c r="L1699" s="241"/>
      <c r="M1699" s="243">
        <v>90</v>
      </c>
      <c r="N1699" s="243">
        <f>MONTH(Tableau13[[#This Row],[Date fin intervention]])</f>
        <v>9</v>
      </c>
      <c r="O1699" s="243">
        <f>YEAR(Tableau13[[#This Row],[Date fin intervention]])</f>
        <v>2021</v>
      </c>
      <c r="P1699" s="241"/>
    </row>
    <row r="1700" spans="1:16">
      <c r="A1700" s="238">
        <v>44460</v>
      </c>
      <c r="B1700" s="239">
        <v>581</v>
      </c>
      <c r="C1700" s="240" t="str">
        <f>IF(ISNA(VLOOKUP(Tableau13[[#This Row],[Code machine]],'CODE mchn'!$A$4:$C$170,2,0)),"",VLOOKUP(Tableau13[[#This Row],[Code machine]],'CODE mchn'!$A$4:$C$170,2,0))</f>
        <v>Acier</v>
      </c>
      <c r="D1700" s="241" t="str">
        <f>IF(ISNA(VLOOKUP(Tableau13[[#This Row],[Code machine]],'CODE mchn'!$A$4:$C$170,3,0)),"",VLOOKUP(Tableau13[[#This Row],[Code machine]],'CODE mchn'!$A$4:$C$170,3,0))</f>
        <v>Teurema 1</v>
      </c>
      <c r="E1700" s="239">
        <v>25369</v>
      </c>
      <c r="F1700" s="241"/>
      <c r="G1700" s="241" t="s">
        <v>3372</v>
      </c>
      <c r="H1700" s="241"/>
      <c r="I1700" s="241" t="s">
        <v>3287</v>
      </c>
      <c r="J1700" s="249" t="s">
        <v>3373</v>
      </c>
      <c r="K1700" s="242">
        <v>44460</v>
      </c>
      <c r="L1700" s="241"/>
      <c r="M1700" s="243">
        <v>90</v>
      </c>
      <c r="N1700" s="243">
        <f>MONTH(Tableau13[[#This Row],[Date fin intervention]])</f>
        <v>9</v>
      </c>
      <c r="O1700" s="243">
        <f>YEAR(Tableau13[[#This Row],[Date fin intervention]])</f>
        <v>2021</v>
      </c>
      <c r="P1700" s="241"/>
    </row>
    <row r="1701" spans="1:16">
      <c r="A1701" s="218">
        <v>44461</v>
      </c>
      <c r="B1701" s="219">
        <v>533</v>
      </c>
      <c r="C1701" s="220" t="str">
        <f>IF(ISNA(VLOOKUP(Tableau13[[#This Row],[Code machine]],'CODE mchn'!$A$4:$C$170,2,0)),"",VLOOKUP(Tableau13[[#This Row],[Code machine]],'CODE mchn'!$A$4:$C$170,2,0))</f>
        <v>Enrobage</v>
      </c>
      <c r="D1701" s="72" t="str">
        <f>IF(ISNA(VLOOKUP(Tableau13[[#This Row],[Code machine]],'CODE mchn'!$A$4:$C$170,3,0)),"",VLOOKUP(Tableau13[[#This Row],[Code machine]],'CODE mchn'!$A$4:$C$170,3,0))</f>
        <v>CAROSSEL</v>
      </c>
      <c r="E1701" s="105">
        <v>25497</v>
      </c>
      <c r="F1701" s="36"/>
      <c r="G1701" s="72" t="s">
        <v>2871</v>
      </c>
      <c r="H1701" s="72" t="s">
        <v>2977</v>
      </c>
      <c r="I1701" s="72" t="s">
        <v>101</v>
      </c>
      <c r="J1701" s="253" t="s">
        <v>2978</v>
      </c>
      <c r="K1701" s="73">
        <v>44461</v>
      </c>
      <c r="L1701" s="72"/>
      <c r="M1701" s="221">
        <f>5*60</f>
        <v>300</v>
      </c>
      <c r="N1701" s="221">
        <f>MONTH(Tableau13[[#This Row],[Date fin intervention]])</f>
        <v>9</v>
      </c>
      <c r="O1701" s="221">
        <f>YEAR(Tableau13[[#This Row],[Date fin intervention]])</f>
        <v>2021</v>
      </c>
      <c r="P1701" s="72"/>
    </row>
    <row r="1702" spans="1:16">
      <c r="A1702" s="218">
        <v>44461</v>
      </c>
      <c r="B1702" s="219">
        <v>534</v>
      </c>
      <c r="C1702" s="220" t="str">
        <f>IF(ISNA(VLOOKUP(Tableau13[[#This Row],[Code machine]],'CODE mchn'!$A$4:$C$170,2,0)),"",VLOOKUP(Tableau13[[#This Row],[Code machine]],'CODE mchn'!$A$4:$C$170,2,0))</f>
        <v>Enrobage</v>
      </c>
      <c r="D1702" s="72" t="str">
        <f>IF(ISNA(VLOOKUP(Tableau13[[#This Row],[Code machine]],'CODE mchn'!$A$4:$C$170,3,0)),"",VLOOKUP(Tableau13[[#This Row],[Code machine]],'CODE mchn'!$A$4:$C$170,3,0))</f>
        <v>ELKON 2</v>
      </c>
      <c r="E1702" s="105">
        <v>25498</v>
      </c>
      <c r="F1702" s="36"/>
      <c r="G1702" s="72" t="s">
        <v>2871</v>
      </c>
      <c r="H1702" s="72" t="s">
        <v>2977</v>
      </c>
      <c r="I1702" s="72" t="s">
        <v>101</v>
      </c>
      <c r="J1702" s="253" t="s">
        <v>2978</v>
      </c>
      <c r="K1702" s="73">
        <v>44461</v>
      </c>
      <c r="L1702" s="72"/>
      <c r="M1702" s="221">
        <f>5*60</f>
        <v>300</v>
      </c>
      <c r="N1702" s="221">
        <f>MONTH(Tableau13[[#This Row],[Date fin intervention]])</f>
        <v>9</v>
      </c>
      <c r="O1702" s="221">
        <f>YEAR(Tableau13[[#This Row],[Date fin intervention]])</f>
        <v>2021</v>
      </c>
      <c r="P1702" s="72"/>
    </row>
    <row r="1703" spans="1:16">
      <c r="A1703" s="218">
        <v>44461</v>
      </c>
      <c r="B1703" s="219">
        <v>700</v>
      </c>
      <c r="C1703" s="220" t="str">
        <f>IF(ISNA(VLOOKUP(Tableau13[[#This Row],[Code machine]],'CODE mchn'!$A$4:$C$170,2,0)),"",VLOOKUP(Tableau13[[#This Row],[Code machine]],'CODE mchn'!$A$4:$C$170,2,0))</f>
        <v>Béton</v>
      </c>
      <c r="D1703" s="72" t="str">
        <f>IF(ISNA(VLOOKUP(Tableau13[[#This Row],[Code machine]],'CODE mchn'!$A$4:$C$170,3,0)),"",VLOOKUP(Tableau13[[#This Row],[Code machine]],'CODE mchn'!$A$4:$C$170,3,0))</f>
        <v>Poyatos 1</v>
      </c>
      <c r="E1703" s="105">
        <v>25363</v>
      </c>
      <c r="F1703" s="36"/>
      <c r="G1703" s="72" t="s">
        <v>118</v>
      </c>
      <c r="H1703" s="72" t="s">
        <v>2983</v>
      </c>
      <c r="I1703" s="72" t="s">
        <v>13</v>
      </c>
      <c r="J1703" s="253" t="s">
        <v>2984</v>
      </c>
      <c r="K1703" s="73">
        <v>44461</v>
      </c>
      <c r="L1703" s="72"/>
      <c r="M1703" s="221">
        <v>90</v>
      </c>
      <c r="N1703" s="221">
        <f>MONTH(Tableau13[[#This Row],[Date fin intervention]])</f>
        <v>9</v>
      </c>
      <c r="O1703" s="221">
        <f>YEAR(Tableau13[[#This Row],[Date fin intervention]])</f>
        <v>2021</v>
      </c>
      <c r="P1703" s="72"/>
    </row>
    <row r="1704" spans="1:16">
      <c r="A1704" s="104">
        <v>44461</v>
      </c>
      <c r="B1704" s="105">
        <v>582</v>
      </c>
      <c r="C1704" s="106" t="str">
        <f>IF(ISNA(VLOOKUP(Tableau13[[#This Row],[Code machine]],'CODE mchn'!$A$4:$C$170,2,0)),"",VLOOKUP(Tableau13[[#This Row],[Code machine]],'CODE mchn'!$A$4:$C$170,2,0))</f>
        <v>Acier</v>
      </c>
      <c r="D1704" s="36" t="str">
        <f>IF(ISNA(VLOOKUP(Tableau13[[#This Row],[Code machine]],'CODE mchn'!$A$4:$C$170,3,0)),"",VLOOKUP(Tableau13[[#This Row],[Code machine]],'CODE mchn'!$A$4:$C$170,3,0))</f>
        <v>Teurema 2</v>
      </c>
      <c r="E1704" s="105">
        <v>25366</v>
      </c>
      <c r="F1704" s="36"/>
      <c r="G1704" s="36" t="s">
        <v>3041</v>
      </c>
      <c r="H1704" s="36" t="s">
        <v>892</v>
      </c>
      <c r="I1704" s="36" t="s">
        <v>13</v>
      </c>
      <c r="J1704" s="252" t="s">
        <v>3042</v>
      </c>
      <c r="K1704" s="71">
        <v>44461</v>
      </c>
      <c r="L1704" s="36"/>
      <c r="M1704" s="108"/>
      <c r="N1704" s="108">
        <f>MONTH(Tableau13[[#This Row],[Date fin intervention]])</f>
        <v>9</v>
      </c>
      <c r="O1704" s="108">
        <f>YEAR(Tableau13[[#This Row],[Date fin intervention]])</f>
        <v>2021</v>
      </c>
      <c r="P1704" s="36"/>
    </row>
    <row r="1705" spans="1:16">
      <c r="A1705" s="238">
        <v>44461</v>
      </c>
      <c r="B1705" s="239">
        <v>700</v>
      </c>
      <c r="C1705" s="240" t="str">
        <f>IF(ISNA(VLOOKUP(Tableau13[[#This Row],[Code machine]],'CODE mchn'!$A$4:$C$170,2,0)),"",VLOOKUP(Tableau13[[#This Row],[Code machine]],'CODE mchn'!$A$4:$C$170,2,0))</f>
        <v>Béton</v>
      </c>
      <c r="D1705" s="241" t="str">
        <f>IF(ISNA(VLOOKUP(Tableau13[[#This Row],[Code machine]],'CODE mchn'!$A$4:$C$170,3,0)),"",VLOOKUP(Tableau13[[#This Row],[Code machine]],'CODE mchn'!$A$4:$C$170,3,0))</f>
        <v>Poyatos 1</v>
      </c>
      <c r="E1705" s="239">
        <v>25363</v>
      </c>
      <c r="F1705" s="241"/>
      <c r="G1705" s="241" t="s">
        <v>3354</v>
      </c>
      <c r="H1705" s="241" t="s">
        <v>3355</v>
      </c>
      <c r="I1705" s="241" t="s">
        <v>3287</v>
      </c>
      <c r="J1705" s="249" t="s">
        <v>3356</v>
      </c>
      <c r="K1705" s="242">
        <v>44461</v>
      </c>
      <c r="L1705" s="241"/>
      <c r="M1705" s="243">
        <v>90</v>
      </c>
      <c r="N1705" s="243">
        <f>MONTH(Tableau13[[#This Row],[Date fin intervention]])</f>
        <v>9</v>
      </c>
      <c r="O1705" s="243">
        <f>YEAR(Tableau13[[#This Row],[Date fin intervention]])</f>
        <v>2021</v>
      </c>
      <c r="P1705" s="241"/>
    </row>
    <row r="1706" spans="1:16" ht="28.5">
      <c r="A1706" s="238">
        <v>44461</v>
      </c>
      <c r="B1706" s="239">
        <v>582</v>
      </c>
      <c r="C1706" s="240" t="str">
        <f>IF(ISNA(VLOOKUP(Tableau13[[#This Row],[Code machine]],'CODE mchn'!$A$4:$C$170,2,0)),"",VLOOKUP(Tableau13[[#This Row],[Code machine]],'CODE mchn'!$A$4:$C$170,2,0))</f>
        <v>Acier</v>
      </c>
      <c r="D1706" s="241" t="str">
        <f>IF(ISNA(VLOOKUP(Tableau13[[#This Row],[Code machine]],'CODE mchn'!$A$4:$C$170,3,0)),"",VLOOKUP(Tableau13[[#This Row],[Code machine]],'CODE mchn'!$A$4:$C$170,3,0))</f>
        <v>Teurema 2</v>
      </c>
      <c r="E1706" s="239">
        <v>25366</v>
      </c>
      <c r="F1706" s="241"/>
      <c r="G1706" s="241" t="s">
        <v>3364</v>
      </c>
      <c r="H1706" s="241" t="s">
        <v>3365</v>
      </c>
      <c r="I1706" s="241" t="s">
        <v>3287</v>
      </c>
      <c r="J1706" s="249" t="s">
        <v>3366</v>
      </c>
      <c r="K1706" s="242">
        <v>44461</v>
      </c>
      <c r="L1706" s="241"/>
      <c r="M1706" s="243">
        <v>180</v>
      </c>
      <c r="N1706" s="243">
        <f>MONTH(Tableau13[[#This Row],[Date fin intervention]])</f>
        <v>9</v>
      </c>
      <c r="O1706" s="243">
        <f>YEAR(Tableau13[[#This Row],[Date fin intervention]])</f>
        <v>2021</v>
      </c>
      <c r="P1706" s="241"/>
    </row>
    <row r="1707" spans="1:16" ht="28.5">
      <c r="A1707" s="238">
        <v>44461</v>
      </c>
      <c r="B1707" s="239">
        <v>582</v>
      </c>
      <c r="C1707" s="240" t="str">
        <f>IF(ISNA(VLOOKUP(Tableau13[[#This Row],[Code machine]],'CODE mchn'!$A$4:$C$170,2,0)),"",VLOOKUP(Tableau13[[#This Row],[Code machine]],'CODE mchn'!$A$4:$C$170,2,0))</f>
        <v>Acier</v>
      </c>
      <c r="D1707" s="241" t="str">
        <f>IF(ISNA(VLOOKUP(Tableau13[[#This Row],[Code machine]],'CODE mchn'!$A$4:$C$170,3,0)),"",VLOOKUP(Tableau13[[#This Row],[Code machine]],'CODE mchn'!$A$4:$C$170,3,0))</f>
        <v>Teurema 2</v>
      </c>
      <c r="E1707" s="239">
        <v>25372</v>
      </c>
      <c r="F1707" s="241"/>
      <c r="G1707" s="241" t="s">
        <v>3380</v>
      </c>
      <c r="H1707" s="241" t="s">
        <v>3381</v>
      </c>
      <c r="I1707" s="241" t="s">
        <v>3382</v>
      </c>
      <c r="J1707" s="249" t="s">
        <v>3383</v>
      </c>
      <c r="K1707" s="242">
        <v>44461</v>
      </c>
      <c r="L1707" s="241"/>
      <c r="M1707" s="243">
        <v>60</v>
      </c>
      <c r="N1707" s="243">
        <f>MONTH(Tableau13[[#This Row],[Date fin intervention]])</f>
        <v>9</v>
      </c>
      <c r="O1707" s="243">
        <f>YEAR(Tableau13[[#This Row],[Date fin intervention]])</f>
        <v>2021</v>
      </c>
      <c r="P1707" s="241"/>
    </row>
    <row r="1708" spans="1:16">
      <c r="A1708" s="218">
        <v>44462</v>
      </c>
      <c r="B1708" s="219">
        <v>700</v>
      </c>
      <c r="C1708" s="220" t="str">
        <f>IF(ISNA(VLOOKUP(Tableau13[[#This Row],[Code machine]],'CODE mchn'!$A$4:$C$170,2,0)),"",VLOOKUP(Tableau13[[#This Row],[Code machine]],'CODE mchn'!$A$4:$C$170,2,0))</f>
        <v>Béton</v>
      </c>
      <c r="D1708" s="72" t="str">
        <f>IF(ISNA(VLOOKUP(Tableau13[[#This Row],[Code machine]],'CODE mchn'!$A$4:$C$170,3,0)),"",VLOOKUP(Tableau13[[#This Row],[Code machine]],'CODE mchn'!$A$4:$C$170,3,0))</f>
        <v>Poyatos 1</v>
      </c>
      <c r="E1708" s="105">
        <v>25351</v>
      </c>
      <c r="F1708" s="36"/>
      <c r="G1708" s="72" t="s">
        <v>185</v>
      </c>
      <c r="H1708" s="72" t="s">
        <v>2979</v>
      </c>
      <c r="I1708" s="72" t="s">
        <v>13</v>
      </c>
      <c r="J1708" s="253" t="s">
        <v>2980</v>
      </c>
      <c r="K1708" s="73">
        <v>44462</v>
      </c>
      <c r="L1708" s="72"/>
      <c r="M1708" s="221">
        <f>6*60</f>
        <v>360</v>
      </c>
      <c r="N1708" s="221">
        <f>MONTH(Tableau13[[#This Row],[Date fin intervention]])</f>
        <v>9</v>
      </c>
      <c r="O1708" s="221">
        <f>YEAR(Tableau13[[#This Row],[Date fin intervention]])</f>
        <v>2021</v>
      </c>
      <c r="P1708" s="72"/>
    </row>
    <row r="1709" spans="1:16" ht="28.5">
      <c r="A1709" s="218">
        <v>44462</v>
      </c>
      <c r="B1709" s="219">
        <v>583</v>
      </c>
      <c r="C1709" s="220" t="str">
        <f>IF(ISNA(VLOOKUP(Tableau13[[#This Row],[Code machine]],'CODE mchn'!$A$4:$C$170,2,0)),"",VLOOKUP(Tableau13[[#This Row],[Code machine]],'CODE mchn'!$A$4:$C$170,2,0))</f>
        <v>Ponts roulants</v>
      </c>
      <c r="D1709" s="72" t="str">
        <f>IF(ISNA(VLOOKUP(Tableau13[[#This Row],[Code machine]],'CODE mchn'!$A$4:$C$170,3,0)),"",VLOOKUP(Tableau13[[#This Row],[Code machine]],'CODE mchn'!$A$4:$C$170,3,0))</f>
        <v>Pont roulant Abus 5T (teurema1)</v>
      </c>
      <c r="E1709" s="105">
        <v>25352</v>
      </c>
      <c r="F1709" s="36"/>
      <c r="G1709" s="72" t="s">
        <v>35</v>
      </c>
      <c r="H1709" s="72" t="s">
        <v>1891</v>
      </c>
      <c r="I1709" s="72" t="s">
        <v>13</v>
      </c>
      <c r="J1709" s="253" t="s">
        <v>1177</v>
      </c>
      <c r="K1709" s="73">
        <v>44462</v>
      </c>
      <c r="L1709" s="72"/>
      <c r="M1709" s="221">
        <f>120</f>
        <v>120</v>
      </c>
      <c r="N1709" s="221">
        <f>MONTH(Tableau13[[#This Row],[Date fin intervention]])</f>
        <v>9</v>
      </c>
      <c r="O1709" s="221">
        <f>YEAR(Tableau13[[#This Row],[Date fin intervention]])</f>
        <v>2021</v>
      </c>
      <c r="P1709" s="72"/>
    </row>
    <row r="1710" spans="1:16">
      <c r="A1710" s="104">
        <v>44462</v>
      </c>
      <c r="B1710" s="105">
        <v>700</v>
      </c>
      <c r="C1710" s="106" t="str">
        <f>IF(ISNA(VLOOKUP(Tableau13[[#This Row],[Code machine]],'CODE mchn'!$A$4:$C$170,2,0)),"",VLOOKUP(Tableau13[[#This Row],[Code machine]],'CODE mchn'!$A$4:$C$170,2,0))</f>
        <v>Béton</v>
      </c>
      <c r="D1710" s="36" t="str">
        <f>IF(ISNA(VLOOKUP(Tableau13[[#This Row],[Code machine]],'CODE mchn'!$A$4:$C$170,3,0)),"",VLOOKUP(Tableau13[[#This Row],[Code machine]],'CODE mchn'!$A$4:$C$170,3,0))</f>
        <v>Poyatos 1</v>
      </c>
      <c r="E1710" s="105">
        <v>25374</v>
      </c>
      <c r="F1710" s="36"/>
      <c r="G1710" s="36" t="s">
        <v>128</v>
      </c>
      <c r="H1710" s="36" t="s">
        <v>3049</v>
      </c>
      <c r="I1710" s="36" t="s">
        <v>13</v>
      </c>
      <c r="J1710" s="252" t="s">
        <v>2901</v>
      </c>
      <c r="K1710" s="71">
        <v>44462</v>
      </c>
      <c r="L1710" s="36"/>
      <c r="M1710" s="108">
        <v>90</v>
      </c>
      <c r="N1710" s="108">
        <f>MONTH(Tableau13[[#This Row],[Date fin intervention]])</f>
        <v>9</v>
      </c>
      <c r="O1710" s="108">
        <f>YEAR(Tableau13[[#This Row],[Date fin intervention]])</f>
        <v>2021</v>
      </c>
      <c r="P1710" s="36"/>
    </row>
    <row r="1711" spans="1:16">
      <c r="A1711" s="238">
        <v>44462</v>
      </c>
      <c r="B1711" s="239">
        <v>700</v>
      </c>
      <c r="C1711" s="240" t="str">
        <f>IF(ISNA(VLOOKUP(Tableau13[[#This Row],[Code machine]],'CODE mchn'!$A$4:$C$170,2,0)),"",VLOOKUP(Tableau13[[#This Row],[Code machine]],'CODE mchn'!$A$4:$C$170,2,0))</f>
        <v>Béton</v>
      </c>
      <c r="D1711" s="241" t="str">
        <f>IF(ISNA(VLOOKUP(Tableau13[[#This Row],[Code machine]],'CODE mchn'!$A$4:$C$170,3,0)),"",VLOOKUP(Tableau13[[#This Row],[Code machine]],'CODE mchn'!$A$4:$C$170,3,0))</f>
        <v>Poyatos 1</v>
      </c>
      <c r="E1711" s="239">
        <v>25351</v>
      </c>
      <c r="F1711" s="241"/>
      <c r="G1711" s="241" t="s">
        <v>3328</v>
      </c>
      <c r="H1711" s="241" t="s">
        <v>3329</v>
      </c>
      <c r="I1711" s="241" t="s">
        <v>3287</v>
      </c>
      <c r="J1711" s="249" t="s">
        <v>3330</v>
      </c>
      <c r="K1711" s="242">
        <v>44462</v>
      </c>
      <c r="L1711" s="241"/>
      <c r="M1711" s="243">
        <v>360</v>
      </c>
      <c r="N1711" s="243">
        <f>MONTH(Tableau13[[#This Row],[Date fin intervention]])</f>
        <v>9</v>
      </c>
      <c r="O1711" s="243">
        <f>YEAR(Tableau13[[#This Row],[Date fin intervention]])</f>
        <v>2021</v>
      </c>
      <c r="P1711" s="241"/>
    </row>
    <row r="1712" spans="1:16" ht="28.5">
      <c r="A1712" s="238">
        <v>44462</v>
      </c>
      <c r="B1712" s="239">
        <v>583</v>
      </c>
      <c r="C1712" s="240" t="str">
        <f>IF(ISNA(VLOOKUP(Tableau13[[#This Row],[Code machine]],'CODE mchn'!$A$4:$C$170,2,0)),"",VLOOKUP(Tableau13[[#This Row],[Code machine]],'CODE mchn'!$A$4:$C$170,2,0))</f>
        <v>Ponts roulants</v>
      </c>
      <c r="D1712" s="241" t="str">
        <f>IF(ISNA(VLOOKUP(Tableau13[[#This Row],[Code machine]],'CODE mchn'!$A$4:$C$170,3,0)),"",VLOOKUP(Tableau13[[#This Row],[Code machine]],'CODE mchn'!$A$4:$C$170,3,0))</f>
        <v>Pont roulant Abus 5T (teurema1)</v>
      </c>
      <c r="E1712" s="239">
        <v>25352</v>
      </c>
      <c r="F1712" s="241"/>
      <c r="G1712" s="241" t="s">
        <v>3331</v>
      </c>
      <c r="H1712" s="241" t="s">
        <v>3332</v>
      </c>
      <c r="I1712" s="241" t="s">
        <v>3287</v>
      </c>
      <c r="J1712" s="249" t="s">
        <v>3333</v>
      </c>
      <c r="K1712" s="242">
        <v>44462</v>
      </c>
      <c r="L1712" s="241"/>
      <c r="M1712" s="243">
        <v>120</v>
      </c>
      <c r="N1712" s="243">
        <f>MONTH(Tableau13[[#This Row],[Date fin intervention]])</f>
        <v>9</v>
      </c>
      <c r="O1712" s="243">
        <f>YEAR(Tableau13[[#This Row],[Date fin intervention]])</f>
        <v>2021</v>
      </c>
      <c r="P1712" s="241"/>
    </row>
    <row r="1713" spans="1:16">
      <c r="A1713" s="238">
        <v>44462</v>
      </c>
      <c r="B1713" s="239">
        <v>700</v>
      </c>
      <c r="C1713" s="240" t="str">
        <f>IF(ISNA(VLOOKUP(Tableau13[[#This Row],[Code machine]],'CODE mchn'!$A$4:$C$170,2,0)),"",VLOOKUP(Tableau13[[#This Row],[Code machine]],'CODE mchn'!$A$4:$C$170,2,0))</f>
        <v>Béton</v>
      </c>
      <c r="D1713" s="241" t="str">
        <f>IF(ISNA(VLOOKUP(Tableau13[[#This Row],[Code machine]],'CODE mchn'!$A$4:$C$170,3,0)),"",VLOOKUP(Tableau13[[#This Row],[Code machine]],'CODE mchn'!$A$4:$C$170,3,0))</f>
        <v>Poyatos 1</v>
      </c>
      <c r="E1713" s="239">
        <v>25373</v>
      </c>
      <c r="F1713" s="241"/>
      <c r="G1713" s="241" t="s">
        <v>3354</v>
      </c>
      <c r="H1713" s="241" t="s">
        <v>3384</v>
      </c>
      <c r="I1713" s="241" t="s">
        <v>3287</v>
      </c>
      <c r="J1713" s="249" t="s">
        <v>3385</v>
      </c>
      <c r="K1713" s="242">
        <v>44462</v>
      </c>
      <c r="L1713" s="241"/>
      <c r="M1713" s="243">
        <v>90</v>
      </c>
      <c r="N1713" s="243">
        <f>MONTH(Tableau13[[#This Row],[Date fin intervention]])</f>
        <v>9</v>
      </c>
      <c r="O1713" s="243">
        <f>YEAR(Tableau13[[#This Row],[Date fin intervention]])</f>
        <v>2021</v>
      </c>
      <c r="P1713" s="241"/>
    </row>
    <row r="1714" spans="1:16" ht="28.5">
      <c r="A1714" s="238">
        <v>44462</v>
      </c>
      <c r="B1714" s="239">
        <v>700</v>
      </c>
      <c r="C1714" s="240" t="str">
        <f>IF(ISNA(VLOOKUP(Tableau13[[#This Row],[Code machine]],'CODE mchn'!$A$4:$C$170,2,0)),"",VLOOKUP(Tableau13[[#This Row],[Code machine]],'CODE mchn'!$A$4:$C$170,2,0))</f>
        <v>Béton</v>
      </c>
      <c r="D1714" s="241" t="str">
        <f>IF(ISNA(VLOOKUP(Tableau13[[#This Row],[Code machine]],'CODE mchn'!$A$4:$C$170,3,0)),"",VLOOKUP(Tableau13[[#This Row],[Code machine]],'CODE mchn'!$A$4:$C$170,3,0))</f>
        <v>Poyatos 1</v>
      </c>
      <c r="E1714" s="239">
        <v>25374</v>
      </c>
      <c r="F1714" s="241"/>
      <c r="G1714" s="241" t="s">
        <v>3386</v>
      </c>
      <c r="H1714" s="241" t="s">
        <v>3387</v>
      </c>
      <c r="I1714" s="241" t="s">
        <v>3287</v>
      </c>
      <c r="J1714" s="249" t="s">
        <v>3388</v>
      </c>
      <c r="K1714" s="242">
        <v>44462</v>
      </c>
      <c r="L1714" s="241"/>
      <c r="M1714" s="243">
        <v>60</v>
      </c>
      <c r="N1714" s="243">
        <f>MONTH(Tableau13[[#This Row],[Date fin intervention]])</f>
        <v>9</v>
      </c>
      <c r="O1714" s="243">
        <f>YEAR(Tableau13[[#This Row],[Date fin intervention]])</f>
        <v>2021</v>
      </c>
      <c r="P1714" s="241"/>
    </row>
    <row r="1715" spans="1:16" ht="28.5">
      <c r="A1715" s="238">
        <v>44462</v>
      </c>
      <c r="B1715" s="239">
        <v>581</v>
      </c>
      <c r="C1715" s="240" t="str">
        <f>IF(ISNA(VLOOKUP(Tableau13[[#This Row],[Code machine]],'CODE mchn'!$A$4:$C$170,2,0)),"",VLOOKUP(Tableau13[[#This Row],[Code machine]],'CODE mchn'!$A$4:$C$170,2,0))</f>
        <v>Acier</v>
      </c>
      <c r="D1715" s="241" t="str">
        <f>IF(ISNA(VLOOKUP(Tableau13[[#This Row],[Code machine]],'CODE mchn'!$A$4:$C$170,3,0)),"",VLOOKUP(Tableau13[[#This Row],[Code machine]],'CODE mchn'!$A$4:$C$170,3,0))</f>
        <v>Teurema 1</v>
      </c>
      <c r="E1715" s="239">
        <v>25375</v>
      </c>
      <c r="F1715" s="241"/>
      <c r="G1715" s="241" t="s">
        <v>3389</v>
      </c>
      <c r="H1715" s="241" t="s">
        <v>3390</v>
      </c>
      <c r="I1715" s="241" t="s">
        <v>3287</v>
      </c>
      <c r="J1715" s="249" t="s">
        <v>3404</v>
      </c>
      <c r="K1715" s="242">
        <v>44462</v>
      </c>
      <c r="L1715" s="241"/>
      <c r="M1715" s="243">
        <v>90</v>
      </c>
      <c r="N1715" s="243">
        <f>MONTH(Tableau13[[#This Row],[Date fin intervention]])</f>
        <v>9</v>
      </c>
      <c r="O1715" s="243">
        <f>YEAR(Tableau13[[#This Row],[Date fin intervention]])</f>
        <v>2021</v>
      </c>
      <c r="P1715" s="241"/>
    </row>
    <row r="1716" spans="1:16" ht="28.5">
      <c r="A1716" s="238">
        <v>44462</v>
      </c>
      <c r="B1716" s="239">
        <v>581</v>
      </c>
      <c r="C1716" s="240" t="str">
        <f>IF(ISNA(VLOOKUP(Tableau13[[#This Row],[Code machine]],'CODE mchn'!$A$4:$C$170,2,0)),"",VLOOKUP(Tableau13[[#This Row],[Code machine]],'CODE mchn'!$A$4:$C$170,2,0))</f>
        <v>Acier</v>
      </c>
      <c r="D1716" s="241" t="str">
        <f>IF(ISNA(VLOOKUP(Tableau13[[#This Row],[Code machine]],'CODE mchn'!$A$4:$C$170,3,0)),"",VLOOKUP(Tableau13[[#This Row],[Code machine]],'CODE mchn'!$A$4:$C$170,3,0))</f>
        <v>Teurema 1</v>
      </c>
      <c r="E1716" s="239">
        <v>25380</v>
      </c>
      <c r="F1716" s="241"/>
      <c r="G1716" s="241" t="s">
        <v>3401</v>
      </c>
      <c r="H1716" s="241" t="s">
        <v>3402</v>
      </c>
      <c r="I1716" s="241" t="s">
        <v>3287</v>
      </c>
      <c r="J1716" s="249" t="s">
        <v>3403</v>
      </c>
      <c r="K1716" s="242">
        <v>44462</v>
      </c>
      <c r="L1716" s="241"/>
      <c r="M1716" s="243">
        <v>120</v>
      </c>
      <c r="N1716" s="243">
        <f>MONTH(Tableau13[[#This Row],[Date fin intervention]])</f>
        <v>9</v>
      </c>
      <c r="O1716" s="243">
        <f>YEAR(Tableau13[[#This Row],[Date fin intervention]])</f>
        <v>2021</v>
      </c>
      <c r="P1716" s="241"/>
    </row>
    <row r="1717" spans="1:16" ht="42.75">
      <c r="A1717" s="218">
        <v>44463</v>
      </c>
      <c r="B1717" s="219">
        <v>560</v>
      </c>
      <c r="C1717" s="220" t="str">
        <f>IF(ISNA(VLOOKUP(Tableau13[[#This Row],[Code machine]],'CODE mchn'!$A$4:$C$170,2,0)),"",VLOOKUP(Tableau13[[#This Row],[Code machine]],'CODE mchn'!$A$4:$C$170,2,0))</f>
        <v>Acier</v>
      </c>
      <c r="D1717" s="72" t="str">
        <f>IF(ISNA(VLOOKUP(Tableau13[[#This Row],[Code machine]],'CODE mchn'!$A$4:$C$170,3,0)),"",VLOOKUP(Tableau13[[#This Row],[Code machine]],'CODE mchn'!$A$4:$C$170,3,0))</f>
        <v>Schlatter</v>
      </c>
      <c r="E1717" s="105">
        <v>25364</v>
      </c>
      <c r="F1717" s="36"/>
      <c r="G1717" s="72" t="s">
        <v>2985</v>
      </c>
      <c r="H1717" s="72" t="s">
        <v>2986</v>
      </c>
      <c r="I1717" s="72" t="s">
        <v>13</v>
      </c>
      <c r="J1717" s="253" t="s">
        <v>2987</v>
      </c>
      <c r="K1717" s="73">
        <v>44463</v>
      </c>
      <c r="L1717" s="72"/>
      <c r="M1717" s="221">
        <f>7*60</f>
        <v>420</v>
      </c>
      <c r="N1717" s="221">
        <f>MONTH(Tableau13[[#This Row],[Date fin intervention]])</f>
        <v>9</v>
      </c>
      <c r="O1717" s="221">
        <f>YEAR(Tableau13[[#This Row],[Date fin intervention]])</f>
        <v>2021</v>
      </c>
      <c r="P1717" s="72"/>
    </row>
    <row r="1718" spans="1:16">
      <c r="A1718" s="218">
        <v>44463</v>
      </c>
      <c r="B1718" s="219">
        <v>533</v>
      </c>
      <c r="C1718" s="220" t="str">
        <f>IF(ISNA(VLOOKUP(Tableau13[[#This Row],[Code machine]],'CODE mchn'!$A$4:$C$170,2,0)),"",VLOOKUP(Tableau13[[#This Row],[Code machine]],'CODE mchn'!$A$4:$C$170,2,0))</f>
        <v>Enrobage</v>
      </c>
      <c r="D1718" s="72" t="str">
        <f>IF(ISNA(VLOOKUP(Tableau13[[#This Row],[Code machine]],'CODE mchn'!$A$4:$C$170,3,0)),"",VLOOKUP(Tableau13[[#This Row],[Code machine]],'CODE mchn'!$A$4:$C$170,3,0))</f>
        <v>CAROSSEL</v>
      </c>
      <c r="E1718" s="105">
        <v>25367</v>
      </c>
      <c r="F1718" s="36"/>
      <c r="G1718" s="72" t="s">
        <v>306</v>
      </c>
      <c r="H1718" s="72" t="s">
        <v>2988</v>
      </c>
      <c r="I1718" s="72" t="s">
        <v>13</v>
      </c>
      <c r="J1718" s="252" t="s">
        <v>3031</v>
      </c>
      <c r="K1718" s="73">
        <v>44463</v>
      </c>
      <c r="L1718" s="72"/>
      <c r="M1718" s="221">
        <v>60</v>
      </c>
      <c r="N1718" s="221">
        <f>MONTH(Tableau13[[#This Row],[Date fin intervention]])</f>
        <v>9</v>
      </c>
      <c r="O1718" s="221">
        <f>YEAR(Tableau13[[#This Row],[Date fin intervention]])</f>
        <v>2021</v>
      </c>
      <c r="P1718" s="72"/>
    </row>
    <row r="1719" spans="1:16" ht="28.5">
      <c r="A1719" s="104">
        <v>44463</v>
      </c>
      <c r="B1719" s="105">
        <v>584</v>
      </c>
      <c r="C1719" s="106" t="str">
        <f>IF(ISNA(VLOOKUP(Tableau13[[#This Row],[Code machine]],'CODE mchn'!$A$4:$C$170,2,0)),"",VLOOKUP(Tableau13[[#This Row],[Code machine]],'CODE mchn'!$A$4:$C$170,2,0))</f>
        <v>Ponts roulants</v>
      </c>
      <c r="D1719" s="36" t="str">
        <f>IF(ISNA(VLOOKUP(Tableau13[[#This Row],[Code machine]],'CODE mchn'!$A$4:$C$170,3,0)),"",VLOOKUP(Tableau13[[#This Row],[Code machine]],'CODE mchn'!$A$4:$C$170,3,0))</f>
        <v>Pont roulant Demag 3,2T (teurema2)</v>
      </c>
      <c r="E1719" s="105">
        <v>25360</v>
      </c>
      <c r="F1719" s="36"/>
      <c r="G1719" s="36" t="s">
        <v>3039</v>
      </c>
      <c r="H1719" s="36" t="s">
        <v>3040</v>
      </c>
      <c r="I1719" s="36" t="s">
        <v>13</v>
      </c>
      <c r="J1719" s="252" t="s">
        <v>1177</v>
      </c>
      <c r="K1719" s="71">
        <v>44463</v>
      </c>
      <c r="L1719" s="36"/>
      <c r="M1719" s="108">
        <v>90</v>
      </c>
      <c r="N1719" s="108">
        <f>MONTH(Tableau13[[#This Row],[Date fin intervention]])</f>
        <v>9</v>
      </c>
      <c r="O1719" s="108">
        <f>YEAR(Tableau13[[#This Row],[Date fin intervention]])</f>
        <v>2021</v>
      </c>
      <c r="P1719" s="36"/>
    </row>
    <row r="1720" spans="1:16">
      <c r="A1720" s="104">
        <v>44463</v>
      </c>
      <c r="B1720" s="105">
        <v>700</v>
      </c>
      <c r="C1720" s="106" t="str">
        <f>IF(ISNA(VLOOKUP(Tableau13[[#This Row],[Code machine]],'CODE mchn'!$A$4:$C$170,2,0)),"",VLOOKUP(Tableau13[[#This Row],[Code machine]],'CODE mchn'!$A$4:$C$170,2,0))</f>
        <v>Béton</v>
      </c>
      <c r="D1720" s="36" t="str">
        <f>IF(ISNA(VLOOKUP(Tableau13[[#This Row],[Code machine]],'CODE mchn'!$A$4:$C$170,3,0)),"",VLOOKUP(Tableau13[[#This Row],[Code machine]],'CODE mchn'!$A$4:$C$170,3,0))</f>
        <v>Poyatos 1</v>
      </c>
      <c r="E1720" s="105">
        <v>25370</v>
      </c>
      <c r="F1720" s="36"/>
      <c r="G1720" s="36" t="s">
        <v>110</v>
      </c>
      <c r="H1720" s="36" t="s">
        <v>3045</v>
      </c>
      <c r="I1720" s="36" t="s">
        <v>13</v>
      </c>
      <c r="J1720" s="252" t="s">
        <v>1724</v>
      </c>
      <c r="K1720" s="71">
        <v>44463</v>
      </c>
      <c r="L1720" s="36"/>
      <c r="M1720" s="108">
        <v>90</v>
      </c>
      <c r="N1720" s="108">
        <f>MONTH(Tableau13[[#This Row],[Date fin intervention]])</f>
        <v>9</v>
      </c>
      <c r="O1720" s="108">
        <f>YEAR(Tableau13[[#This Row],[Date fin intervention]])</f>
        <v>2021</v>
      </c>
      <c r="P1720" s="36"/>
    </row>
    <row r="1721" spans="1:16">
      <c r="A1721" s="104">
        <v>44463</v>
      </c>
      <c r="B1721" s="105">
        <v>700</v>
      </c>
      <c r="C1721" s="106" t="str">
        <f>IF(ISNA(VLOOKUP(Tableau13[[#This Row],[Code machine]],'CODE mchn'!$A$4:$C$170,2,0)),"",VLOOKUP(Tableau13[[#This Row],[Code machine]],'CODE mchn'!$A$4:$C$170,2,0))</f>
        <v>Béton</v>
      </c>
      <c r="D1721" s="36" t="str">
        <f>IF(ISNA(VLOOKUP(Tableau13[[#This Row],[Code machine]],'CODE mchn'!$A$4:$C$170,3,0)),"",VLOOKUP(Tableau13[[#This Row],[Code machine]],'CODE mchn'!$A$4:$C$170,3,0))</f>
        <v>Poyatos 1</v>
      </c>
      <c r="E1721" s="105">
        <v>25371</v>
      </c>
      <c r="F1721" s="36"/>
      <c r="G1721" s="36" t="s">
        <v>110</v>
      </c>
      <c r="H1721" s="36" t="s">
        <v>3046</v>
      </c>
      <c r="I1721" s="36" t="s">
        <v>3047</v>
      </c>
      <c r="J1721" s="252" t="s">
        <v>3048</v>
      </c>
      <c r="K1721" s="71">
        <v>44463</v>
      </c>
      <c r="L1721" s="36"/>
      <c r="M1721" s="108">
        <v>60</v>
      </c>
      <c r="N1721" s="108">
        <f>MONTH(Tableau13[[#This Row],[Date fin intervention]])</f>
        <v>9</v>
      </c>
      <c r="O1721" s="108">
        <f>YEAR(Tableau13[[#This Row],[Date fin intervention]])</f>
        <v>2021</v>
      </c>
      <c r="P1721" s="36"/>
    </row>
    <row r="1722" spans="1:16" ht="28.5">
      <c r="A1722" s="238">
        <v>44463</v>
      </c>
      <c r="B1722" s="239">
        <v>582</v>
      </c>
      <c r="C1722" s="240" t="str">
        <f>IF(ISNA(VLOOKUP(Tableau13[[#This Row],[Code machine]],'CODE mchn'!$A$4:$C$170,2,0)),"",VLOOKUP(Tableau13[[#This Row],[Code machine]],'CODE mchn'!$A$4:$C$170,2,0))</f>
        <v>Acier</v>
      </c>
      <c r="D1722" s="241" t="str">
        <f>IF(ISNA(VLOOKUP(Tableau13[[#This Row],[Code machine]],'CODE mchn'!$A$4:$C$170,3,0)),"",VLOOKUP(Tableau13[[#This Row],[Code machine]],'CODE mchn'!$A$4:$C$170,3,0))</f>
        <v>Teurema 2</v>
      </c>
      <c r="E1722" s="239">
        <v>25359</v>
      </c>
      <c r="F1722" s="241"/>
      <c r="G1722" s="241" t="s">
        <v>3344</v>
      </c>
      <c r="H1722" s="241" t="s">
        <v>3346</v>
      </c>
      <c r="I1722" s="241" t="s">
        <v>3287</v>
      </c>
      <c r="J1722" s="249" t="s">
        <v>3347</v>
      </c>
      <c r="K1722" s="242">
        <v>44463</v>
      </c>
      <c r="L1722" s="241"/>
      <c r="M1722" s="243">
        <v>120</v>
      </c>
      <c r="N1722" s="243">
        <f>MONTH(Tableau13[[#This Row],[Date fin intervention]])</f>
        <v>9</v>
      </c>
      <c r="O1722" s="243">
        <f>YEAR(Tableau13[[#This Row],[Date fin intervention]])</f>
        <v>2021</v>
      </c>
      <c r="P1722" s="241"/>
    </row>
    <row r="1723" spans="1:16" ht="28.5">
      <c r="A1723" s="238">
        <v>44463</v>
      </c>
      <c r="B1723" s="239">
        <v>584</v>
      </c>
      <c r="C1723" s="240" t="str">
        <f>IF(ISNA(VLOOKUP(Tableau13[[#This Row],[Code machine]],'CODE mchn'!$A$4:$C$170,2,0)),"",VLOOKUP(Tableau13[[#This Row],[Code machine]],'CODE mchn'!$A$4:$C$170,2,0))</f>
        <v>Ponts roulants</v>
      </c>
      <c r="D1723" s="241" t="str">
        <f>IF(ISNA(VLOOKUP(Tableau13[[#This Row],[Code machine]],'CODE mchn'!$A$4:$C$170,3,0)),"",VLOOKUP(Tableau13[[#This Row],[Code machine]],'CODE mchn'!$A$4:$C$170,3,0))</f>
        <v>Pont roulant Demag 3,2T (teurema2)</v>
      </c>
      <c r="E1723" s="239">
        <v>25360</v>
      </c>
      <c r="F1723" s="241"/>
      <c r="G1723" s="241" t="s">
        <v>3348</v>
      </c>
      <c r="H1723" s="241" t="s">
        <v>3349</v>
      </c>
      <c r="I1723" s="241" t="s">
        <v>3287</v>
      </c>
      <c r="J1723" s="249" t="s">
        <v>3350</v>
      </c>
      <c r="K1723" s="242">
        <v>44463</v>
      </c>
      <c r="L1723" s="241"/>
      <c r="M1723" s="243">
        <v>105</v>
      </c>
      <c r="N1723" s="243">
        <f>MONTH(Tableau13[[#This Row],[Date fin intervention]])</f>
        <v>9</v>
      </c>
      <c r="O1723" s="243">
        <f>YEAR(Tableau13[[#This Row],[Date fin intervention]])</f>
        <v>2021</v>
      </c>
      <c r="P1723" s="241"/>
    </row>
    <row r="1724" spans="1:16" ht="71.25">
      <c r="A1724" s="238">
        <v>44463</v>
      </c>
      <c r="B1724" s="239">
        <v>560</v>
      </c>
      <c r="C1724" s="240" t="str">
        <f>IF(ISNA(VLOOKUP(Tableau13[[#This Row],[Code machine]],'CODE mchn'!$A$4:$C$170,2,0)),"",VLOOKUP(Tableau13[[#This Row],[Code machine]],'CODE mchn'!$A$4:$C$170,2,0))</f>
        <v>Acier</v>
      </c>
      <c r="D1724" s="241" t="str">
        <f>IF(ISNA(VLOOKUP(Tableau13[[#This Row],[Code machine]],'CODE mchn'!$A$4:$C$170,3,0)),"",VLOOKUP(Tableau13[[#This Row],[Code machine]],'CODE mchn'!$A$4:$C$170,3,0))</f>
        <v>Schlatter</v>
      </c>
      <c r="E1724" s="239">
        <v>25364</v>
      </c>
      <c r="F1724" s="241"/>
      <c r="G1724" s="241" t="s">
        <v>3357</v>
      </c>
      <c r="H1724" s="241" t="s">
        <v>3358</v>
      </c>
      <c r="I1724" s="241" t="s">
        <v>3287</v>
      </c>
      <c r="J1724" s="249" t="s">
        <v>3359</v>
      </c>
      <c r="K1724" s="242">
        <v>44463</v>
      </c>
      <c r="L1724" s="241"/>
      <c r="M1724" s="243">
        <v>420</v>
      </c>
      <c r="N1724" s="243">
        <f>MONTH(Tableau13[[#This Row],[Date fin intervention]])</f>
        <v>9</v>
      </c>
      <c r="O1724" s="243">
        <f>YEAR(Tableau13[[#This Row],[Date fin intervention]])</f>
        <v>2021</v>
      </c>
      <c r="P1724" s="241"/>
    </row>
    <row r="1725" spans="1:16">
      <c r="A1725" s="238">
        <v>44463</v>
      </c>
      <c r="B1725" s="239">
        <v>533</v>
      </c>
      <c r="C1725" s="240" t="str">
        <f>IF(ISNA(VLOOKUP(Tableau13[[#This Row],[Code machine]],'CODE mchn'!$A$4:$C$170,2,0)),"",VLOOKUP(Tableau13[[#This Row],[Code machine]],'CODE mchn'!$A$4:$C$170,2,0))</f>
        <v>Enrobage</v>
      </c>
      <c r="D1725" s="241" t="str">
        <f>IF(ISNA(VLOOKUP(Tableau13[[#This Row],[Code machine]],'CODE mchn'!$A$4:$C$170,3,0)),"",VLOOKUP(Tableau13[[#This Row],[Code machine]],'CODE mchn'!$A$4:$C$170,3,0))</f>
        <v>CAROSSEL</v>
      </c>
      <c r="E1725" s="239">
        <v>25367</v>
      </c>
      <c r="F1725" s="241"/>
      <c r="G1725" s="241" t="s">
        <v>3367</v>
      </c>
      <c r="H1725" s="241" t="s">
        <v>3368</v>
      </c>
      <c r="I1725" s="241" t="s">
        <v>3287</v>
      </c>
      <c r="J1725" s="249" t="s">
        <v>3287</v>
      </c>
      <c r="K1725" s="242">
        <v>44463</v>
      </c>
      <c r="L1725" s="241"/>
      <c r="M1725" s="243">
        <v>60</v>
      </c>
      <c r="N1725" s="243">
        <f>MONTH(Tableau13[[#This Row],[Date fin intervention]])</f>
        <v>9</v>
      </c>
      <c r="O1725" s="243">
        <f>YEAR(Tableau13[[#This Row],[Date fin intervention]])</f>
        <v>2021</v>
      </c>
      <c r="P1725" s="241"/>
    </row>
    <row r="1726" spans="1:16">
      <c r="A1726" s="238">
        <v>44463</v>
      </c>
      <c r="B1726" s="239">
        <v>700</v>
      </c>
      <c r="C1726" s="240" t="str">
        <f>IF(ISNA(VLOOKUP(Tableau13[[#This Row],[Code machine]],'CODE mchn'!$A$4:$C$170,2,0)),"",VLOOKUP(Tableau13[[#This Row],[Code machine]],'CODE mchn'!$A$4:$C$170,2,0))</f>
        <v>Béton</v>
      </c>
      <c r="D1726" s="241" t="str">
        <f>IF(ISNA(VLOOKUP(Tableau13[[#This Row],[Code machine]],'CODE mchn'!$A$4:$C$170,3,0)),"",VLOOKUP(Tableau13[[#This Row],[Code machine]],'CODE mchn'!$A$4:$C$170,3,0))</f>
        <v>Poyatos 1</v>
      </c>
      <c r="E1726" s="239">
        <v>25370</v>
      </c>
      <c r="F1726" s="241"/>
      <c r="G1726" s="241" t="s">
        <v>3374</v>
      </c>
      <c r="H1726" s="241" t="s">
        <v>3375</v>
      </c>
      <c r="I1726" s="241" t="s">
        <v>3287</v>
      </c>
      <c r="J1726" s="249" t="s">
        <v>3376</v>
      </c>
      <c r="K1726" s="242">
        <v>44463</v>
      </c>
      <c r="L1726" s="241"/>
      <c r="M1726" s="243">
        <v>90</v>
      </c>
      <c r="N1726" s="243">
        <f>MONTH(Tableau13[[#This Row],[Date fin intervention]])</f>
        <v>9</v>
      </c>
      <c r="O1726" s="243">
        <f>YEAR(Tableau13[[#This Row],[Date fin intervention]])</f>
        <v>2021</v>
      </c>
      <c r="P1726" s="241"/>
    </row>
    <row r="1727" spans="1:16">
      <c r="A1727" s="238">
        <v>44463</v>
      </c>
      <c r="B1727" s="239">
        <v>700</v>
      </c>
      <c r="C1727" s="240" t="str">
        <f>IF(ISNA(VLOOKUP(Tableau13[[#This Row],[Code machine]],'CODE mchn'!$A$4:$C$170,2,0)),"",VLOOKUP(Tableau13[[#This Row],[Code machine]],'CODE mchn'!$A$4:$C$170,2,0))</f>
        <v>Béton</v>
      </c>
      <c r="D1727" s="241" t="str">
        <f>IF(ISNA(VLOOKUP(Tableau13[[#This Row],[Code machine]],'CODE mchn'!$A$4:$C$170,3,0)),"",VLOOKUP(Tableau13[[#This Row],[Code machine]],'CODE mchn'!$A$4:$C$170,3,0))</f>
        <v>Poyatos 1</v>
      </c>
      <c r="E1727" s="239">
        <v>25371</v>
      </c>
      <c r="F1727" s="241"/>
      <c r="G1727" s="241" t="s">
        <v>3379</v>
      </c>
      <c r="H1727" s="241" t="s">
        <v>3377</v>
      </c>
      <c r="I1727" s="241" t="s">
        <v>3287</v>
      </c>
      <c r="J1727" s="249" t="s">
        <v>3378</v>
      </c>
      <c r="K1727" s="242">
        <v>44463</v>
      </c>
      <c r="L1727" s="241"/>
      <c r="M1727" s="243">
        <v>60</v>
      </c>
      <c r="N1727" s="243">
        <f>MONTH(Tableau13[[#This Row],[Date fin intervention]])</f>
        <v>9</v>
      </c>
      <c r="O1727" s="243">
        <f>YEAR(Tableau13[[#This Row],[Date fin intervention]])</f>
        <v>2021</v>
      </c>
      <c r="P1727" s="241"/>
    </row>
    <row r="1728" spans="1:16" ht="28.5">
      <c r="A1728" s="238">
        <v>44463</v>
      </c>
      <c r="B1728" s="239">
        <v>582</v>
      </c>
      <c r="C1728" s="240" t="str">
        <f>IF(ISNA(VLOOKUP(Tableau13[[#This Row],[Code machine]],'CODE mchn'!$A$4:$C$170,2,0)),"",VLOOKUP(Tableau13[[#This Row],[Code machine]],'CODE mchn'!$A$4:$C$170,2,0))</f>
        <v>Acier</v>
      </c>
      <c r="D1728" s="241" t="str">
        <f>IF(ISNA(VLOOKUP(Tableau13[[#This Row],[Code machine]],'CODE mchn'!$A$4:$C$170,3,0)),"",VLOOKUP(Tableau13[[#This Row],[Code machine]],'CODE mchn'!$A$4:$C$170,3,0))</f>
        <v>Teurema 2</v>
      </c>
      <c r="E1728" s="239">
        <v>25377</v>
      </c>
      <c r="F1728" s="241"/>
      <c r="G1728" s="241" t="s">
        <v>3393</v>
      </c>
      <c r="H1728" s="241" t="s">
        <v>3346</v>
      </c>
      <c r="I1728" s="241" t="s">
        <v>3287</v>
      </c>
      <c r="J1728" s="249" t="s">
        <v>3394</v>
      </c>
      <c r="K1728" s="242">
        <v>44463</v>
      </c>
      <c r="L1728" s="241"/>
      <c r="M1728" s="243">
        <v>180</v>
      </c>
      <c r="N1728" s="243">
        <f>MONTH(Tableau13[[#This Row],[Date fin intervention]])</f>
        <v>9</v>
      </c>
      <c r="O1728" s="243">
        <f>YEAR(Tableau13[[#This Row],[Date fin intervention]])</f>
        <v>2021</v>
      </c>
      <c r="P1728" s="241"/>
    </row>
    <row r="1729" spans="1:16">
      <c r="A1729" s="238">
        <v>44463</v>
      </c>
      <c r="B1729" s="239">
        <v>580</v>
      </c>
      <c r="C1729" s="240" t="str">
        <f>IF(ISNA(VLOOKUP(Tableau13[[#This Row],[Code machine]],'CODE mchn'!$A$4:$C$170,2,0)),"",VLOOKUP(Tableau13[[#This Row],[Code machine]],'CODE mchn'!$A$4:$C$170,2,0))</f>
        <v>Acier</v>
      </c>
      <c r="D1729" s="241" t="str">
        <f>IF(ISNA(VLOOKUP(Tableau13[[#This Row],[Code machine]],'CODE mchn'!$A$4:$C$170,3,0)),"",VLOOKUP(Tableau13[[#This Row],[Code machine]],'CODE mchn'!$A$4:$C$170,3,0))</f>
        <v>Techno Impiante</v>
      </c>
      <c r="E1729" s="239">
        <v>25378</v>
      </c>
      <c r="F1729" s="241"/>
      <c r="G1729" s="241" t="s">
        <v>3395</v>
      </c>
      <c r="H1729" s="241" t="s">
        <v>3396</v>
      </c>
      <c r="I1729" s="241" t="s">
        <v>3287</v>
      </c>
      <c r="J1729" s="249" t="s">
        <v>3397</v>
      </c>
      <c r="K1729" s="242">
        <v>44463</v>
      </c>
      <c r="L1729" s="241"/>
      <c r="M1729" s="243">
        <v>60</v>
      </c>
      <c r="N1729" s="243">
        <f>MONTH(Tableau13[[#This Row],[Date fin intervention]])</f>
        <v>9</v>
      </c>
      <c r="O1729" s="243">
        <f>YEAR(Tableau13[[#This Row],[Date fin intervention]])</f>
        <v>2021</v>
      </c>
      <c r="P1729" s="241"/>
    </row>
    <row r="1730" spans="1:16" ht="28.5">
      <c r="A1730" s="238">
        <v>44463</v>
      </c>
      <c r="B1730" s="239">
        <v>581</v>
      </c>
      <c r="C1730" s="240" t="str">
        <f>IF(ISNA(VLOOKUP(Tableau13[[#This Row],[Code machine]],'CODE mchn'!$A$4:$C$170,2,0)),"",VLOOKUP(Tableau13[[#This Row],[Code machine]],'CODE mchn'!$A$4:$C$170,2,0))</f>
        <v>Acier</v>
      </c>
      <c r="D1730" s="241" t="str">
        <f>IF(ISNA(VLOOKUP(Tableau13[[#This Row],[Code machine]],'CODE mchn'!$A$4:$C$170,3,0)),"",VLOOKUP(Tableau13[[#This Row],[Code machine]],'CODE mchn'!$A$4:$C$170,3,0))</f>
        <v>Teurema 1</v>
      </c>
      <c r="E1730" s="239">
        <v>25379</v>
      </c>
      <c r="F1730" s="241"/>
      <c r="G1730" s="241" t="s">
        <v>3398</v>
      </c>
      <c r="H1730" s="241" t="s">
        <v>3399</v>
      </c>
      <c r="I1730" s="241" t="s">
        <v>3287</v>
      </c>
      <c r="J1730" s="249" t="s">
        <v>3400</v>
      </c>
      <c r="K1730" s="242">
        <v>44463</v>
      </c>
      <c r="L1730" s="241"/>
      <c r="M1730" s="243">
        <v>150</v>
      </c>
      <c r="N1730" s="243">
        <f>MONTH(Tableau13[[#This Row],[Date fin intervention]])</f>
        <v>9</v>
      </c>
      <c r="O1730" s="243">
        <f>YEAR(Tableau13[[#This Row],[Date fin intervention]])</f>
        <v>2021</v>
      </c>
      <c r="P1730" s="241"/>
    </row>
    <row r="1731" spans="1:16" ht="28.5">
      <c r="A1731" s="238">
        <v>44463</v>
      </c>
      <c r="B1731" s="239">
        <v>700</v>
      </c>
      <c r="C1731" s="240" t="str">
        <f>IF(ISNA(VLOOKUP(Tableau13[[#This Row],[Code machine]],'CODE mchn'!$A$4:$C$170,2,0)),"",VLOOKUP(Tableau13[[#This Row],[Code machine]],'CODE mchn'!$A$4:$C$170,2,0))</f>
        <v>Béton</v>
      </c>
      <c r="D1731" s="241" t="str">
        <f>IF(ISNA(VLOOKUP(Tableau13[[#This Row],[Code machine]],'CODE mchn'!$A$4:$C$170,3,0)),"",VLOOKUP(Tableau13[[#This Row],[Code machine]],'CODE mchn'!$A$4:$C$170,3,0))</f>
        <v>Poyatos 1</v>
      </c>
      <c r="E1731" s="239">
        <v>25389</v>
      </c>
      <c r="F1731" s="241"/>
      <c r="G1731" s="241" t="s">
        <v>3427</v>
      </c>
      <c r="H1731" s="241"/>
      <c r="I1731" s="241" t="s">
        <v>3287</v>
      </c>
      <c r="J1731" s="249" t="s">
        <v>3385</v>
      </c>
      <c r="K1731" s="242">
        <v>44463</v>
      </c>
      <c r="L1731" s="241"/>
      <c r="M1731" s="243">
        <v>60</v>
      </c>
      <c r="N1731" s="243">
        <f>MONTH(Tableau13[[#This Row],[Date fin intervention]])</f>
        <v>9</v>
      </c>
      <c r="O1731" s="243">
        <f>YEAR(Tableau13[[#This Row],[Date fin intervention]])</f>
        <v>2021</v>
      </c>
      <c r="P1731" s="241"/>
    </row>
    <row r="1732" spans="1:16" ht="28.5">
      <c r="A1732" s="238">
        <v>44463</v>
      </c>
      <c r="B1732" s="239">
        <v>800</v>
      </c>
      <c r="C1732" s="240" t="str">
        <f>IF(ISNA(VLOOKUP(Tableau13[[#This Row],[Code machine]],'CODE mchn'!$A$4:$C$170,2,0)),"",VLOOKUP(Tableau13[[#This Row],[Code machine]],'CODE mchn'!$A$4:$C$170,2,0))</f>
        <v>Béton</v>
      </c>
      <c r="D1732" s="241" t="str">
        <f>IF(ISNA(VLOOKUP(Tableau13[[#This Row],[Code machine]],'CODE mchn'!$A$4:$C$170,3,0)),"",VLOOKUP(Tableau13[[#This Row],[Code machine]],'CODE mchn'!$A$4:$C$170,3,0))</f>
        <v>Poyatos 2</v>
      </c>
      <c r="E1732" s="239">
        <v>25389</v>
      </c>
      <c r="F1732" s="241"/>
      <c r="G1732" s="241" t="s">
        <v>3428</v>
      </c>
      <c r="H1732" s="241"/>
      <c r="I1732" s="241" t="s">
        <v>3287</v>
      </c>
      <c r="J1732" s="249" t="s">
        <v>3385</v>
      </c>
      <c r="K1732" s="242">
        <v>44463</v>
      </c>
      <c r="L1732" s="241"/>
      <c r="M1732" s="243">
        <v>60</v>
      </c>
      <c r="N1732" s="243">
        <f>MONTH(Tableau13[[#This Row],[Date fin intervention]])</f>
        <v>9</v>
      </c>
      <c r="O1732" s="243">
        <f>YEAR(Tableau13[[#This Row],[Date fin intervention]])</f>
        <v>2021</v>
      </c>
      <c r="P1732" s="241"/>
    </row>
    <row r="1733" spans="1:16">
      <c r="A1733" s="238">
        <v>44463</v>
      </c>
      <c r="B1733" s="239">
        <v>700</v>
      </c>
      <c r="C1733" s="240" t="str">
        <f>IF(ISNA(VLOOKUP(Tableau13[[#This Row],[Code machine]],'CODE mchn'!$A$4:$C$170,2,0)),"",VLOOKUP(Tableau13[[#This Row],[Code machine]],'CODE mchn'!$A$4:$C$170,2,0))</f>
        <v>Béton</v>
      </c>
      <c r="D1733" s="241" t="str">
        <f>IF(ISNA(VLOOKUP(Tableau13[[#This Row],[Code machine]],'CODE mchn'!$A$4:$C$170,3,0)),"",VLOOKUP(Tableau13[[#This Row],[Code machine]],'CODE mchn'!$A$4:$C$170,3,0))</f>
        <v>Poyatos 1</v>
      </c>
      <c r="E1733" s="239">
        <v>25393</v>
      </c>
      <c r="F1733" s="241"/>
      <c r="G1733" s="241" t="s">
        <v>3437</v>
      </c>
      <c r="H1733" s="241" t="s">
        <v>3438</v>
      </c>
      <c r="I1733" s="241" t="s">
        <v>3287</v>
      </c>
      <c r="J1733" s="249" t="s">
        <v>3439</v>
      </c>
      <c r="K1733" s="242">
        <v>44463</v>
      </c>
      <c r="L1733" s="241"/>
      <c r="M1733" s="243">
        <v>60</v>
      </c>
      <c r="N1733" s="243">
        <f>MONTH(Tableau13[[#This Row],[Date fin intervention]])</f>
        <v>9</v>
      </c>
      <c r="O1733" s="243">
        <f>YEAR(Tableau13[[#This Row],[Date fin intervention]])</f>
        <v>2021</v>
      </c>
      <c r="P1733" s="241"/>
    </row>
    <row r="1734" spans="1:16" ht="42.75">
      <c r="A1734" s="238">
        <v>44463</v>
      </c>
      <c r="B1734" s="239">
        <v>800</v>
      </c>
      <c r="C1734" s="240" t="str">
        <f>IF(ISNA(VLOOKUP(Tableau13[[#This Row],[Code machine]],'CODE mchn'!$A$4:$C$170,2,0)),"",VLOOKUP(Tableau13[[#This Row],[Code machine]],'CODE mchn'!$A$4:$C$170,2,0))</f>
        <v>Béton</v>
      </c>
      <c r="D1734" s="241" t="str">
        <f>IF(ISNA(VLOOKUP(Tableau13[[#This Row],[Code machine]],'CODE mchn'!$A$4:$C$170,3,0)),"",VLOOKUP(Tableau13[[#This Row],[Code machine]],'CODE mchn'!$A$4:$C$170,3,0))</f>
        <v>Poyatos 2</v>
      </c>
      <c r="E1734" s="239">
        <v>25365</v>
      </c>
      <c r="F1734" s="241"/>
      <c r="G1734" s="241" t="s">
        <v>3360</v>
      </c>
      <c r="H1734" s="241" t="s">
        <v>3361</v>
      </c>
      <c r="I1734" s="241" t="s">
        <v>3287</v>
      </c>
      <c r="J1734" s="249" t="s">
        <v>3363</v>
      </c>
      <c r="K1734" s="242">
        <v>44463</v>
      </c>
      <c r="L1734" s="241"/>
      <c r="M1734" s="243">
        <v>75</v>
      </c>
      <c r="N1734" s="243">
        <f>MONTH(Tableau13[[#This Row],[Date fin intervention]])</f>
        <v>9</v>
      </c>
      <c r="O1734" s="243">
        <f>YEAR(Tableau13[[#This Row],[Date fin intervention]])</f>
        <v>2021</v>
      </c>
      <c r="P1734" s="241"/>
    </row>
    <row r="1735" spans="1:16">
      <c r="A1735" s="238">
        <v>44464</v>
      </c>
      <c r="B1735" s="239">
        <v>580</v>
      </c>
      <c r="C1735" s="240" t="str">
        <f>IF(ISNA(VLOOKUP(Tableau13[[#This Row],[Code machine]],'CODE mchn'!$A$4:$C$170,2,0)),"",VLOOKUP(Tableau13[[#This Row],[Code machine]],'CODE mchn'!$A$4:$C$170,2,0))</f>
        <v>Acier</v>
      </c>
      <c r="D1735" s="241" t="str">
        <f>IF(ISNA(VLOOKUP(Tableau13[[#This Row],[Code machine]],'CODE mchn'!$A$4:$C$170,3,0)),"",VLOOKUP(Tableau13[[#This Row],[Code machine]],'CODE mchn'!$A$4:$C$170,3,0))</f>
        <v>Techno Impiante</v>
      </c>
      <c r="E1735" s="239">
        <v>25376</v>
      </c>
      <c r="F1735" s="241"/>
      <c r="G1735" s="241" t="s">
        <v>3391</v>
      </c>
      <c r="H1735" s="241"/>
      <c r="I1735" s="241" t="s">
        <v>3362</v>
      </c>
      <c r="J1735" s="249" t="s">
        <v>3392</v>
      </c>
      <c r="K1735" s="242">
        <v>44464</v>
      </c>
      <c r="L1735" s="241"/>
      <c r="M1735" s="243"/>
      <c r="N1735" s="243">
        <f>MONTH(Tableau13[[#This Row],[Date fin intervention]])</f>
        <v>9</v>
      </c>
      <c r="O1735" s="243">
        <f>YEAR(Tableau13[[#This Row],[Date fin intervention]])</f>
        <v>2021</v>
      </c>
      <c r="P1735" s="241"/>
    </row>
    <row r="1736" spans="1:16">
      <c r="A1736" s="238">
        <v>44464</v>
      </c>
      <c r="B1736" s="239">
        <v>800</v>
      </c>
      <c r="C1736" s="240" t="str">
        <f>IF(ISNA(VLOOKUP(Tableau13[[#This Row],[Code machine]],'CODE mchn'!$A$4:$C$170,2,0)),"",VLOOKUP(Tableau13[[#This Row],[Code machine]],'CODE mchn'!$A$4:$C$170,2,0))</f>
        <v>Béton</v>
      </c>
      <c r="D1736" s="241" t="str">
        <f>IF(ISNA(VLOOKUP(Tableau13[[#This Row],[Code machine]],'CODE mchn'!$A$4:$C$170,3,0)),"",VLOOKUP(Tableau13[[#This Row],[Code machine]],'CODE mchn'!$A$4:$C$170,3,0))</f>
        <v>Poyatos 2</v>
      </c>
      <c r="E1736" s="239">
        <v>25381</v>
      </c>
      <c r="F1736" s="241"/>
      <c r="G1736" s="241" t="s">
        <v>3405</v>
      </c>
      <c r="H1736" s="241" t="s">
        <v>3406</v>
      </c>
      <c r="I1736" s="241" t="s">
        <v>3287</v>
      </c>
      <c r="J1736" s="249" t="s">
        <v>3407</v>
      </c>
      <c r="K1736" s="242">
        <v>44464</v>
      </c>
      <c r="L1736" s="241"/>
      <c r="M1736" s="243">
        <v>30</v>
      </c>
      <c r="N1736" s="243">
        <f>MONTH(Tableau13[[#This Row],[Date fin intervention]])</f>
        <v>9</v>
      </c>
      <c r="O1736" s="243">
        <f>YEAR(Tableau13[[#This Row],[Date fin intervention]])</f>
        <v>2021</v>
      </c>
      <c r="P1736" s="241"/>
    </row>
    <row r="1737" spans="1:16">
      <c r="A1737" s="238">
        <v>44464</v>
      </c>
      <c r="B1737" s="239">
        <v>700</v>
      </c>
      <c r="C1737" s="240" t="str">
        <f>IF(ISNA(VLOOKUP(Tableau13[[#This Row],[Code machine]],'CODE mchn'!$A$4:$C$170,2,0)),"",VLOOKUP(Tableau13[[#This Row],[Code machine]],'CODE mchn'!$A$4:$C$170,2,0))</f>
        <v>Béton</v>
      </c>
      <c r="D1737" s="241" t="str">
        <f>IF(ISNA(VLOOKUP(Tableau13[[#This Row],[Code machine]],'CODE mchn'!$A$4:$C$170,3,0)),"",VLOOKUP(Tableau13[[#This Row],[Code machine]],'CODE mchn'!$A$4:$C$170,3,0))</f>
        <v>Poyatos 1</v>
      </c>
      <c r="E1737" s="239">
        <v>25396</v>
      </c>
      <c r="F1737" s="241"/>
      <c r="G1737" s="241" t="s">
        <v>3446</v>
      </c>
      <c r="H1737" s="241" t="s">
        <v>3447</v>
      </c>
      <c r="I1737" s="241" t="s">
        <v>3287</v>
      </c>
      <c r="J1737" s="249" t="s">
        <v>3448</v>
      </c>
      <c r="K1737" s="242">
        <v>44464</v>
      </c>
      <c r="L1737" s="241"/>
      <c r="M1737" s="243">
        <v>60</v>
      </c>
      <c r="N1737" s="243">
        <f>MONTH(Tableau13[[#This Row],[Date fin intervention]])</f>
        <v>9</v>
      </c>
      <c r="O1737" s="243">
        <f>YEAR(Tableau13[[#This Row],[Date fin intervention]])</f>
        <v>2021</v>
      </c>
      <c r="P1737" s="241"/>
    </row>
    <row r="1738" spans="1:16">
      <c r="A1738" s="104">
        <v>44465</v>
      </c>
      <c r="B1738" s="105">
        <v>580</v>
      </c>
      <c r="C1738" s="106" t="str">
        <f>IF(ISNA(VLOOKUP(Tableau13[[#This Row],[Code machine]],'CODE mchn'!$A$4:$C$170,2,0)),"",VLOOKUP(Tableau13[[#This Row],[Code machine]],'CODE mchn'!$A$4:$C$170,2,0))</f>
        <v>Acier</v>
      </c>
      <c r="D1738" s="36" t="str">
        <f>IF(ISNA(VLOOKUP(Tableau13[[#This Row],[Code machine]],'CODE mchn'!$A$4:$C$170,3,0)),"",VLOOKUP(Tableau13[[#This Row],[Code machine]],'CODE mchn'!$A$4:$C$170,3,0))</f>
        <v>Techno Impiante</v>
      </c>
      <c r="E1738" s="105">
        <v>25383</v>
      </c>
      <c r="F1738" s="36"/>
      <c r="G1738" s="36" t="s">
        <v>1450</v>
      </c>
      <c r="H1738" s="36" t="s">
        <v>3050</v>
      </c>
      <c r="I1738" s="36" t="s">
        <v>13</v>
      </c>
      <c r="J1738" s="252" t="s">
        <v>3051</v>
      </c>
      <c r="K1738" s="71">
        <v>44465</v>
      </c>
      <c r="L1738" s="36"/>
      <c r="M1738" s="108">
        <v>120</v>
      </c>
      <c r="N1738" s="108">
        <f>MONTH(Tableau13[[#This Row],[Date fin intervention]])</f>
        <v>9</v>
      </c>
      <c r="O1738" s="108">
        <f>YEAR(Tableau13[[#This Row],[Date fin intervention]])</f>
        <v>2021</v>
      </c>
      <c r="P1738" s="36"/>
    </row>
    <row r="1739" spans="1:16">
      <c r="A1739" s="238">
        <v>44465</v>
      </c>
      <c r="B1739" s="239">
        <v>601</v>
      </c>
      <c r="C1739" s="240" t="str">
        <f>IF(ISNA(VLOOKUP(Tableau13[[#This Row],[Code machine]],'CODE mchn'!$A$4:$C$170,2,0)),"",VLOOKUP(Tableau13[[#This Row],[Code machine]],'CODE mchn'!$A$4:$C$170,2,0))</f>
        <v>Acier</v>
      </c>
      <c r="D1739" s="241" t="str">
        <f>IF(ISNA(VLOOKUP(Tableau13[[#This Row],[Code machine]],'CODE mchn'!$A$4:$C$170,3,0)),"",VLOOKUP(Tableau13[[#This Row],[Code machine]],'CODE mchn'!$A$4:$C$170,3,0))</f>
        <v>TI 9505/9</v>
      </c>
      <c r="E1739" s="239">
        <v>25383</v>
      </c>
      <c r="F1739" s="241"/>
      <c r="G1739" s="241" t="s">
        <v>3410</v>
      </c>
      <c r="H1739" s="241" t="s">
        <v>3412</v>
      </c>
      <c r="I1739" s="241" t="s">
        <v>3287</v>
      </c>
      <c r="J1739" s="249" t="s">
        <v>3411</v>
      </c>
      <c r="K1739" s="242">
        <v>44465</v>
      </c>
      <c r="L1739" s="241"/>
      <c r="M1739" s="243">
        <v>60</v>
      </c>
      <c r="N1739" s="243">
        <f>MONTH(Tableau13[[#This Row],[Date fin intervention]])</f>
        <v>9</v>
      </c>
      <c r="O1739" s="243">
        <f>YEAR(Tableau13[[#This Row],[Date fin intervention]])</f>
        <v>2021</v>
      </c>
      <c r="P1739" s="241"/>
    </row>
    <row r="1740" spans="1:16">
      <c r="A1740" s="238">
        <v>44465</v>
      </c>
      <c r="B1740" s="239">
        <v>800</v>
      </c>
      <c r="C1740" s="240" t="str">
        <f>IF(ISNA(VLOOKUP(Tableau13[[#This Row],[Code machine]],'CODE mchn'!$A$4:$C$170,2,0)),"",VLOOKUP(Tableau13[[#This Row],[Code machine]],'CODE mchn'!$A$4:$C$170,2,0))</f>
        <v>Béton</v>
      </c>
      <c r="D1740" s="241" t="str">
        <f>IF(ISNA(VLOOKUP(Tableau13[[#This Row],[Code machine]],'CODE mchn'!$A$4:$C$170,3,0)),"",VLOOKUP(Tableau13[[#This Row],[Code machine]],'CODE mchn'!$A$4:$C$170,3,0))</f>
        <v>Poyatos 2</v>
      </c>
      <c r="E1740" s="239">
        <v>25391</v>
      </c>
      <c r="F1740" s="241"/>
      <c r="G1740" s="241" t="s">
        <v>3432</v>
      </c>
      <c r="H1740" s="241" t="s">
        <v>3434</v>
      </c>
      <c r="I1740" s="241" t="s">
        <v>3291</v>
      </c>
      <c r="J1740" s="249" t="s">
        <v>3420</v>
      </c>
      <c r="K1740" s="242">
        <v>44465</v>
      </c>
      <c r="L1740" s="241"/>
      <c r="M1740" s="243">
        <v>90</v>
      </c>
      <c r="N1740" s="243">
        <f>MONTH(Tableau13[[#This Row],[Date fin intervention]])</f>
        <v>9</v>
      </c>
      <c r="O1740" s="243">
        <f>YEAR(Tableau13[[#This Row],[Date fin intervention]])</f>
        <v>2021</v>
      </c>
      <c r="P1740" s="241"/>
    </row>
    <row r="1741" spans="1:16" ht="28.5">
      <c r="A1741" s="238">
        <v>44466</v>
      </c>
      <c r="B1741" s="239">
        <v>582</v>
      </c>
      <c r="C1741" s="240" t="str">
        <f>IF(ISNA(VLOOKUP(Tableau13[[#This Row],[Code machine]],'CODE mchn'!$A$4:$C$170,2,0)),"",VLOOKUP(Tableau13[[#This Row],[Code machine]],'CODE mchn'!$A$4:$C$170,2,0))</f>
        <v>Acier</v>
      </c>
      <c r="D1741" s="241" t="str">
        <f>IF(ISNA(VLOOKUP(Tableau13[[#This Row],[Code machine]],'CODE mchn'!$A$4:$C$170,3,0)),"",VLOOKUP(Tableau13[[#This Row],[Code machine]],'CODE mchn'!$A$4:$C$170,3,0))</f>
        <v>Teurema 2</v>
      </c>
      <c r="E1741" s="239">
        <v>25382</v>
      </c>
      <c r="F1741" s="241"/>
      <c r="G1741" s="241" t="s">
        <v>3408</v>
      </c>
      <c r="H1741" s="241" t="s">
        <v>3399</v>
      </c>
      <c r="I1741" s="241" t="s">
        <v>3287</v>
      </c>
      <c r="J1741" s="249" t="s">
        <v>3409</v>
      </c>
      <c r="K1741" s="242">
        <v>44466</v>
      </c>
      <c r="L1741" s="241"/>
      <c r="M1741" s="243">
        <v>90</v>
      </c>
      <c r="N1741" s="243">
        <f>MONTH(Tableau13[[#This Row],[Date fin intervention]])</f>
        <v>9</v>
      </c>
      <c r="O1741" s="243">
        <f>YEAR(Tableau13[[#This Row],[Date fin intervention]])</f>
        <v>2021</v>
      </c>
      <c r="P1741" s="241"/>
    </row>
    <row r="1742" spans="1:16" ht="28.5">
      <c r="A1742" s="238">
        <v>44466</v>
      </c>
      <c r="B1742" s="239">
        <v>581</v>
      </c>
      <c r="C1742" s="240" t="str">
        <f>IF(ISNA(VLOOKUP(Tableau13[[#This Row],[Code machine]],'CODE mchn'!$A$4:$C$170,2,0)),"",VLOOKUP(Tableau13[[#This Row],[Code machine]],'CODE mchn'!$A$4:$C$170,2,0))</f>
        <v>Acier</v>
      </c>
      <c r="D1742" s="241" t="str">
        <f>IF(ISNA(VLOOKUP(Tableau13[[#This Row],[Code machine]],'CODE mchn'!$A$4:$C$170,3,0)),"",VLOOKUP(Tableau13[[#This Row],[Code machine]],'CODE mchn'!$A$4:$C$170,3,0))</f>
        <v>Teurema 1</v>
      </c>
      <c r="E1742" s="239">
        <v>25387</v>
      </c>
      <c r="F1742" s="241"/>
      <c r="G1742" s="241" t="s">
        <v>3421</v>
      </c>
      <c r="H1742" s="241" t="s">
        <v>3422</v>
      </c>
      <c r="I1742" s="241" t="s">
        <v>3287</v>
      </c>
      <c r="J1742" s="249" t="s">
        <v>3423</v>
      </c>
      <c r="K1742" s="242">
        <v>44466</v>
      </c>
      <c r="L1742" s="241"/>
      <c r="M1742" s="243">
        <v>120</v>
      </c>
      <c r="N1742" s="243">
        <f>MONTH(Tableau13[[#This Row],[Date fin intervention]])</f>
        <v>9</v>
      </c>
      <c r="O1742" s="243">
        <f>YEAR(Tableau13[[#This Row],[Date fin intervention]])</f>
        <v>2021</v>
      </c>
      <c r="P1742" s="241"/>
    </row>
    <row r="1743" spans="1:16">
      <c r="A1743" s="238">
        <v>44466</v>
      </c>
      <c r="B1743" s="239">
        <v>560</v>
      </c>
      <c r="C1743" s="240" t="str">
        <f>IF(ISNA(VLOOKUP(Tableau13[[#This Row],[Code machine]],'CODE mchn'!$A$4:$C$170,2,0)),"",VLOOKUP(Tableau13[[#This Row],[Code machine]],'CODE mchn'!$A$4:$C$170,2,0))</f>
        <v>Acier</v>
      </c>
      <c r="D1743" s="241" t="str">
        <f>IF(ISNA(VLOOKUP(Tableau13[[#This Row],[Code machine]],'CODE mchn'!$A$4:$C$170,3,0)),"",VLOOKUP(Tableau13[[#This Row],[Code machine]],'CODE mchn'!$A$4:$C$170,3,0))</f>
        <v>Schlatter</v>
      </c>
      <c r="E1743" s="239">
        <v>25392</v>
      </c>
      <c r="F1743" s="241"/>
      <c r="G1743" s="241" t="s">
        <v>3433</v>
      </c>
      <c r="H1743" s="241" t="s">
        <v>3435</v>
      </c>
      <c r="I1743" s="241" t="s">
        <v>3287</v>
      </c>
      <c r="J1743" s="249" t="s">
        <v>3436</v>
      </c>
      <c r="K1743" s="242">
        <v>44466</v>
      </c>
      <c r="L1743" s="241"/>
      <c r="M1743" s="243">
        <v>390</v>
      </c>
      <c r="N1743" s="243">
        <f>MONTH(Tableau13[[#This Row],[Date fin intervention]])</f>
        <v>9</v>
      </c>
      <c r="O1743" s="243">
        <f>YEAR(Tableau13[[#This Row],[Date fin intervention]])</f>
        <v>2021</v>
      </c>
      <c r="P1743" s="241"/>
    </row>
    <row r="1744" spans="1:16">
      <c r="A1744" s="238">
        <v>44466</v>
      </c>
      <c r="B1744" s="239">
        <v>582</v>
      </c>
      <c r="C1744" s="240" t="str">
        <f>IF(ISNA(VLOOKUP(Tableau13[[#This Row],[Code machine]],'CODE mchn'!$A$4:$C$170,2,0)),"",VLOOKUP(Tableau13[[#This Row],[Code machine]],'CODE mchn'!$A$4:$C$170,2,0))</f>
        <v>Acier</v>
      </c>
      <c r="D1744" s="241" t="str">
        <f>IF(ISNA(VLOOKUP(Tableau13[[#This Row],[Code machine]],'CODE mchn'!$A$4:$C$170,3,0)),"",VLOOKUP(Tableau13[[#This Row],[Code machine]],'CODE mchn'!$A$4:$C$170,3,0))</f>
        <v>Teurema 2</v>
      </c>
      <c r="E1744" s="239">
        <v>25394</v>
      </c>
      <c r="F1744" s="241"/>
      <c r="G1744" s="241" t="s">
        <v>3440</v>
      </c>
      <c r="H1744" s="241" t="s">
        <v>3441</v>
      </c>
      <c r="I1744" s="241" t="s">
        <v>3287</v>
      </c>
      <c r="J1744" s="249" t="s">
        <v>3442</v>
      </c>
      <c r="K1744" s="242">
        <v>44466</v>
      </c>
      <c r="L1744" s="241"/>
      <c r="M1744" s="243">
        <v>120</v>
      </c>
      <c r="N1744" s="243">
        <f>MONTH(Tableau13[[#This Row],[Date fin intervention]])</f>
        <v>9</v>
      </c>
      <c r="O1744" s="243">
        <f>YEAR(Tableau13[[#This Row],[Date fin intervention]])</f>
        <v>2021</v>
      </c>
      <c r="P1744" s="241"/>
    </row>
    <row r="1745" spans="1:16">
      <c r="A1745" s="104">
        <v>44467</v>
      </c>
      <c r="B1745" s="105">
        <v>800</v>
      </c>
      <c r="C1745" s="106" t="str">
        <f>IF(ISNA(VLOOKUP(Tableau13[[#This Row],[Code machine]],'CODE mchn'!$A$4:$C$170,2,0)),"",VLOOKUP(Tableau13[[#This Row],[Code machine]],'CODE mchn'!$A$4:$C$170,2,0))</f>
        <v>Béton</v>
      </c>
      <c r="D1745" s="36" t="str">
        <f>IF(ISNA(VLOOKUP(Tableau13[[#This Row],[Code machine]],'CODE mchn'!$A$4:$C$170,3,0)),"",VLOOKUP(Tableau13[[#This Row],[Code machine]],'CODE mchn'!$A$4:$C$170,3,0))</f>
        <v>Poyatos 2</v>
      </c>
      <c r="E1745" s="105">
        <v>25385</v>
      </c>
      <c r="F1745" s="36"/>
      <c r="G1745" s="36" t="s">
        <v>213</v>
      </c>
      <c r="H1745" s="36"/>
      <c r="I1745" s="36"/>
      <c r="J1745" s="252"/>
      <c r="K1745" s="71">
        <v>44467</v>
      </c>
      <c r="L1745" s="36"/>
      <c r="M1745" s="108"/>
      <c r="N1745" s="108">
        <f>MONTH(Tableau13[[#This Row],[Date fin intervention]])</f>
        <v>9</v>
      </c>
      <c r="O1745" s="108">
        <f>YEAR(Tableau13[[#This Row],[Date fin intervention]])</f>
        <v>2021</v>
      </c>
      <c r="P1745" s="36"/>
    </row>
    <row r="1746" spans="1:16">
      <c r="A1746" s="238">
        <v>44467</v>
      </c>
      <c r="B1746" s="239">
        <v>800</v>
      </c>
      <c r="C1746" s="240" t="str">
        <f>IF(ISNA(VLOOKUP(Tableau13[[#This Row],[Code machine]],'CODE mchn'!$A$4:$C$170,2,0)),"",VLOOKUP(Tableau13[[#This Row],[Code machine]],'CODE mchn'!$A$4:$C$170,2,0))</f>
        <v>Béton</v>
      </c>
      <c r="D1746" s="241" t="str">
        <f>IF(ISNA(VLOOKUP(Tableau13[[#This Row],[Code machine]],'CODE mchn'!$A$4:$C$170,3,0)),"",VLOOKUP(Tableau13[[#This Row],[Code machine]],'CODE mchn'!$A$4:$C$170,3,0))</f>
        <v>Poyatos 2</v>
      </c>
      <c r="E1746" s="239">
        <v>25384</v>
      </c>
      <c r="F1746" s="241"/>
      <c r="G1746" s="241" t="s">
        <v>3413</v>
      </c>
      <c r="H1746" s="241" t="s">
        <v>3414</v>
      </c>
      <c r="I1746" s="241" t="s">
        <v>3287</v>
      </c>
      <c r="J1746" s="249" t="s">
        <v>3385</v>
      </c>
      <c r="K1746" s="242">
        <v>44467</v>
      </c>
      <c r="L1746" s="241"/>
      <c r="M1746" s="243">
        <v>90</v>
      </c>
      <c r="N1746" s="243">
        <f>MONTH(Tableau13[[#This Row],[Date fin intervention]])</f>
        <v>9</v>
      </c>
      <c r="O1746" s="243">
        <f>YEAR(Tableau13[[#This Row],[Date fin intervention]])</f>
        <v>2021</v>
      </c>
      <c r="P1746" s="241"/>
    </row>
    <row r="1747" spans="1:16">
      <c r="A1747" s="238">
        <v>44467</v>
      </c>
      <c r="B1747" s="239">
        <v>800</v>
      </c>
      <c r="C1747" s="240" t="str">
        <f>IF(ISNA(VLOOKUP(Tableau13[[#This Row],[Code machine]],'CODE mchn'!$A$4:$C$170,2,0)),"",VLOOKUP(Tableau13[[#This Row],[Code machine]],'CODE mchn'!$A$4:$C$170,2,0))</f>
        <v>Béton</v>
      </c>
      <c r="D1747" s="241" t="str">
        <f>IF(ISNA(VLOOKUP(Tableau13[[#This Row],[Code machine]],'CODE mchn'!$A$4:$C$170,3,0)),"",VLOOKUP(Tableau13[[#This Row],[Code machine]],'CODE mchn'!$A$4:$C$170,3,0))</f>
        <v>Poyatos 2</v>
      </c>
      <c r="E1747" s="239">
        <v>25385</v>
      </c>
      <c r="F1747" s="241"/>
      <c r="G1747" s="241" t="s">
        <v>3415</v>
      </c>
      <c r="H1747" s="241" t="s">
        <v>3416</v>
      </c>
      <c r="I1747" s="241" t="s">
        <v>3287</v>
      </c>
      <c r="J1747" s="249" t="s">
        <v>3417</v>
      </c>
      <c r="K1747" s="242">
        <v>44224</v>
      </c>
      <c r="L1747" s="241"/>
      <c r="M1747" s="243">
        <v>60</v>
      </c>
      <c r="N1747" s="243">
        <f>MONTH(Tableau13[[#This Row],[Date fin intervention]])</f>
        <v>1</v>
      </c>
      <c r="O1747" s="243">
        <f>YEAR(Tableau13[[#This Row],[Date fin intervention]])</f>
        <v>2021</v>
      </c>
      <c r="P1747" s="241"/>
    </row>
    <row r="1748" spans="1:16" ht="28.5">
      <c r="A1748" s="238">
        <v>44467</v>
      </c>
      <c r="B1748" s="239">
        <v>582</v>
      </c>
      <c r="C1748" s="240" t="str">
        <f>IF(ISNA(VLOOKUP(Tableau13[[#This Row],[Code machine]],'CODE mchn'!$A$4:$C$170,2,0)),"",VLOOKUP(Tableau13[[#This Row],[Code machine]],'CODE mchn'!$A$4:$C$170,2,0))</f>
        <v>Acier</v>
      </c>
      <c r="D1748" s="241" t="str">
        <f>IF(ISNA(VLOOKUP(Tableau13[[#This Row],[Code machine]],'CODE mchn'!$A$4:$C$170,3,0)),"",VLOOKUP(Tableau13[[#This Row],[Code machine]],'CODE mchn'!$A$4:$C$170,3,0))</f>
        <v>Teurema 2</v>
      </c>
      <c r="E1748" s="239">
        <v>25386</v>
      </c>
      <c r="F1748" s="241"/>
      <c r="G1748" s="241" t="s">
        <v>3418</v>
      </c>
      <c r="H1748" s="241" t="s">
        <v>3419</v>
      </c>
      <c r="I1748" s="241" t="s">
        <v>3287</v>
      </c>
      <c r="J1748" s="249" t="s">
        <v>3420</v>
      </c>
      <c r="K1748" s="242">
        <v>44467</v>
      </c>
      <c r="L1748" s="241"/>
      <c r="M1748" s="243">
        <v>150</v>
      </c>
      <c r="N1748" s="243">
        <f>MONTH(Tableau13[[#This Row],[Date fin intervention]])</f>
        <v>9</v>
      </c>
      <c r="O1748" s="243">
        <f>YEAR(Tableau13[[#This Row],[Date fin intervention]])</f>
        <v>2021</v>
      </c>
      <c r="P1748" s="241"/>
    </row>
    <row r="1749" spans="1:16" ht="28.5">
      <c r="A1749" s="238">
        <v>44467</v>
      </c>
      <c r="B1749" s="239">
        <v>583</v>
      </c>
      <c r="C1749" s="240" t="str">
        <f>IF(ISNA(VLOOKUP(Tableau13[[#This Row],[Code machine]],'CODE mchn'!$A$4:$C$170,2,0)),"",VLOOKUP(Tableau13[[#This Row],[Code machine]],'CODE mchn'!$A$4:$C$170,2,0))</f>
        <v>Ponts roulants</v>
      </c>
      <c r="D1749" s="241" t="str">
        <f>IF(ISNA(VLOOKUP(Tableau13[[#This Row],[Code machine]],'CODE mchn'!$A$4:$C$170,3,0)),"",VLOOKUP(Tableau13[[#This Row],[Code machine]],'CODE mchn'!$A$4:$C$170,3,0))</f>
        <v>Pont roulant Abus 5T (teurema1)</v>
      </c>
      <c r="E1749" s="239">
        <v>25390</v>
      </c>
      <c r="F1749" s="241"/>
      <c r="G1749" s="241" t="s">
        <v>3429</v>
      </c>
      <c r="H1749" s="241" t="s">
        <v>3430</v>
      </c>
      <c r="I1749" s="241" t="s">
        <v>3287</v>
      </c>
      <c r="J1749" s="249" t="s">
        <v>3431</v>
      </c>
      <c r="K1749" s="242">
        <v>44467</v>
      </c>
      <c r="L1749" s="241"/>
      <c r="M1749" s="243">
        <v>120</v>
      </c>
      <c r="N1749" s="243">
        <f>MONTH(Tableau13[[#This Row],[Date fin intervention]])</f>
        <v>9</v>
      </c>
      <c r="O1749" s="243">
        <f>YEAR(Tableau13[[#This Row],[Date fin intervention]])</f>
        <v>2021</v>
      </c>
      <c r="P1749" s="241"/>
    </row>
    <row r="1750" spans="1:16">
      <c r="A1750" s="238">
        <v>44467</v>
      </c>
      <c r="B1750" s="239">
        <v>581</v>
      </c>
      <c r="C1750" s="240" t="str">
        <f>IF(ISNA(VLOOKUP(Tableau13[[#This Row],[Code machine]],'CODE mchn'!$A$4:$C$170,2,0)),"",VLOOKUP(Tableau13[[#This Row],[Code machine]],'CODE mchn'!$A$4:$C$170,2,0))</f>
        <v>Acier</v>
      </c>
      <c r="D1750" s="241" t="str">
        <f>IF(ISNA(VLOOKUP(Tableau13[[#This Row],[Code machine]],'CODE mchn'!$A$4:$C$170,3,0)),"",VLOOKUP(Tableau13[[#This Row],[Code machine]],'CODE mchn'!$A$4:$C$170,3,0))</f>
        <v>Teurema 1</v>
      </c>
      <c r="E1750" s="239">
        <v>25397</v>
      </c>
      <c r="F1750" s="241"/>
      <c r="G1750" s="241" t="s">
        <v>3449</v>
      </c>
      <c r="H1750" s="241"/>
      <c r="I1750" s="241"/>
      <c r="J1750" s="249"/>
      <c r="K1750" s="242">
        <v>44467</v>
      </c>
      <c r="L1750" s="241"/>
      <c r="M1750" s="243"/>
      <c r="N1750" s="243">
        <f>MONTH(Tableau13[[#This Row],[Date fin intervention]])</f>
        <v>9</v>
      </c>
      <c r="O1750" s="243">
        <f>YEAR(Tableau13[[#This Row],[Date fin intervention]])</f>
        <v>2021</v>
      </c>
      <c r="P1750" s="241"/>
    </row>
    <row r="1751" spans="1:16" ht="28.5">
      <c r="A1751" s="238">
        <v>44467</v>
      </c>
      <c r="B1751" s="239">
        <v>565</v>
      </c>
      <c r="C1751" s="240" t="str">
        <f>IF(ISNA(VLOOKUP(Tableau13[[#This Row],[Code machine]],'CODE mchn'!$A$4:$C$170,2,0)),"",VLOOKUP(Tableau13[[#This Row],[Code machine]],'CODE mchn'!$A$4:$C$170,2,0))</f>
        <v>Acier</v>
      </c>
      <c r="D1751" s="241" t="str">
        <f>IF(ISNA(VLOOKUP(Tableau13[[#This Row],[Code machine]],'CODE mchn'!$A$4:$C$170,3,0)),"",VLOOKUP(Tableau13[[#This Row],[Code machine]],'CODE mchn'!$A$4:$C$170,3,0))</f>
        <v>EVG GE12</v>
      </c>
      <c r="E1751" s="239"/>
      <c r="F1751" s="241"/>
      <c r="G1751" s="241" t="s">
        <v>10</v>
      </c>
      <c r="H1751" s="241" t="s">
        <v>4120</v>
      </c>
      <c r="I1751" s="241" t="s">
        <v>30</v>
      </c>
      <c r="J1751" s="249" t="s">
        <v>4121</v>
      </c>
      <c r="K1751" s="242">
        <v>44467</v>
      </c>
      <c r="L1751" s="241"/>
      <c r="M1751" s="243">
        <v>240</v>
      </c>
      <c r="N1751" s="243">
        <f>MONTH(Tableau13[[#This Row],[Date fin intervention]])</f>
        <v>9</v>
      </c>
      <c r="O1751" s="243">
        <f>YEAR(Tableau13[[#This Row],[Date fin intervention]])</f>
        <v>2021</v>
      </c>
      <c r="P1751" s="241"/>
    </row>
    <row r="1752" spans="1:16" ht="28.5">
      <c r="A1752" s="238">
        <v>44468</v>
      </c>
      <c r="B1752" s="239">
        <v>581</v>
      </c>
      <c r="C1752" s="240" t="str">
        <f>IF(ISNA(VLOOKUP(Tableau13[[#This Row],[Code machine]],'CODE mchn'!$A$4:$C$170,2,0)),"",VLOOKUP(Tableau13[[#This Row],[Code machine]],'CODE mchn'!$A$4:$C$170,2,0))</f>
        <v>Acier</v>
      </c>
      <c r="D1752" s="241" t="str">
        <f>IF(ISNA(VLOOKUP(Tableau13[[#This Row],[Code machine]],'CODE mchn'!$A$4:$C$170,3,0)),"",VLOOKUP(Tableau13[[#This Row],[Code machine]],'CODE mchn'!$A$4:$C$170,3,0))</f>
        <v>Teurema 1</v>
      </c>
      <c r="E1752" s="239">
        <v>25388</v>
      </c>
      <c r="F1752" s="241"/>
      <c r="G1752" s="241" t="s">
        <v>3424</v>
      </c>
      <c r="H1752" s="241" t="s">
        <v>3425</v>
      </c>
      <c r="I1752" s="241" t="s">
        <v>3287</v>
      </c>
      <c r="J1752" s="249" t="s">
        <v>3426</v>
      </c>
      <c r="K1752" s="242">
        <v>44468</v>
      </c>
      <c r="L1752" s="241"/>
      <c r="M1752" s="243">
        <v>120</v>
      </c>
      <c r="N1752" s="243">
        <f>MONTH(Tableau13[[#This Row],[Date fin intervention]])</f>
        <v>9</v>
      </c>
      <c r="O1752" s="243">
        <f>YEAR(Tableau13[[#This Row],[Date fin intervention]])</f>
        <v>2021</v>
      </c>
      <c r="P1752" s="241"/>
    </row>
    <row r="1753" spans="1:16" ht="28.5">
      <c r="A1753" s="238">
        <v>44468</v>
      </c>
      <c r="B1753" s="239">
        <v>571</v>
      </c>
      <c r="C1753" s="240" t="str">
        <f>IF(ISNA(VLOOKUP(Tableau13[[#This Row],[Code machine]],'CODE mchn'!$A$4:$C$170,2,0)),"",VLOOKUP(Tableau13[[#This Row],[Code machine]],'CODE mchn'!$A$4:$C$170,2,0))</f>
        <v>Acier</v>
      </c>
      <c r="D1753" s="241" t="str">
        <f>IF(ISNA(VLOOKUP(Tableau13[[#This Row],[Code machine]],'CODE mchn'!$A$4:$C$170,3,0)),"",VLOOKUP(Tableau13[[#This Row],[Code machine]],'CODE mchn'!$A$4:$C$170,3,0))</f>
        <v>EVG PN 1</v>
      </c>
      <c r="E1753" s="239">
        <v>25395</v>
      </c>
      <c r="F1753" s="241"/>
      <c r="G1753" s="241" t="s">
        <v>3443</v>
      </c>
      <c r="H1753" s="241" t="s">
        <v>3444</v>
      </c>
      <c r="I1753" s="241" t="s">
        <v>3287</v>
      </c>
      <c r="J1753" s="249" t="s">
        <v>3445</v>
      </c>
      <c r="K1753" s="242">
        <v>44468</v>
      </c>
      <c r="L1753" s="241"/>
      <c r="M1753" s="243">
        <v>120</v>
      </c>
      <c r="N1753" s="243">
        <f>MONTH(Tableau13[[#This Row],[Date fin intervention]])</f>
        <v>9</v>
      </c>
      <c r="O1753" s="243">
        <f>YEAR(Tableau13[[#This Row],[Date fin intervention]])</f>
        <v>2021</v>
      </c>
      <c r="P1753" s="241"/>
    </row>
    <row r="1754" spans="1:16">
      <c r="A1754" s="238">
        <v>44470</v>
      </c>
      <c r="B1754" s="239">
        <v>620</v>
      </c>
      <c r="C1754" s="240" t="str">
        <f>IF(ISNA(VLOOKUP(Tableau13[[#This Row],[Code machine]],'CODE mchn'!$A$4:$C$170,2,0)),"",VLOOKUP(Tableau13[[#This Row],[Code machine]],'CODE mchn'!$A$4:$C$170,2,0))</f>
        <v>Acier</v>
      </c>
      <c r="D1754" s="241" t="str">
        <f>IF(ISNA(VLOOKUP(Tableau13[[#This Row],[Code machine]],'CODE mchn'!$A$4:$C$170,3,0)),"",VLOOKUP(Tableau13[[#This Row],[Code machine]],'CODE mchn'!$A$4:$C$170,3,0))</f>
        <v>EVG PN 2</v>
      </c>
      <c r="E1754" s="239">
        <v>25803</v>
      </c>
      <c r="F1754" s="241"/>
      <c r="G1754" s="241" t="s">
        <v>3548</v>
      </c>
      <c r="H1754" s="241" t="s">
        <v>3611</v>
      </c>
      <c r="I1754" s="241" t="s">
        <v>3291</v>
      </c>
      <c r="J1754" s="249" t="s">
        <v>3612</v>
      </c>
      <c r="K1754" s="242">
        <v>44470</v>
      </c>
      <c r="L1754" s="241"/>
      <c r="M1754" s="243">
        <v>180</v>
      </c>
      <c r="N1754" s="243">
        <f>MONTH(Tableau13[[#This Row],[Date fin intervention]])</f>
        <v>10</v>
      </c>
      <c r="O1754" s="243">
        <f>YEAR(Tableau13[[#This Row],[Date fin intervention]])</f>
        <v>2021</v>
      </c>
      <c r="P1754" s="241"/>
    </row>
    <row r="1755" spans="1:16">
      <c r="A1755" s="232">
        <v>44471</v>
      </c>
      <c r="B1755" s="233">
        <v>602</v>
      </c>
      <c r="C1755" s="234" t="str">
        <f>IF(ISNA(VLOOKUP(Tableau13[[#This Row],[Code machine]],'CODE mchn'!$A$4:$C$170,2,0)),"",VLOOKUP(Tableau13[[#This Row],[Code machine]],'CODE mchn'!$A$4:$C$170,2,0))</f>
        <v>Acier</v>
      </c>
      <c r="D1755" s="235" t="str">
        <f>IF(ISNA(VLOOKUP(Tableau13[[#This Row],[Code machine]],'CODE mchn'!$A$4:$C$170,3,0)),"",VLOOKUP(Tableau13[[#This Row],[Code machine]],'CODE mchn'!$A$4:$C$170,3,0))</f>
        <v>Wafios Ritecno</v>
      </c>
      <c r="E1755" s="105">
        <v>15811</v>
      </c>
      <c r="F1755" s="36"/>
      <c r="G1755" s="235" t="s">
        <v>10</v>
      </c>
      <c r="H1755" s="235" t="s">
        <v>3095</v>
      </c>
      <c r="I1755" s="235" t="s">
        <v>13</v>
      </c>
      <c r="J1755" s="254" t="s">
        <v>3096</v>
      </c>
      <c r="K1755" s="236">
        <v>44471</v>
      </c>
      <c r="L1755" s="235"/>
      <c r="M1755" s="237">
        <v>180</v>
      </c>
      <c r="N1755" s="237">
        <f>MONTH(Tableau13[[#This Row],[Date fin intervention]])</f>
        <v>10</v>
      </c>
      <c r="O1755" s="237">
        <f>YEAR(Tableau13[[#This Row],[Date fin intervention]])</f>
        <v>2021</v>
      </c>
      <c r="P1755" s="235"/>
    </row>
    <row r="1756" spans="1:16">
      <c r="A1756" s="232">
        <v>44471</v>
      </c>
      <c r="B1756" s="233">
        <v>700</v>
      </c>
      <c r="C1756" s="234" t="str">
        <f>IF(ISNA(VLOOKUP(Tableau13[[#This Row],[Code machine]],'CODE mchn'!$A$4:$C$170,2,0)),"",VLOOKUP(Tableau13[[#This Row],[Code machine]],'CODE mchn'!$A$4:$C$170,2,0))</f>
        <v>Béton</v>
      </c>
      <c r="D1756" s="235" t="str">
        <f>IF(ISNA(VLOOKUP(Tableau13[[#This Row],[Code machine]],'CODE mchn'!$A$4:$C$170,3,0)),"",VLOOKUP(Tableau13[[#This Row],[Code machine]],'CODE mchn'!$A$4:$C$170,3,0))</f>
        <v>Poyatos 1</v>
      </c>
      <c r="E1756" s="105">
        <v>25416</v>
      </c>
      <c r="F1756" s="36"/>
      <c r="G1756" s="235" t="s">
        <v>291</v>
      </c>
      <c r="H1756" s="235" t="s">
        <v>3107</v>
      </c>
      <c r="I1756" s="235" t="s">
        <v>13</v>
      </c>
      <c r="J1756" s="254" t="s">
        <v>3108</v>
      </c>
      <c r="K1756" s="236">
        <v>44471</v>
      </c>
      <c r="L1756" s="235"/>
      <c r="M1756" s="237">
        <v>90</v>
      </c>
      <c r="N1756" s="237">
        <f>MONTH(Tableau13[[#This Row],[Date fin intervention]])</f>
        <v>10</v>
      </c>
      <c r="O1756" s="237">
        <f>YEAR(Tableau13[[#This Row],[Date fin intervention]])</f>
        <v>2021</v>
      </c>
      <c r="P1756" s="235"/>
    </row>
    <row r="1757" spans="1:16">
      <c r="A1757" s="232">
        <v>44471</v>
      </c>
      <c r="B1757" s="233">
        <v>700</v>
      </c>
      <c r="C1757" s="234" t="str">
        <f>IF(ISNA(VLOOKUP(Tableau13[[#This Row],[Code machine]],'CODE mchn'!$A$4:$C$170,2,0)),"",VLOOKUP(Tableau13[[#This Row],[Code machine]],'CODE mchn'!$A$4:$C$170,2,0))</f>
        <v>Béton</v>
      </c>
      <c r="D1757" s="235" t="str">
        <f>IF(ISNA(VLOOKUP(Tableau13[[#This Row],[Code machine]],'CODE mchn'!$A$4:$C$170,3,0)),"",VLOOKUP(Tableau13[[#This Row],[Code machine]],'CODE mchn'!$A$4:$C$170,3,0))</f>
        <v>Poyatos 1</v>
      </c>
      <c r="E1757" s="105">
        <v>25417</v>
      </c>
      <c r="F1757" s="36"/>
      <c r="G1757" s="235" t="s">
        <v>110</v>
      </c>
      <c r="H1757" s="235" t="s">
        <v>3109</v>
      </c>
      <c r="I1757" s="235" t="s">
        <v>13</v>
      </c>
      <c r="J1757" s="254" t="s">
        <v>3110</v>
      </c>
      <c r="K1757" s="236">
        <v>44471</v>
      </c>
      <c r="L1757" s="235"/>
      <c r="M1757" s="237">
        <v>60</v>
      </c>
      <c r="N1757" s="237">
        <f>MONTH(Tableau13[[#This Row],[Date fin intervention]])</f>
        <v>10</v>
      </c>
      <c r="O1757" s="237">
        <f>YEAR(Tableau13[[#This Row],[Date fin intervention]])</f>
        <v>2021</v>
      </c>
      <c r="P1757" s="235"/>
    </row>
    <row r="1758" spans="1:16">
      <c r="A1758" s="232">
        <v>44471</v>
      </c>
      <c r="B1758" s="233">
        <v>570</v>
      </c>
      <c r="C1758" s="234" t="str">
        <f>IF(ISNA(VLOOKUP(Tableau13[[#This Row],[Code machine]],'CODE mchn'!$A$4:$C$170,2,0)),"",VLOOKUP(Tableau13[[#This Row],[Code machine]],'CODE mchn'!$A$4:$C$170,2,0))</f>
        <v>Acier</v>
      </c>
      <c r="D1758" s="235" t="str">
        <f>IF(ISNA(VLOOKUP(Tableau13[[#This Row],[Code machine]],'CODE mchn'!$A$4:$C$170,3,0)),"",VLOOKUP(Tableau13[[#This Row],[Code machine]],'CODE mchn'!$A$4:$C$170,3,0))</f>
        <v>Sigmatic</v>
      </c>
      <c r="E1758" s="105">
        <v>25430</v>
      </c>
      <c r="F1758" s="36"/>
      <c r="G1758" s="235" t="s">
        <v>1258</v>
      </c>
      <c r="H1758" s="235" t="s">
        <v>3129</v>
      </c>
      <c r="I1758" s="235" t="s">
        <v>3130</v>
      </c>
      <c r="J1758" s="254" t="s">
        <v>3131</v>
      </c>
      <c r="K1758" s="236">
        <v>44471</v>
      </c>
      <c r="L1758" s="235"/>
      <c r="M1758" s="237">
        <v>90</v>
      </c>
      <c r="N1758" s="237">
        <f>MONTH(Tableau13[[#This Row],[Date fin intervention]])</f>
        <v>10</v>
      </c>
      <c r="O1758" s="237">
        <f>YEAR(Tableau13[[#This Row],[Date fin intervention]])</f>
        <v>2021</v>
      </c>
      <c r="P1758" s="235"/>
    </row>
    <row r="1759" spans="1:16">
      <c r="A1759" s="104">
        <v>44471</v>
      </c>
      <c r="B1759" s="105">
        <v>602</v>
      </c>
      <c r="C1759" s="106" t="str">
        <f>IF(ISNA(VLOOKUP(Tableau13[[#This Row],[Code machine]],'CODE mchn'!$A$4:$C$170,2,0)),"",VLOOKUP(Tableau13[[#This Row],[Code machine]],'CODE mchn'!$A$4:$C$170,2,0))</f>
        <v>Acier</v>
      </c>
      <c r="D1759" s="36" t="str">
        <f>IF(ISNA(VLOOKUP(Tableau13[[#This Row],[Code machine]],'CODE mchn'!$A$4:$C$170,3,0)),"",VLOOKUP(Tableau13[[#This Row],[Code machine]],'CODE mchn'!$A$4:$C$170,3,0))</f>
        <v>Wafios Ritecno</v>
      </c>
      <c r="E1759" s="105">
        <v>15811</v>
      </c>
      <c r="F1759" s="36"/>
      <c r="G1759" s="36" t="s">
        <v>10</v>
      </c>
      <c r="H1759" s="36" t="s">
        <v>3147</v>
      </c>
      <c r="I1759" s="36" t="s">
        <v>13</v>
      </c>
      <c r="J1759" s="252" t="s">
        <v>3148</v>
      </c>
      <c r="K1759" s="71">
        <v>44471</v>
      </c>
      <c r="L1759" s="36"/>
      <c r="M1759" s="108">
        <f>4*60</f>
        <v>240</v>
      </c>
      <c r="N1759" s="108">
        <f>MONTH(Tableau13[[#This Row],[Date fin intervention]])</f>
        <v>10</v>
      </c>
      <c r="O1759" s="108">
        <f>YEAR(Tableau13[[#This Row],[Date fin intervention]])</f>
        <v>2021</v>
      </c>
      <c r="P1759" s="36"/>
    </row>
    <row r="1760" spans="1:16" ht="28.5">
      <c r="A1760" s="104">
        <v>44472</v>
      </c>
      <c r="B1760" s="105">
        <v>571</v>
      </c>
      <c r="C1760" s="106" t="str">
        <f>IF(ISNA(VLOOKUP(Tableau13[[#This Row],[Code machine]],'CODE mchn'!$A$4:$C$170,2,0)),"",VLOOKUP(Tableau13[[#This Row],[Code machine]],'CODE mchn'!$A$4:$C$170,2,0))</f>
        <v>Acier</v>
      </c>
      <c r="D1760" s="36" t="str">
        <f>IF(ISNA(VLOOKUP(Tableau13[[#This Row],[Code machine]],'CODE mchn'!$A$4:$C$170,3,0)),"",VLOOKUP(Tableau13[[#This Row],[Code machine]],'CODE mchn'!$A$4:$C$170,3,0))</f>
        <v>EVG PN 1</v>
      </c>
      <c r="E1760" s="105"/>
      <c r="F1760" s="36"/>
      <c r="G1760" s="36" t="s">
        <v>1797</v>
      </c>
      <c r="H1760" s="36" t="s">
        <v>4116</v>
      </c>
      <c r="I1760" s="36" t="s">
        <v>13</v>
      </c>
      <c r="J1760" s="106" t="s">
        <v>4117</v>
      </c>
      <c r="K1760" s="71">
        <v>44474</v>
      </c>
      <c r="L1760" s="36"/>
      <c r="M1760" s="141">
        <v>1</v>
      </c>
      <c r="N1760" s="108">
        <f>MONTH(Tableau13[[#This Row],[Date fin intervention]])</f>
        <v>10</v>
      </c>
      <c r="O1760" s="108">
        <f>YEAR(Tableau13[[#This Row],[Date fin intervention]])</f>
        <v>2021</v>
      </c>
      <c r="P1760" s="36"/>
    </row>
    <row r="1761" spans="1:16">
      <c r="A1761" s="232">
        <v>44473</v>
      </c>
      <c r="B1761" s="233">
        <v>700</v>
      </c>
      <c r="C1761" s="234" t="str">
        <f>IF(ISNA(VLOOKUP(Tableau13[[#This Row],[Code machine]],'CODE mchn'!$A$4:$C$170,2,0)),"",VLOOKUP(Tableau13[[#This Row],[Code machine]],'CODE mchn'!$A$4:$C$170,2,0))</f>
        <v>Béton</v>
      </c>
      <c r="D1761" s="235" t="str">
        <f>IF(ISNA(VLOOKUP(Tableau13[[#This Row],[Code machine]],'CODE mchn'!$A$4:$C$170,3,0)),"",VLOOKUP(Tableau13[[#This Row],[Code machine]],'CODE mchn'!$A$4:$C$170,3,0))</f>
        <v>Poyatos 1</v>
      </c>
      <c r="E1761" s="105">
        <v>25415</v>
      </c>
      <c r="F1761" s="36"/>
      <c r="G1761" s="235" t="s">
        <v>3104</v>
      </c>
      <c r="H1761" s="235" t="s">
        <v>3105</v>
      </c>
      <c r="I1761" s="235" t="s">
        <v>13</v>
      </c>
      <c r="J1761" s="254" t="s">
        <v>3106</v>
      </c>
      <c r="K1761" s="236">
        <v>44473</v>
      </c>
      <c r="L1761" s="235"/>
      <c r="M1761" s="237">
        <v>60</v>
      </c>
      <c r="N1761" s="237">
        <f>MONTH(Tableau13[[#This Row],[Date fin intervention]])</f>
        <v>10</v>
      </c>
      <c r="O1761" s="237">
        <f>YEAR(Tableau13[[#This Row],[Date fin intervention]])</f>
        <v>2021</v>
      </c>
      <c r="P1761" s="235"/>
    </row>
    <row r="1762" spans="1:16">
      <c r="A1762" s="232">
        <v>44473</v>
      </c>
      <c r="B1762" s="233">
        <v>560</v>
      </c>
      <c r="C1762" s="234" t="str">
        <f>IF(ISNA(VLOOKUP(Tableau13[[#This Row],[Code machine]],'CODE mchn'!$A$4:$C$170,2,0)),"",VLOOKUP(Tableau13[[#This Row],[Code machine]],'CODE mchn'!$A$4:$C$170,2,0))</f>
        <v>Acier</v>
      </c>
      <c r="D1762" s="235" t="str">
        <f>IF(ISNA(VLOOKUP(Tableau13[[#This Row],[Code machine]],'CODE mchn'!$A$4:$C$170,3,0)),"",VLOOKUP(Tableau13[[#This Row],[Code machine]],'CODE mchn'!$A$4:$C$170,3,0))</f>
        <v>Schlatter</v>
      </c>
      <c r="E1762" s="105">
        <v>25420</v>
      </c>
      <c r="F1762" s="36"/>
      <c r="G1762" s="235" t="s">
        <v>2243</v>
      </c>
      <c r="H1762" s="235" t="s">
        <v>477</v>
      </c>
      <c r="I1762" s="235" t="s">
        <v>13</v>
      </c>
      <c r="J1762" s="254" t="s">
        <v>3111</v>
      </c>
      <c r="K1762" s="236">
        <v>44473</v>
      </c>
      <c r="L1762" s="235"/>
      <c r="M1762" s="237">
        <v>90</v>
      </c>
      <c r="N1762" s="237">
        <f>MONTH(Tableau13[[#This Row],[Date fin intervention]])</f>
        <v>10</v>
      </c>
      <c r="O1762" s="237">
        <f>YEAR(Tableau13[[#This Row],[Date fin intervention]])</f>
        <v>2021</v>
      </c>
      <c r="P1762" s="235"/>
    </row>
    <row r="1763" spans="1:16" ht="71.25">
      <c r="A1763" s="232">
        <v>44473</v>
      </c>
      <c r="B1763" s="233">
        <v>570</v>
      </c>
      <c r="C1763" s="234" t="str">
        <f>IF(ISNA(VLOOKUP(Tableau13[[#This Row],[Code machine]],'CODE mchn'!$A$4:$C$170,2,0)),"",VLOOKUP(Tableau13[[#This Row],[Code machine]],'CODE mchn'!$A$4:$C$170,2,0))</f>
        <v>Acier</v>
      </c>
      <c r="D1763" s="235" t="str">
        <f>IF(ISNA(VLOOKUP(Tableau13[[#This Row],[Code machine]],'CODE mchn'!$A$4:$C$170,3,0)),"",VLOOKUP(Tableau13[[#This Row],[Code machine]],'CODE mchn'!$A$4:$C$170,3,0))</f>
        <v>Sigmatic</v>
      </c>
      <c r="E1763" s="105">
        <v>25429</v>
      </c>
      <c r="F1763" s="36"/>
      <c r="G1763" s="235" t="s">
        <v>3127</v>
      </c>
      <c r="H1763" s="235" t="s">
        <v>2903</v>
      </c>
      <c r="I1763" s="235" t="s">
        <v>13</v>
      </c>
      <c r="J1763" s="254" t="s">
        <v>3128</v>
      </c>
      <c r="K1763" s="236">
        <v>44484</v>
      </c>
      <c r="L1763" s="235"/>
      <c r="M1763" s="237">
        <f>11*8*60</f>
        <v>5280</v>
      </c>
      <c r="N1763" s="237">
        <f>MONTH(Tableau13[[#This Row],[Date fin intervention]])</f>
        <v>10</v>
      </c>
      <c r="O1763" s="237">
        <f>YEAR(Tableau13[[#This Row],[Date fin intervention]])</f>
        <v>2021</v>
      </c>
      <c r="P1763" s="235"/>
    </row>
    <row r="1764" spans="1:16">
      <c r="A1764" s="232">
        <v>44474</v>
      </c>
      <c r="B1764" s="233">
        <v>561</v>
      </c>
      <c r="C1764" s="234" t="str">
        <f>IF(ISNA(VLOOKUP(Tableau13[[#This Row],[Code machine]],'CODE mchn'!$A$4:$C$170,2,0)),"",VLOOKUP(Tableau13[[#This Row],[Code machine]],'CODE mchn'!$A$4:$C$170,2,0))</f>
        <v>Ponts roulants</v>
      </c>
      <c r="D1764" s="235" t="str">
        <f>IF(ISNA(VLOOKUP(Tableau13[[#This Row],[Code machine]],'CODE mchn'!$A$4:$C$170,3,0)),"",VLOOKUP(Tableau13[[#This Row],[Code machine]],'CODE mchn'!$A$4:$C$170,3,0))</f>
        <v>Pont roulant Demag 5T TS</v>
      </c>
      <c r="E1764" s="105">
        <v>25427</v>
      </c>
      <c r="F1764" s="36"/>
      <c r="G1764" s="235" t="s">
        <v>3123</v>
      </c>
      <c r="H1764" s="235" t="s">
        <v>3124</v>
      </c>
      <c r="I1764" s="235" t="s">
        <v>13</v>
      </c>
      <c r="J1764" s="254" t="s">
        <v>3125</v>
      </c>
      <c r="K1764" s="236">
        <v>44474</v>
      </c>
      <c r="L1764" s="235"/>
      <c r="M1764" s="237">
        <v>120</v>
      </c>
      <c r="N1764" s="237">
        <f>MONTH(Tableau13[[#This Row],[Date fin intervention]])</f>
        <v>10</v>
      </c>
      <c r="O1764" s="237">
        <f>YEAR(Tableau13[[#This Row],[Date fin intervention]])</f>
        <v>2021</v>
      </c>
      <c r="P1764" s="235"/>
    </row>
    <row r="1765" spans="1:16" ht="28.5">
      <c r="A1765" s="232">
        <v>44474</v>
      </c>
      <c r="B1765" s="233">
        <v>568</v>
      </c>
      <c r="C1765" s="234" t="str">
        <f>IF(ISNA(VLOOKUP(Tableau13[[#This Row],[Code machine]],'CODE mchn'!$A$4:$C$170,2,0)),"",VLOOKUP(Tableau13[[#This Row],[Code machine]],'CODE mchn'!$A$4:$C$170,2,0))</f>
        <v>Ponts roulants</v>
      </c>
      <c r="D1765" s="235" t="str">
        <f>IF(ISNA(VLOOKUP(Tableau13[[#This Row],[Code machine]],'CODE mchn'!$A$4:$C$170,3,0)),"",VLOOKUP(Tableau13[[#This Row],[Code machine]],'CODE mchn'!$A$4:$C$170,3,0))</f>
        <v>Pont roulant Demag 5T (milieu)</v>
      </c>
      <c r="E1765" s="105">
        <v>25428</v>
      </c>
      <c r="F1765" s="36"/>
      <c r="G1765" s="235" t="s">
        <v>35</v>
      </c>
      <c r="H1765" s="235" t="s">
        <v>3126</v>
      </c>
      <c r="I1765" s="235" t="s">
        <v>13</v>
      </c>
      <c r="J1765" s="254" t="s">
        <v>1177</v>
      </c>
      <c r="K1765" s="236">
        <v>44474</v>
      </c>
      <c r="L1765" s="235"/>
      <c r="M1765" s="237">
        <v>120</v>
      </c>
      <c r="N1765" s="237">
        <f>MONTH(Tableau13[[#This Row],[Date fin intervention]])</f>
        <v>10</v>
      </c>
      <c r="O1765" s="237">
        <f>YEAR(Tableau13[[#This Row],[Date fin intervention]])</f>
        <v>2021</v>
      </c>
      <c r="P1765" s="235"/>
    </row>
    <row r="1766" spans="1:16">
      <c r="A1766" s="232">
        <v>44475</v>
      </c>
      <c r="B1766" s="233">
        <v>620</v>
      </c>
      <c r="C1766" s="234" t="str">
        <f>IF(ISNA(VLOOKUP(Tableau13[[#This Row],[Code machine]],'CODE mchn'!$A$4:$C$170,2,0)),"",VLOOKUP(Tableau13[[#This Row],[Code machine]],'CODE mchn'!$A$4:$C$170,2,0))</f>
        <v>Acier</v>
      </c>
      <c r="D1766" s="235" t="str">
        <f>IF(ISNA(VLOOKUP(Tableau13[[#This Row],[Code machine]],'CODE mchn'!$A$4:$C$170,3,0)),"",VLOOKUP(Tableau13[[#This Row],[Code machine]],'CODE mchn'!$A$4:$C$170,3,0))</f>
        <v>EVG PN 2</v>
      </c>
      <c r="E1766" s="105">
        <v>25421</v>
      </c>
      <c r="F1766" s="36"/>
      <c r="G1766" s="235" t="s">
        <v>470</v>
      </c>
      <c r="H1766" s="235" t="s">
        <v>3112</v>
      </c>
      <c r="I1766" s="235" t="s">
        <v>13</v>
      </c>
      <c r="J1766" s="254" t="s">
        <v>3113</v>
      </c>
      <c r="K1766" s="236">
        <v>44475</v>
      </c>
      <c r="L1766" s="235"/>
      <c r="M1766" s="237">
        <v>60</v>
      </c>
      <c r="N1766" s="237">
        <f>MONTH(Tableau13[[#This Row],[Date fin intervention]])</f>
        <v>10</v>
      </c>
      <c r="O1766" s="237">
        <f>YEAR(Tableau13[[#This Row],[Date fin intervention]])</f>
        <v>2021</v>
      </c>
      <c r="P1766" s="235"/>
    </row>
    <row r="1767" spans="1:16">
      <c r="A1767" s="104">
        <v>44475</v>
      </c>
      <c r="B1767" s="105">
        <v>606</v>
      </c>
      <c r="C1767" s="106" t="str">
        <f>IF(ISNA(VLOOKUP(Tableau13[[#This Row],[Code machine]],'CODE mchn'!$A$4:$C$170,2,0)),"",VLOOKUP(Tableau13[[#This Row],[Code machine]],'CODE mchn'!$A$4:$C$170,2,0))</f>
        <v>Acier</v>
      </c>
      <c r="D1767" s="36" t="str">
        <f>IF(ISNA(VLOOKUP(Tableau13[[#This Row],[Code machine]],'CODE mchn'!$A$4:$C$170,3,0)),"",VLOOKUP(Tableau13[[#This Row],[Code machine]],'CODE mchn'!$A$4:$C$170,3,0))</f>
        <v>Vitari 2</v>
      </c>
      <c r="E1767" s="105">
        <v>15820</v>
      </c>
      <c r="F1767" s="36"/>
      <c r="G1767" s="36" t="s">
        <v>78</v>
      </c>
      <c r="H1767" s="36" t="s">
        <v>350</v>
      </c>
      <c r="I1767" s="36" t="s">
        <v>13</v>
      </c>
      <c r="J1767" s="252" t="s">
        <v>3149</v>
      </c>
      <c r="K1767" s="71">
        <v>44475</v>
      </c>
      <c r="L1767" s="36"/>
      <c r="M1767" s="108">
        <f>120</f>
        <v>120</v>
      </c>
      <c r="N1767" s="108">
        <f>MONTH(Tableau13[[#This Row],[Date fin intervention]])</f>
        <v>10</v>
      </c>
      <c r="O1767" s="108">
        <f>YEAR(Tableau13[[#This Row],[Date fin intervention]])</f>
        <v>2021</v>
      </c>
      <c r="P1767" s="36"/>
    </row>
    <row r="1768" spans="1:16">
      <c r="A1768" s="232">
        <v>44476</v>
      </c>
      <c r="B1768" s="233">
        <v>582</v>
      </c>
      <c r="C1768" s="234" t="str">
        <f>IF(ISNA(VLOOKUP(Tableau13[[#This Row],[Code machine]],'CODE mchn'!$A$4:$C$170,2,0)),"",VLOOKUP(Tableau13[[#This Row],[Code machine]],'CODE mchn'!$A$4:$C$170,2,0))</f>
        <v>Acier</v>
      </c>
      <c r="D1768" s="235" t="str">
        <f>IF(ISNA(VLOOKUP(Tableau13[[#This Row],[Code machine]],'CODE mchn'!$A$4:$C$170,3,0)),"",VLOOKUP(Tableau13[[#This Row],[Code machine]],'CODE mchn'!$A$4:$C$170,3,0))</f>
        <v>Teurema 2</v>
      </c>
      <c r="E1768" s="105">
        <v>25422</v>
      </c>
      <c r="F1768" s="36"/>
      <c r="G1768" s="235" t="s">
        <v>3114</v>
      </c>
      <c r="H1768" s="235" t="s">
        <v>3115</v>
      </c>
      <c r="I1768" s="235" t="s">
        <v>13</v>
      </c>
      <c r="J1768" s="254" t="s">
        <v>3101</v>
      </c>
      <c r="K1768" s="236">
        <v>44476</v>
      </c>
      <c r="L1768" s="235"/>
      <c r="M1768" s="237">
        <v>60</v>
      </c>
      <c r="N1768" s="237">
        <f>MONTH(Tableau13[[#This Row],[Date fin intervention]])</f>
        <v>10</v>
      </c>
      <c r="O1768" s="237">
        <f>YEAR(Tableau13[[#This Row],[Date fin intervention]])</f>
        <v>2021</v>
      </c>
      <c r="P1768" s="235"/>
    </row>
    <row r="1769" spans="1:16" ht="28.5">
      <c r="A1769" s="232">
        <v>44476</v>
      </c>
      <c r="B1769" s="233">
        <v>584</v>
      </c>
      <c r="C1769" s="234" t="str">
        <f>IF(ISNA(VLOOKUP(Tableau13[[#This Row],[Code machine]],'CODE mchn'!$A$4:$C$170,2,0)),"",VLOOKUP(Tableau13[[#This Row],[Code machine]],'CODE mchn'!$A$4:$C$170,2,0))</f>
        <v>Ponts roulants</v>
      </c>
      <c r="D1769" s="235" t="str">
        <f>IF(ISNA(VLOOKUP(Tableau13[[#This Row],[Code machine]],'CODE mchn'!$A$4:$C$170,3,0)),"",VLOOKUP(Tableau13[[#This Row],[Code machine]],'CODE mchn'!$A$4:$C$170,3,0))</f>
        <v>Pont roulant Demag 3,2T (teurema2)</v>
      </c>
      <c r="E1769" s="105">
        <v>25423</v>
      </c>
      <c r="F1769" s="36"/>
      <c r="G1769" s="235" t="s">
        <v>35</v>
      </c>
      <c r="H1769" s="235" t="s">
        <v>482</v>
      </c>
      <c r="I1769" s="235" t="s">
        <v>13</v>
      </c>
      <c r="J1769" s="254" t="s">
        <v>1177</v>
      </c>
      <c r="K1769" s="236">
        <v>44476</v>
      </c>
      <c r="L1769" s="235"/>
      <c r="M1769" s="237">
        <f>4*60</f>
        <v>240</v>
      </c>
      <c r="N1769" s="237">
        <f>MONTH(Tableau13[[#This Row],[Date fin intervention]])</f>
        <v>10</v>
      </c>
      <c r="O1769" s="237">
        <f>YEAR(Tableau13[[#This Row],[Date fin intervention]])</f>
        <v>2021</v>
      </c>
      <c r="P1769" s="235"/>
    </row>
    <row r="1770" spans="1:16">
      <c r="A1770" s="232">
        <v>44478</v>
      </c>
      <c r="B1770" s="233">
        <v>582</v>
      </c>
      <c r="C1770" s="234" t="str">
        <f>IF(ISNA(VLOOKUP(Tableau13[[#This Row],[Code machine]],'CODE mchn'!$A$4:$C$170,2,0)),"",VLOOKUP(Tableau13[[#This Row],[Code machine]],'CODE mchn'!$A$4:$C$170,2,0))</f>
        <v>Acier</v>
      </c>
      <c r="D1770" s="235" t="str">
        <f>IF(ISNA(VLOOKUP(Tableau13[[#This Row],[Code machine]],'CODE mchn'!$A$4:$C$170,3,0)),"",VLOOKUP(Tableau13[[#This Row],[Code machine]],'CODE mchn'!$A$4:$C$170,3,0))</f>
        <v>Teurema 2</v>
      </c>
      <c r="E1770" s="105">
        <v>25425</v>
      </c>
      <c r="F1770" s="36"/>
      <c r="G1770" s="235" t="s">
        <v>70</v>
      </c>
      <c r="H1770" s="235" t="s">
        <v>3121</v>
      </c>
      <c r="I1770" s="235" t="s">
        <v>13</v>
      </c>
      <c r="J1770" s="254" t="s">
        <v>3122</v>
      </c>
      <c r="K1770" s="236">
        <v>44478</v>
      </c>
      <c r="L1770" s="235"/>
      <c r="M1770" s="237">
        <f>3*60</f>
        <v>180</v>
      </c>
      <c r="N1770" s="237">
        <f>MONTH(Tableau13[[#This Row],[Date fin intervention]])</f>
        <v>10</v>
      </c>
      <c r="O1770" s="237">
        <f>YEAR(Tableau13[[#This Row],[Date fin intervention]])</f>
        <v>2021</v>
      </c>
      <c r="P1770" s="235"/>
    </row>
    <row r="1771" spans="1:16" ht="28.5">
      <c r="A1771" s="232">
        <v>44478</v>
      </c>
      <c r="B1771" s="233">
        <v>582</v>
      </c>
      <c r="C1771" s="234" t="str">
        <f>IF(ISNA(VLOOKUP(Tableau13[[#This Row],[Code machine]],'CODE mchn'!$A$4:$C$170,2,0)),"",VLOOKUP(Tableau13[[#This Row],[Code machine]],'CODE mchn'!$A$4:$C$170,2,0))</f>
        <v>Acier</v>
      </c>
      <c r="D1771" s="235" t="str">
        <f>IF(ISNA(VLOOKUP(Tableau13[[#This Row],[Code machine]],'CODE mchn'!$A$4:$C$170,3,0)),"",VLOOKUP(Tableau13[[#This Row],[Code machine]],'CODE mchn'!$A$4:$C$170,3,0))</f>
        <v>Teurema 2</v>
      </c>
      <c r="E1771" s="105">
        <v>25431</v>
      </c>
      <c r="F1771" s="36"/>
      <c r="G1771" s="235" t="s">
        <v>519</v>
      </c>
      <c r="H1771" s="235" t="s">
        <v>3132</v>
      </c>
      <c r="I1771" s="235" t="s">
        <v>13</v>
      </c>
      <c r="J1771" s="254" t="s">
        <v>3133</v>
      </c>
      <c r="K1771" s="236">
        <v>44478</v>
      </c>
      <c r="L1771" s="235"/>
      <c r="M1771" s="237">
        <f>7.5*60</f>
        <v>450</v>
      </c>
      <c r="N1771" s="237">
        <f>MONTH(Tableau13[[#This Row],[Date fin intervention]])</f>
        <v>10</v>
      </c>
      <c r="O1771" s="237">
        <f>YEAR(Tableau13[[#This Row],[Date fin intervention]])</f>
        <v>2021</v>
      </c>
      <c r="P1771" s="235"/>
    </row>
    <row r="1772" spans="1:16">
      <c r="A1772" s="232">
        <v>44478</v>
      </c>
      <c r="B1772" s="233">
        <v>700</v>
      </c>
      <c r="C1772" s="234" t="str">
        <f>IF(ISNA(VLOOKUP(Tableau13[[#This Row],[Code machine]],'CODE mchn'!$A$4:$C$170,2,0)),"",VLOOKUP(Tableau13[[#This Row],[Code machine]],'CODE mchn'!$A$4:$C$170,2,0))</f>
        <v>Béton</v>
      </c>
      <c r="D1772" s="235" t="str">
        <f>IF(ISNA(VLOOKUP(Tableau13[[#This Row],[Code machine]],'CODE mchn'!$A$4:$C$170,3,0)),"",VLOOKUP(Tableau13[[#This Row],[Code machine]],'CODE mchn'!$A$4:$C$170,3,0))</f>
        <v>Poyatos 1</v>
      </c>
      <c r="E1772" s="105">
        <v>15784</v>
      </c>
      <c r="F1772" s="36"/>
      <c r="G1772" s="235" t="s">
        <v>291</v>
      </c>
      <c r="H1772" s="235" t="s">
        <v>3141</v>
      </c>
      <c r="I1772" s="235" t="s">
        <v>13</v>
      </c>
      <c r="J1772" s="254" t="s">
        <v>3142</v>
      </c>
      <c r="K1772" s="236">
        <v>44478</v>
      </c>
      <c r="L1772" s="235"/>
      <c r="M1772" s="237">
        <f>6*60</f>
        <v>360</v>
      </c>
      <c r="N1772" s="237">
        <f>MONTH(Tableau13[[#This Row],[Date fin intervention]])</f>
        <v>10</v>
      </c>
      <c r="O1772" s="237">
        <f>YEAR(Tableau13[[#This Row],[Date fin intervention]])</f>
        <v>2021</v>
      </c>
      <c r="P1772" s="235"/>
    </row>
    <row r="1773" spans="1:16">
      <c r="A1773" s="232">
        <v>44480</v>
      </c>
      <c r="B1773" s="233">
        <v>620</v>
      </c>
      <c r="C1773" s="234" t="str">
        <f>IF(ISNA(VLOOKUP(Tableau13[[#This Row],[Code machine]],'CODE mchn'!$A$4:$C$170,2,0)),"",VLOOKUP(Tableau13[[#This Row],[Code machine]],'CODE mchn'!$A$4:$C$170,2,0))</f>
        <v>Acier</v>
      </c>
      <c r="D1773" s="235" t="str">
        <f>IF(ISNA(VLOOKUP(Tableau13[[#This Row],[Code machine]],'CODE mchn'!$A$4:$C$170,3,0)),"",VLOOKUP(Tableau13[[#This Row],[Code machine]],'CODE mchn'!$A$4:$C$170,3,0))</f>
        <v>EVG PN 2</v>
      </c>
      <c r="E1773" s="105">
        <v>44480</v>
      </c>
      <c r="F1773" s="36"/>
      <c r="G1773" s="235" t="s">
        <v>128</v>
      </c>
      <c r="H1773" s="235" t="s">
        <v>3093</v>
      </c>
      <c r="I1773" s="235" t="s">
        <v>13</v>
      </c>
      <c r="J1773" s="254" t="s">
        <v>3094</v>
      </c>
      <c r="K1773" s="236">
        <v>44480</v>
      </c>
      <c r="L1773" s="235"/>
      <c r="M1773" s="237">
        <v>180</v>
      </c>
      <c r="N1773" s="237">
        <f>MONTH(Tableau13[[#This Row],[Date fin intervention]])</f>
        <v>10</v>
      </c>
      <c r="O1773" s="237">
        <f>YEAR(Tableau13[[#This Row],[Date fin intervention]])</f>
        <v>2021</v>
      </c>
      <c r="P1773" s="235"/>
    </row>
    <row r="1774" spans="1:16">
      <c r="A1774" s="232">
        <v>44480</v>
      </c>
      <c r="B1774" s="233">
        <v>800</v>
      </c>
      <c r="C1774" s="234" t="str">
        <f>IF(ISNA(VLOOKUP(Tableau13[[#This Row],[Code machine]],'CODE mchn'!$A$4:$C$170,2,0)),"",VLOOKUP(Tableau13[[#This Row],[Code machine]],'CODE mchn'!$A$4:$C$170,2,0))</f>
        <v>Béton</v>
      </c>
      <c r="D1774" s="235" t="str">
        <f>IF(ISNA(VLOOKUP(Tableau13[[#This Row],[Code machine]],'CODE mchn'!$A$4:$C$170,3,0)),"",VLOOKUP(Tableau13[[#This Row],[Code machine]],'CODE mchn'!$A$4:$C$170,3,0))</f>
        <v>Poyatos 2</v>
      </c>
      <c r="E1774" s="105">
        <v>25433</v>
      </c>
      <c r="F1774" s="36"/>
      <c r="G1774" s="235" t="s">
        <v>213</v>
      </c>
      <c r="H1774" s="235" t="s">
        <v>2915</v>
      </c>
      <c r="I1774" s="235" t="s">
        <v>101</v>
      </c>
      <c r="J1774" s="254" t="s">
        <v>3134</v>
      </c>
      <c r="K1774" s="236">
        <v>44480</v>
      </c>
      <c r="L1774" s="235"/>
      <c r="M1774" s="237">
        <v>120</v>
      </c>
      <c r="N1774" s="237">
        <f>MONTH(Tableau13[[#This Row],[Date fin intervention]])</f>
        <v>10</v>
      </c>
      <c r="O1774" s="237">
        <f>YEAR(Tableau13[[#This Row],[Date fin intervention]])</f>
        <v>2021</v>
      </c>
      <c r="P1774" s="235"/>
    </row>
    <row r="1775" spans="1:16">
      <c r="A1775" s="232">
        <v>44481</v>
      </c>
      <c r="B1775" s="233">
        <v>700</v>
      </c>
      <c r="C1775" s="234" t="str">
        <f>IF(ISNA(VLOOKUP(Tableau13[[#This Row],[Code machine]],'CODE mchn'!$A$4:$C$170,2,0)),"",VLOOKUP(Tableau13[[#This Row],[Code machine]],'CODE mchn'!$A$4:$C$170,2,0))</f>
        <v>Béton</v>
      </c>
      <c r="D1775" s="235" t="str">
        <f>IF(ISNA(VLOOKUP(Tableau13[[#This Row],[Code machine]],'CODE mchn'!$A$4:$C$170,3,0)),"",VLOOKUP(Tableau13[[#This Row],[Code machine]],'CODE mchn'!$A$4:$C$170,3,0))</f>
        <v>Poyatos 1</v>
      </c>
      <c r="E1775" s="105">
        <v>15788</v>
      </c>
      <c r="F1775" s="36"/>
      <c r="G1775" s="235" t="s">
        <v>43</v>
      </c>
      <c r="H1775" s="235" t="s">
        <v>679</v>
      </c>
      <c r="I1775" s="235" t="s">
        <v>13</v>
      </c>
      <c r="J1775" s="254" t="s">
        <v>3140</v>
      </c>
      <c r="K1775" s="236">
        <v>44481</v>
      </c>
      <c r="L1775" s="235"/>
      <c r="M1775" s="237">
        <f>6*60</f>
        <v>360</v>
      </c>
      <c r="N1775" s="237">
        <f>MONTH(Tableau13[[#This Row],[Date fin intervention]])</f>
        <v>10</v>
      </c>
      <c r="O1775" s="237">
        <f>YEAR(Tableau13[[#This Row],[Date fin intervention]])</f>
        <v>2021</v>
      </c>
      <c r="P1775" s="235"/>
    </row>
    <row r="1776" spans="1:16">
      <c r="A1776" s="104">
        <v>44482</v>
      </c>
      <c r="B1776" s="105">
        <v>454</v>
      </c>
      <c r="C1776" s="106" t="str">
        <f>IF(ISNA(VLOOKUP(Tableau13[[#This Row],[Code machine]],'CODE mchn'!$A$4:$C$170,2,0)),"",VLOOKUP(Tableau13[[#This Row],[Code machine]],'CODE mchn'!$A$4:$C$170,2,0))</f>
        <v>Secheurs</v>
      </c>
      <c r="D1776" s="36" t="str">
        <f>IF(ISNA(VLOOKUP(Tableau13[[#This Row],[Code machine]],'CODE mchn'!$A$4:$C$170,3,0)),"",VLOOKUP(Tableau13[[#This Row],[Code machine]],'CODE mchn'!$A$4:$C$170,3,0))</f>
        <v>FD 345 (evg)</v>
      </c>
      <c r="E1776" s="105"/>
      <c r="F1776" s="36"/>
      <c r="G1776" s="36" t="s">
        <v>1450</v>
      </c>
      <c r="H1776" s="36" t="s">
        <v>3032</v>
      </c>
      <c r="I1776" s="36" t="s">
        <v>13</v>
      </c>
      <c r="J1776" s="252" t="s">
        <v>3033</v>
      </c>
      <c r="K1776" s="71">
        <v>44482</v>
      </c>
      <c r="L1776" s="36" t="s">
        <v>3033</v>
      </c>
      <c r="M1776" s="108"/>
      <c r="N1776" s="108">
        <f>MONTH(Tableau13[[#This Row],[Date fin intervention]])</f>
        <v>10</v>
      </c>
      <c r="O1776" s="108">
        <f>YEAR(Tableau13[[#This Row],[Date fin intervention]])</f>
        <v>2021</v>
      </c>
      <c r="P1776" s="36"/>
    </row>
    <row r="1777" spans="1:16">
      <c r="A1777" s="232">
        <v>44483</v>
      </c>
      <c r="B1777" s="233">
        <v>533</v>
      </c>
      <c r="C1777" s="234" t="str">
        <f>IF(ISNA(VLOOKUP(Tableau13[[#This Row],[Code machine]],'CODE mchn'!$A$4:$C$170,2,0)),"",VLOOKUP(Tableau13[[#This Row],[Code machine]],'CODE mchn'!$A$4:$C$170,2,0))</f>
        <v>Enrobage</v>
      </c>
      <c r="D1777" s="235" t="str">
        <f>IF(ISNA(VLOOKUP(Tableau13[[#This Row],[Code machine]],'CODE mchn'!$A$4:$C$170,3,0)),"",VLOOKUP(Tableau13[[#This Row],[Code machine]],'CODE mchn'!$A$4:$C$170,3,0))</f>
        <v>CAROSSEL</v>
      </c>
      <c r="E1777" s="105">
        <v>15857</v>
      </c>
      <c r="F1777" s="36"/>
      <c r="G1777" s="235" t="s">
        <v>474</v>
      </c>
      <c r="H1777" s="235" t="s">
        <v>2828</v>
      </c>
      <c r="I1777" s="235" t="s">
        <v>13</v>
      </c>
      <c r="J1777" s="254" t="s">
        <v>3091</v>
      </c>
      <c r="K1777" s="236">
        <v>44483</v>
      </c>
      <c r="L1777" s="235"/>
      <c r="M1777" s="237">
        <v>60</v>
      </c>
      <c r="N1777" s="237">
        <f>MONTH(Tableau13[[#This Row],[Date fin intervention]])</f>
        <v>10</v>
      </c>
      <c r="O1777" s="237">
        <f>YEAR(Tableau13[[#This Row],[Date fin intervention]])</f>
        <v>2021</v>
      </c>
      <c r="P1777" s="235"/>
    </row>
    <row r="1778" spans="1:16">
      <c r="A1778" s="232">
        <v>44483</v>
      </c>
      <c r="B1778" s="233">
        <v>571</v>
      </c>
      <c r="C1778" s="234" t="str">
        <f>IF(ISNA(VLOOKUP(Tableau13[[#This Row],[Code machine]],'CODE mchn'!$A$4:$C$170,2,0)),"",VLOOKUP(Tableau13[[#This Row],[Code machine]],'CODE mchn'!$A$4:$C$170,2,0))</f>
        <v>Acier</v>
      </c>
      <c r="D1778" s="235" t="str">
        <f>IF(ISNA(VLOOKUP(Tableau13[[#This Row],[Code machine]],'CODE mchn'!$A$4:$C$170,3,0)),"",VLOOKUP(Tableau13[[#This Row],[Code machine]],'CODE mchn'!$A$4:$C$170,3,0))</f>
        <v>EVG PN 1</v>
      </c>
      <c r="E1778" s="105">
        <v>14826</v>
      </c>
      <c r="F1778" s="36"/>
      <c r="G1778" s="235" t="s">
        <v>664</v>
      </c>
      <c r="H1778" s="235" t="s">
        <v>1596</v>
      </c>
      <c r="I1778" s="235" t="s">
        <v>13</v>
      </c>
      <c r="J1778" s="254" t="s">
        <v>3092</v>
      </c>
      <c r="K1778" s="236">
        <v>44483</v>
      </c>
      <c r="L1778" s="235"/>
      <c r="M1778" s="237">
        <f>60*4</f>
        <v>240</v>
      </c>
      <c r="N1778" s="237">
        <f>MONTH(Tableau13[[#This Row],[Date fin intervention]])</f>
        <v>10</v>
      </c>
      <c r="O1778" s="237">
        <f>YEAR(Tableau13[[#This Row],[Date fin intervention]])</f>
        <v>2021</v>
      </c>
      <c r="P1778" s="235"/>
    </row>
    <row r="1779" spans="1:16">
      <c r="A1779" s="232">
        <v>44483</v>
      </c>
      <c r="B1779" s="233">
        <v>800</v>
      </c>
      <c r="C1779" s="234" t="str">
        <f>IF(ISNA(VLOOKUP(Tableau13[[#This Row],[Code machine]],'CODE mchn'!$A$4:$C$170,2,0)),"",VLOOKUP(Tableau13[[#This Row],[Code machine]],'CODE mchn'!$A$4:$C$170,2,0))</f>
        <v>Béton</v>
      </c>
      <c r="D1779" s="235" t="str">
        <f>IF(ISNA(VLOOKUP(Tableau13[[#This Row],[Code machine]],'CODE mchn'!$A$4:$C$170,3,0)),"",VLOOKUP(Tableau13[[#This Row],[Code machine]],'CODE mchn'!$A$4:$C$170,3,0))</f>
        <v>Poyatos 2</v>
      </c>
      <c r="E1779" s="105">
        <v>15008</v>
      </c>
      <c r="F1779" s="36"/>
      <c r="G1779" s="235" t="s">
        <v>213</v>
      </c>
      <c r="H1779" s="235" t="s">
        <v>2076</v>
      </c>
      <c r="I1779" s="235" t="s">
        <v>13</v>
      </c>
      <c r="J1779" s="254" t="s">
        <v>3139</v>
      </c>
      <c r="K1779" s="236">
        <v>44483</v>
      </c>
      <c r="L1779" s="235"/>
      <c r="M1779" s="237">
        <v>90</v>
      </c>
      <c r="N1779" s="237">
        <f>MONTH(Tableau13[[#This Row],[Date fin intervention]])</f>
        <v>10</v>
      </c>
      <c r="O1779" s="237">
        <f>YEAR(Tableau13[[#This Row],[Date fin intervention]])</f>
        <v>2021</v>
      </c>
      <c r="P1779" s="235"/>
    </row>
    <row r="1780" spans="1:16">
      <c r="A1780" s="104">
        <v>44483</v>
      </c>
      <c r="B1780" s="105">
        <v>565</v>
      </c>
      <c r="C1780" s="106" t="str">
        <f>IF(ISNA(VLOOKUP(Tableau13[[#This Row],[Code machine]],'CODE mchn'!$A$4:$C$170,2,0)),"",VLOOKUP(Tableau13[[#This Row],[Code machine]],'CODE mchn'!$A$4:$C$170,2,0))</f>
        <v>Acier</v>
      </c>
      <c r="D1780" s="36" t="str">
        <f>IF(ISNA(VLOOKUP(Tableau13[[#This Row],[Code machine]],'CODE mchn'!$A$4:$C$170,3,0)),"",VLOOKUP(Tableau13[[#This Row],[Code machine]],'CODE mchn'!$A$4:$C$170,3,0))</f>
        <v>EVG GE12</v>
      </c>
      <c r="E1780" s="105">
        <v>15818</v>
      </c>
      <c r="F1780" s="36"/>
      <c r="G1780" s="36" t="s">
        <v>1720</v>
      </c>
      <c r="H1780" s="36" t="s">
        <v>2955</v>
      </c>
      <c r="I1780" s="36" t="s">
        <v>13</v>
      </c>
      <c r="J1780" s="252" t="s">
        <v>3153</v>
      </c>
      <c r="K1780" s="71">
        <v>44483</v>
      </c>
      <c r="L1780" s="36"/>
      <c r="M1780" s="108">
        <v>240</v>
      </c>
      <c r="N1780" s="108">
        <f>MONTH(Tableau13[[#This Row],[Date fin intervention]])</f>
        <v>10</v>
      </c>
      <c r="O1780" s="108">
        <f>YEAR(Tableau13[[#This Row],[Date fin intervention]])</f>
        <v>2021</v>
      </c>
      <c r="P1780" s="36"/>
    </row>
    <row r="1781" spans="1:16">
      <c r="A1781" s="232">
        <v>44484</v>
      </c>
      <c r="B1781" s="233">
        <v>605</v>
      </c>
      <c r="C1781" s="234" t="str">
        <f>IF(ISNA(VLOOKUP(Tableau13[[#This Row],[Code machine]],'CODE mchn'!$A$4:$C$170,2,0)),"",VLOOKUP(Tableau13[[#This Row],[Code machine]],'CODE mchn'!$A$4:$C$170,2,0))</f>
        <v>Acier</v>
      </c>
      <c r="D1781" s="235" t="str">
        <f>IF(ISNA(VLOOKUP(Tableau13[[#This Row],[Code machine]],'CODE mchn'!$A$4:$C$170,3,0)),"",VLOOKUP(Tableau13[[#This Row],[Code machine]],'CODE mchn'!$A$4:$C$170,3,0))</f>
        <v>Vitari 1</v>
      </c>
      <c r="E1781" s="105">
        <v>15820</v>
      </c>
      <c r="F1781" s="36"/>
      <c r="G1781" s="235" t="s">
        <v>78</v>
      </c>
      <c r="H1781" s="235" t="s">
        <v>3097</v>
      </c>
      <c r="I1781" s="235" t="s">
        <v>13</v>
      </c>
      <c r="J1781" s="254" t="s">
        <v>744</v>
      </c>
      <c r="K1781" s="236">
        <v>44484</v>
      </c>
      <c r="L1781" s="235"/>
      <c r="M1781" s="237">
        <v>180</v>
      </c>
      <c r="N1781" s="237">
        <f>MONTH(Tableau13[[#This Row],[Date fin intervention]])</f>
        <v>10</v>
      </c>
      <c r="O1781" s="237">
        <f>YEAR(Tableau13[[#This Row],[Date fin intervention]])</f>
        <v>2021</v>
      </c>
      <c r="P1781" s="235"/>
    </row>
    <row r="1782" spans="1:16">
      <c r="A1782" s="232">
        <v>44487</v>
      </c>
      <c r="B1782" s="233">
        <v>581</v>
      </c>
      <c r="C1782" s="234" t="str">
        <f>IF(ISNA(VLOOKUP(Tableau13[[#This Row],[Code machine]],'CODE mchn'!$A$4:$C$170,2,0)),"",VLOOKUP(Tableau13[[#This Row],[Code machine]],'CODE mchn'!$A$4:$C$170,2,0))</f>
        <v>Acier</v>
      </c>
      <c r="D1782" s="235" t="str">
        <f>IF(ISNA(VLOOKUP(Tableau13[[#This Row],[Code machine]],'CODE mchn'!$A$4:$C$170,3,0)),"",VLOOKUP(Tableau13[[#This Row],[Code machine]],'CODE mchn'!$A$4:$C$170,3,0))</f>
        <v>Teurema 1</v>
      </c>
      <c r="E1782" s="105">
        <v>12336</v>
      </c>
      <c r="F1782" s="36"/>
      <c r="G1782" s="235" t="s">
        <v>70</v>
      </c>
      <c r="H1782" s="235" t="s">
        <v>3102</v>
      </c>
      <c r="I1782" s="235" t="s">
        <v>13</v>
      </c>
      <c r="J1782" s="254" t="s">
        <v>3103</v>
      </c>
      <c r="K1782" s="236">
        <v>44487</v>
      </c>
      <c r="L1782" s="235"/>
      <c r="M1782" s="237">
        <v>120</v>
      </c>
      <c r="N1782" s="237">
        <f>MONTH(Tableau13[[#This Row],[Date fin intervention]])</f>
        <v>10</v>
      </c>
      <c r="O1782" s="237">
        <f>YEAR(Tableau13[[#This Row],[Date fin intervention]])</f>
        <v>2021</v>
      </c>
      <c r="P1782" s="235"/>
    </row>
    <row r="1783" spans="1:16">
      <c r="A1783" s="232">
        <v>44490</v>
      </c>
      <c r="B1783" s="233">
        <v>700</v>
      </c>
      <c r="C1783" s="234" t="str">
        <f>IF(ISNA(VLOOKUP(Tableau13[[#This Row],[Code machine]],'CODE mchn'!$A$4:$C$170,2,0)),"",VLOOKUP(Tableau13[[#This Row],[Code machine]],'CODE mchn'!$A$4:$C$170,2,0))</f>
        <v>Béton</v>
      </c>
      <c r="D1783" s="235" t="str">
        <f>IF(ISNA(VLOOKUP(Tableau13[[#This Row],[Code machine]],'CODE mchn'!$A$4:$C$170,3,0)),"",VLOOKUP(Tableau13[[#This Row],[Code machine]],'CODE mchn'!$A$4:$C$170,3,0))</f>
        <v>Poyatos 1</v>
      </c>
      <c r="E1783" s="105">
        <v>15789</v>
      </c>
      <c r="F1783" s="36"/>
      <c r="G1783" s="235" t="s">
        <v>291</v>
      </c>
      <c r="H1783" s="235" t="s">
        <v>3135</v>
      </c>
      <c r="I1783" s="235" t="s">
        <v>13</v>
      </c>
      <c r="J1783" s="254" t="s">
        <v>3136</v>
      </c>
      <c r="K1783" s="236">
        <v>44490</v>
      </c>
      <c r="L1783" s="235"/>
      <c r="M1783" s="237">
        <v>120</v>
      </c>
      <c r="N1783" s="237">
        <f>MONTH(Tableau13[[#This Row],[Date fin intervention]])</f>
        <v>10</v>
      </c>
      <c r="O1783" s="237">
        <f>YEAR(Tableau13[[#This Row],[Date fin intervention]])</f>
        <v>2021</v>
      </c>
      <c r="P1783" s="235"/>
    </row>
    <row r="1784" spans="1:16">
      <c r="A1784" s="232">
        <v>44491</v>
      </c>
      <c r="B1784" s="233">
        <v>800</v>
      </c>
      <c r="C1784" s="234" t="str">
        <f>IF(ISNA(VLOOKUP(Tableau13[[#This Row],[Code machine]],'CODE mchn'!$A$4:$C$170,2,0)),"",VLOOKUP(Tableau13[[#This Row],[Code machine]],'CODE mchn'!$A$4:$C$170,2,0))</f>
        <v>Béton</v>
      </c>
      <c r="D1784" s="235" t="str">
        <f>IF(ISNA(VLOOKUP(Tableau13[[#This Row],[Code machine]],'CODE mchn'!$A$4:$C$170,3,0)),"",VLOOKUP(Tableau13[[#This Row],[Code machine]],'CODE mchn'!$A$4:$C$170,3,0))</f>
        <v>Poyatos 2</v>
      </c>
      <c r="E1784" s="105">
        <v>15935</v>
      </c>
      <c r="F1784" s="36"/>
      <c r="G1784" s="235" t="s">
        <v>118</v>
      </c>
      <c r="H1784" s="235" t="s">
        <v>507</v>
      </c>
      <c r="I1784" s="235" t="s">
        <v>13</v>
      </c>
      <c r="J1784" s="254" t="s">
        <v>760</v>
      </c>
      <c r="K1784" s="236">
        <v>44491</v>
      </c>
      <c r="L1784" s="235"/>
      <c r="M1784" s="237">
        <v>120</v>
      </c>
      <c r="N1784" s="237">
        <f>MONTH(Tableau13[[#This Row],[Date fin intervention]])</f>
        <v>10</v>
      </c>
      <c r="O1784" s="237">
        <f>YEAR(Tableau13[[#This Row],[Date fin intervention]])</f>
        <v>2021</v>
      </c>
      <c r="P1784" s="235"/>
    </row>
    <row r="1785" spans="1:16">
      <c r="A1785" s="232">
        <v>44492</v>
      </c>
      <c r="B1785" s="233">
        <v>533</v>
      </c>
      <c r="C1785" s="234" t="str">
        <f>IF(ISNA(VLOOKUP(Tableau13[[#This Row],[Code machine]],'CODE mchn'!$A$4:$C$170,2,0)),"",VLOOKUP(Tableau13[[#This Row],[Code machine]],'CODE mchn'!$A$4:$C$170,2,0))</f>
        <v>Enrobage</v>
      </c>
      <c r="D1785" s="235" t="str">
        <f>IF(ISNA(VLOOKUP(Tableau13[[#This Row],[Code machine]],'CODE mchn'!$A$4:$C$170,3,0)),"",VLOOKUP(Tableau13[[#This Row],[Code machine]],'CODE mchn'!$A$4:$C$170,3,0))</f>
        <v>CAROSSEL</v>
      </c>
      <c r="E1785" s="105">
        <v>15858</v>
      </c>
      <c r="F1785" s="36"/>
      <c r="G1785" s="235" t="s">
        <v>60</v>
      </c>
      <c r="H1785" s="235" t="s">
        <v>3089</v>
      </c>
      <c r="I1785" s="235" t="s">
        <v>13</v>
      </c>
      <c r="J1785" s="254" t="s">
        <v>3090</v>
      </c>
      <c r="K1785" s="236">
        <v>44492</v>
      </c>
      <c r="L1785" s="235"/>
      <c r="M1785" s="237">
        <v>60</v>
      </c>
      <c r="N1785" s="237">
        <f>MONTH(Tableau13[[#This Row],[Date fin intervention]])</f>
        <v>10</v>
      </c>
      <c r="O1785" s="237">
        <f>YEAR(Tableau13[[#This Row],[Date fin intervention]])</f>
        <v>2021</v>
      </c>
      <c r="P1785" s="235"/>
    </row>
    <row r="1786" spans="1:16">
      <c r="A1786" s="232">
        <v>44492</v>
      </c>
      <c r="B1786" s="233">
        <v>580</v>
      </c>
      <c r="C1786" s="234" t="str">
        <f>IF(ISNA(VLOOKUP(Tableau13[[#This Row],[Code machine]],'CODE mchn'!$A$4:$C$170,2,0)),"",VLOOKUP(Tableau13[[#This Row],[Code machine]],'CODE mchn'!$A$4:$C$170,2,0))</f>
        <v>Acier</v>
      </c>
      <c r="D1786" s="235" t="str">
        <f>IF(ISNA(VLOOKUP(Tableau13[[#This Row],[Code machine]],'CODE mchn'!$A$4:$C$170,3,0)),"",VLOOKUP(Tableau13[[#This Row],[Code machine]],'CODE mchn'!$A$4:$C$170,3,0))</f>
        <v>Techno Impiante</v>
      </c>
      <c r="E1786" s="105">
        <v>14959</v>
      </c>
      <c r="F1786" s="36"/>
      <c r="G1786" s="235" t="s">
        <v>70</v>
      </c>
      <c r="H1786" s="235" t="s">
        <v>3098</v>
      </c>
      <c r="I1786" s="235" t="s">
        <v>13</v>
      </c>
      <c r="J1786" s="254" t="s">
        <v>3099</v>
      </c>
      <c r="K1786" s="236">
        <v>44492</v>
      </c>
      <c r="L1786" s="235"/>
      <c r="M1786" s="237">
        <v>120</v>
      </c>
      <c r="N1786" s="237">
        <f>MONTH(Tableau13[[#This Row],[Date fin intervention]])</f>
        <v>10</v>
      </c>
      <c r="O1786" s="237">
        <f>YEAR(Tableau13[[#This Row],[Date fin intervention]])</f>
        <v>2021</v>
      </c>
      <c r="P1786" s="235"/>
    </row>
    <row r="1787" spans="1:16">
      <c r="A1787" s="232">
        <v>44492</v>
      </c>
      <c r="B1787" s="233">
        <v>582</v>
      </c>
      <c r="C1787" s="234" t="str">
        <f>IF(ISNA(VLOOKUP(Tableau13[[#This Row],[Code machine]],'CODE mchn'!$A$4:$C$170,2,0)),"",VLOOKUP(Tableau13[[#This Row],[Code machine]],'CODE mchn'!$A$4:$C$170,2,0))</f>
        <v>Acier</v>
      </c>
      <c r="D1787" s="235" t="str">
        <f>IF(ISNA(VLOOKUP(Tableau13[[#This Row],[Code machine]],'CODE mchn'!$A$4:$C$170,3,0)),"",VLOOKUP(Tableau13[[#This Row],[Code machine]],'CODE mchn'!$A$4:$C$170,3,0))</f>
        <v>Teurema 2</v>
      </c>
      <c r="E1787" s="105">
        <v>14960</v>
      </c>
      <c r="F1787" s="36"/>
      <c r="G1787" s="235" t="s">
        <v>3100</v>
      </c>
      <c r="H1787" s="235" t="s">
        <v>1963</v>
      </c>
      <c r="I1787" s="235" t="s">
        <v>13</v>
      </c>
      <c r="J1787" s="254" t="s">
        <v>3101</v>
      </c>
      <c r="K1787" s="236">
        <v>44492</v>
      </c>
      <c r="L1787" s="235"/>
      <c r="M1787" s="237">
        <v>150</v>
      </c>
      <c r="N1787" s="237">
        <f>MONTH(Tableau13[[#This Row],[Date fin intervention]])</f>
        <v>10</v>
      </c>
      <c r="O1787" s="237">
        <f>YEAR(Tableau13[[#This Row],[Date fin intervention]])</f>
        <v>2021</v>
      </c>
      <c r="P1787" s="235"/>
    </row>
    <row r="1788" spans="1:16">
      <c r="A1788" s="104">
        <v>44492</v>
      </c>
      <c r="B1788" s="105">
        <v>565</v>
      </c>
      <c r="C1788" s="106" t="str">
        <f>IF(ISNA(VLOOKUP(Tableau13[[#This Row],[Code machine]],'CODE mchn'!$A$4:$C$170,2,0)),"",VLOOKUP(Tableau13[[#This Row],[Code machine]],'CODE mchn'!$A$4:$C$170,2,0))</f>
        <v>Acier</v>
      </c>
      <c r="D1788" s="36" t="str">
        <f>IF(ISNA(VLOOKUP(Tableau13[[#This Row],[Code machine]],'CODE mchn'!$A$4:$C$170,3,0)),"",VLOOKUP(Tableau13[[#This Row],[Code machine]],'CODE mchn'!$A$4:$C$170,3,0))</f>
        <v>EVG GE12</v>
      </c>
      <c r="E1788" s="105">
        <v>15824</v>
      </c>
      <c r="F1788" s="36"/>
      <c r="G1788" s="36" t="s">
        <v>2243</v>
      </c>
      <c r="H1788" s="36" t="s">
        <v>1147</v>
      </c>
      <c r="I1788" s="36" t="s">
        <v>13</v>
      </c>
      <c r="J1788" s="252" t="s">
        <v>3154</v>
      </c>
      <c r="K1788" s="71">
        <v>44492</v>
      </c>
      <c r="L1788" s="36"/>
      <c r="M1788" s="108"/>
      <c r="N1788" s="108">
        <f>MONTH(Tableau13[[#This Row],[Date fin intervention]])</f>
        <v>10</v>
      </c>
      <c r="O1788" s="108">
        <f>YEAR(Tableau13[[#This Row],[Date fin intervention]])</f>
        <v>2021</v>
      </c>
      <c r="P1788" s="36"/>
    </row>
    <row r="1789" spans="1:16" ht="28.5">
      <c r="A1789" s="238">
        <v>44492</v>
      </c>
      <c r="B1789" s="239">
        <v>565</v>
      </c>
      <c r="C1789" s="240" t="str">
        <f>IF(ISNA(VLOOKUP(Tableau13[[#This Row],[Code machine]],'CODE mchn'!$A$4:$C$170,2,0)),"",VLOOKUP(Tableau13[[#This Row],[Code machine]],'CODE mchn'!$A$4:$C$170,2,0))</f>
        <v>Acier</v>
      </c>
      <c r="D1789" s="241" t="str">
        <f>IF(ISNA(VLOOKUP(Tableau13[[#This Row],[Code machine]],'CODE mchn'!$A$4:$C$170,3,0)),"",VLOOKUP(Tableau13[[#This Row],[Code machine]],'CODE mchn'!$A$4:$C$170,3,0))</f>
        <v>EVG GE12</v>
      </c>
      <c r="E1789" s="239">
        <v>25808</v>
      </c>
      <c r="F1789" s="241"/>
      <c r="G1789" s="241" t="s">
        <v>3628</v>
      </c>
      <c r="H1789" s="241" t="s">
        <v>3626</v>
      </c>
      <c r="I1789" s="241" t="s">
        <v>3291</v>
      </c>
      <c r="J1789" s="249" t="s">
        <v>3627</v>
      </c>
      <c r="K1789" s="242">
        <v>44492</v>
      </c>
      <c r="L1789" s="241"/>
      <c r="M1789" s="243">
        <v>180</v>
      </c>
      <c r="N1789" s="243">
        <f>MONTH(Tableau13[[#This Row],[Date fin intervention]])</f>
        <v>10</v>
      </c>
      <c r="O1789" s="243">
        <f>YEAR(Tableau13[[#This Row],[Date fin intervention]])</f>
        <v>2021</v>
      </c>
      <c r="P1789" s="241"/>
    </row>
    <row r="1790" spans="1:16">
      <c r="A1790" s="232">
        <v>44494</v>
      </c>
      <c r="B1790" s="233">
        <v>800</v>
      </c>
      <c r="C1790" s="234" t="str">
        <f>IF(ISNA(VLOOKUP(Tableau13[[#This Row],[Code machine]],'CODE mchn'!$A$4:$C$170,2,0)),"",VLOOKUP(Tableau13[[#This Row],[Code machine]],'CODE mchn'!$A$4:$C$170,2,0))</f>
        <v>Béton</v>
      </c>
      <c r="D1790" s="235" t="str">
        <f>IF(ISNA(VLOOKUP(Tableau13[[#This Row],[Code machine]],'CODE mchn'!$A$4:$C$170,3,0)),"",VLOOKUP(Tableau13[[#This Row],[Code machine]],'CODE mchn'!$A$4:$C$170,3,0))</f>
        <v>Poyatos 2</v>
      </c>
      <c r="E1790" s="105">
        <v>15944</v>
      </c>
      <c r="F1790" s="36"/>
      <c r="G1790" s="235" t="s">
        <v>128</v>
      </c>
      <c r="H1790" s="235" t="s">
        <v>1708</v>
      </c>
      <c r="I1790" s="235" t="s">
        <v>13</v>
      </c>
      <c r="J1790" s="252" t="s">
        <v>1177</v>
      </c>
      <c r="K1790" s="236">
        <v>44494</v>
      </c>
      <c r="L1790" s="235"/>
      <c r="M1790" s="237">
        <f>8*60</f>
        <v>480</v>
      </c>
      <c r="N1790" s="237">
        <f>MONTH(Tableau13[[#This Row],[Date fin intervention]])</f>
        <v>10</v>
      </c>
      <c r="O1790" s="237">
        <f>YEAR(Tableau13[[#This Row],[Date fin intervention]])</f>
        <v>2021</v>
      </c>
      <c r="P1790" s="235"/>
    </row>
    <row r="1791" spans="1:16">
      <c r="A1791" s="238">
        <v>44494</v>
      </c>
      <c r="B1791" s="239">
        <v>800</v>
      </c>
      <c r="C1791" s="240" t="str">
        <f>IF(ISNA(VLOOKUP(Tableau13[[#This Row],[Code machine]],'CODE mchn'!$A$4:$C$170,2,0)),"",VLOOKUP(Tableau13[[#This Row],[Code machine]],'CODE mchn'!$A$4:$C$170,2,0))</f>
        <v>Béton</v>
      </c>
      <c r="D1791" s="241" t="str">
        <f>IF(ISNA(VLOOKUP(Tableau13[[#This Row],[Code machine]],'CODE mchn'!$A$4:$C$170,3,0)),"",VLOOKUP(Tableau13[[#This Row],[Code machine]],'CODE mchn'!$A$4:$C$170,3,0))</f>
        <v>Poyatos 2</v>
      </c>
      <c r="E1791" s="239">
        <v>25959</v>
      </c>
      <c r="F1791" s="241"/>
      <c r="G1791" s="241" t="s">
        <v>3450</v>
      </c>
      <c r="H1791" s="241"/>
      <c r="I1791" s="241" t="s">
        <v>3287</v>
      </c>
      <c r="J1791" s="249" t="s">
        <v>3469</v>
      </c>
      <c r="K1791" s="242">
        <v>44494</v>
      </c>
      <c r="L1791" s="241"/>
      <c r="M1791" s="243">
        <v>180</v>
      </c>
      <c r="N1791" s="243">
        <f>MONTH(Tableau13[[#This Row],[Date fin intervention]])</f>
        <v>10</v>
      </c>
      <c r="O1791" s="243">
        <f>YEAR(Tableau13[[#This Row],[Date fin intervention]])</f>
        <v>2021</v>
      </c>
      <c r="P1791" s="241"/>
    </row>
    <row r="1792" spans="1:16" ht="28.5">
      <c r="A1792" s="238">
        <v>44494</v>
      </c>
      <c r="B1792" s="239">
        <v>571</v>
      </c>
      <c r="C1792" s="240" t="str">
        <f>IF(ISNA(VLOOKUP(Tableau13[[#This Row],[Code machine]],'CODE mchn'!$A$4:$C$170,2,0)),"",VLOOKUP(Tableau13[[#This Row],[Code machine]],'CODE mchn'!$A$4:$C$170,2,0))</f>
        <v>Acier</v>
      </c>
      <c r="D1792" s="241" t="str">
        <f>IF(ISNA(VLOOKUP(Tableau13[[#This Row],[Code machine]],'CODE mchn'!$A$4:$C$170,3,0)),"",VLOOKUP(Tableau13[[#This Row],[Code machine]],'CODE mchn'!$A$4:$C$170,3,0))</f>
        <v>EVG PN 1</v>
      </c>
      <c r="E1792" s="239">
        <v>25802</v>
      </c>
      <c r="F1792" s="241"/>
      <c r="G1792" s="241" t="s">
        <v>3607</v>
      </c>
      <c r="H1792" s="241" t="s">
        <v>3608</v>
      </c>
      <c r="I1792" s="241" t="s">
        <v>3287</v>
      </c>
      <c r="J1792" s="249" t="s">
        <v>3609</v>
      </c>
      <c r="K1792" s="242">
        <v>44497</v>
      </c>
      <c r="L1792" s="241"/>
      <c r="M1792" s="243">
        <v>120</v>
      </c>
      <c r="N1792" s="243">
        <f>MONTH(Tableau13[[#This Row],[Date fin intervention]])</f>
        <v>10</v>
      </c>
      <c r="O1792" s="243">
        <f>YEAR(Tableau13[[#This Row],[Date fin intervention]])</f>
        <v>2021</v>
      </c>
      <c r="P1792" s="241"/>
    </row>
    <row r="1793" spans="1:16">
      <c r="A1793" s="232">
        <v>44495</v>
      </c>
      <c r="B1793" s="233">
        <v>533</v>
      </c>
      <c r="C1793" s="234" t="str">
        <f>IF(ISNA(VLOOKUP(Tableau13[[#This Row],[Code machine]],'CODE mchn'!$A$4:$C$170,2,0)),"",VLOOKUP(Tableau13[[#This Row],[Code machine]],'CODE mchn'!$A$4:$C$170,2,0))</f>
        <v>Enrobage</v>
      </c>
      <c r="D1793" s="235" t="str">
        <f>IF(ISNA(VLOOKUP(Tableau13[[#This Row],[Code machine]],'CODE mchn'!$A$4:$C$170,3,0)),"",VLOOKUP(Tableau13[[#This Row],[Code machine]],'CODE mchn'!$A$4:$C$170,3,0))</f>
        <v>CAROSSEL</v>
      </c>
      <c r="E1793" s="105">
        <v>15860</v>
      </c>
      <c r="F1793" s="36"/>
      <c r="G1793" s="235" t="s">
        <v>118</v>
      </c>
      <c r="H1793" s="235" t="s">
        <v>3087</v>
      </c>
      <c r="I1793" s="235" t="s">
        <v>13</v>
      </c>
      <c r="J1793" s="254" t="s">
        <v>3088</v>
      </c>
      <c r="K1793" s="236">
        <v>44495</v>
      </c>
      <c r="L1793" s="235"/>
      <c r="M1793" s="237">
        <f>4*60</f>
        <v>240</v>
      </c>
      <c r="N1793" s="237">
        <f>MONTH(Tableau13[[#This Row],[Date fin intervention]])</f>
        <v>10</v>
      </c>
      <c r="O1793" s="237">
        <f>YEAR(Tableau13[[#This Row],[Date fin intervention]])</f>
        <v>2021</v>
      </c>
      <c r="P1793" s="235"/>
    </row>
    <row r="1794" spans="1:16">
      <c r="A1794" s="232">
        <v>44495</v>
      </c>
      <c r="B1794" s="233">
        <v>700</v>
      </c>
      <c r="C1794" s="234" t="str">
        <f>IF(ISNA(VLOOKUP(Tableau13[[#This Row],[Code machine]],'CODE mchn'!$A$4:$C$170,2,0)),"",VLOOKUP(Tableau13[[#This Row],[Code machine]],'CODE mchn'!$A$4:$C$170,2,0))</f>
        <v>Béton</v>
      </c>
      <c r="D1794" s="235" t="str">
        <f>IF(ISNA(VLOOKUP(Tableau13[[#This Row],[Code machine]],'CODE mchn'!$A$4:$C$170,3,0)),"",VLOOKUP(Tableau13[[#This Row],[Code machine]],'CODE mchn'!$A$4:$C$170,3,0))</f>
        <v>Poyatos 1</v>
      </c>
      <c r="E1794" s="105">
        <v>25851</v>
      </c>
      <c r="F1794" s="36"/>
      <c r="G1794" s="235" t="s">
        <v>185</v>
      </c>
      <c r="H1794" s="235" t="s">
        <v>3155</v>
      </c>
      <c r="I1794" s="235" t="s">
        <v>13</v>
      </c>
      <c r="J1794" s="254" t="s">
        <v>3156</v>
      </c>
      <c r="K1794" s="236">
        <v>44495</v>
      </c>
      <c r="L1794" s="235"/>
      <c r="M1794" s="237">
        <f>60*2.5</f>
        <v>150</v>
      </c>
      <c r="N1794" s="237">
        <f>MONTH(Tableau13[[#This Row],[Date fin intervention]])</f>
        <v>10</v>
      </c>
      <c r="O1794" s="237">
        <f>YEAR(Tableau13[[#This Row],[Date fin intervention]])</f>
        <v>2021</v>
      </c>
      <c r="P1794" s="235"/>
    </row>
    <row r="1795" spans="1:16">
      <c r="A1795" s="232">
        <v>44497</v>
      </c>
      <c r="B1795" s="233">
        <v>800</v>
      </c>
      <c r="C1795" s="234" t="str">
        <f>IF(ISNA(VLOOKUP(Tableau13[[#This Row],[Code machine]],'CODE mchn'!$A$4:$C$170,2,0)),"",VLOOKUP(Tableau13[[#This Row],[Code machine]],'CODE mchn'!$A$4:$C$170,2,0))</f>
        <v>Béton</v>
      </c>
      <c r="D1795" s="235" t="str">
        <f>IF(ISNA(VLOOKUP(Tableau13[[#This Row],[Code machine]],'CODE mchn'!$A$4:$C$170,3,0)),"",VLOOKUP(Tableau13[[#This Row],[Code machine]],'CODE mchn'!$A$4:$C$170,3,0))</f>
        <v>Poyatos 2</v>
      </c>
      <c r="E1795" s="105">
        <v>15945</v>
      </c>
      <c r="F1795" s="36"/>
      <c r="G1795" s="235" t="s">
        <v>213</v>
      </c>
      <c r="H1795" s="235" t="s">
        <v>1134</v>
      </c>
      <c r="I1795" s="235" t="s">
        <v>13</v>
      </c>
      <c r="J1795" s="254" t="s">
        <v>3137</v>
      </c>
      <c r="K1795" s="236">
        <v>44497</v>
      </c>
      <c r="L1795" s="235"/>
      <c r="M1795" s="237">
        <v>120</v>
      </c>
      <c r="N1795" s="237">
        <f>MONTH(Tableau13[[#This Row],[Date fin intervention]])</f>
        <v>10</v>
      </c>
      <c r="O1795" s="237">
        <f>YEAR(Tableau13[[#This Row],[Date fin intervention]])</f>
        <v>2021</v>
      </c>
      <c r="P1795" s="235"/>
    </row>
    <row r="1796" spans="1:16">
      <c r="A1796" s="232">
        <v>44497</v>
      </c>
      <c r="B1796" s="233">
        <v>800</v>
      </c>
      <c r="C1796" s="234" t="str">
        <f>IF(ISNA(VLOOKUP(Tableau13[[#This Row],[Code machine]],'CODE mchn'!$A$4:$C$170,2,0)),"",VLOOKUP(Tableau13[[#This Row],[Code machine]],'CODE mchn'!$A$4:$C$170,2,0))</f>
        <v>Béton</v>
      </c>
      <c r="D1796" s="235" t="str">
        <f>IF(ISNA(VLOOKUP(Tableau13[[#This Row],[Code machine]],'CODE mchn'!$A$4:$C$170,3,0)),"",VLOOKUP(Tableau13[[#This Row],[Code machine]],'CODE mchn'!$A$4:$C$170,3,0))</f>
        <v>Poyatos 2</v>
      </c>
      <c r="E1796" s="105">
        <v>15946</v>
      </c>
      <c r="F1796" s="36"/>
      <c r="G1796" s="235" t="s">
        <v>128</v>
      </c>
      <c r="H1796" s="235" t="s">
        <v>3138</v>
      </c>
      <c r="I1796" s="235" t="s">
        <v>13</v>
      </c>
      <c r="J1796" s="254" t="s">
        <v>593</v>
      </c>
      <c r="K1796" s="236">
        <v>44497</v>
      </c>
      <c r="L1796" s="235"/>
      <c r="M1796" s="237">
        <v>60</v>
      </c>
      <c r="N1796" s="237">
        <f>MONTH(Tableau13[[#This Row],[Date fin intervention]])</f>
        <v>10</v>
      </c>
      <c r="O1796" s="237">
        <f>YEAR(Tableau13[[#This Row],[Date fin intervention]])</f>
        <v>2021</v>
      </c>
      <c r="P1796" s="235"/>
    </row>
    <row r="1797" spans="1:16" ht="28.5">
      <c r="A1797" s="104">
        <v>44497</v>
      </c>
      <c r="B1797" s="105">
        <v>560</v>
      </c>
      <c r="C1797" s="106" t="str">
        <f>IF(ISNA(VLOOKUP(Tableau13[[#This Row],[Code machine]],'CODE mchn'!$A$4:$C$170,2,0)),"",VLOOKUP(Tableau13[[#This Row],[Code machine]],'CODE mchn'!$A$4:$C$170,2,0))</f>
        <v>Acier</v>
      </c>
      <c r="D1797" s="36" t="str">
        <f>IF(ISNA(VLOOKUP(Tableau13[[#This Row],[Code machine]],'CODE mchn'!$A$4:$C$170,3,0)),"",VLOOKUP(Tableau13[[#This Row],[Code machine]],'CODE mchn'!$A$4:$C$170,3,0))</f>
        <v>Schlatter</v>
      </c>
      <c r="E1797" s="105">
        <v>15830</v>
      </c>
      <c r="F1797" s="36"/>
      <c r="G1797" s="36" t="s">
        <v>3150</v>
      </c>
      <c r="H1797" s="36" t="s">
        <v>3151</v>
      </c>
      <c r="I1797" s="36" t="s">
        <v>13</v>
      </c>
      <c r="J1797" s="252" t="s">
        <v>3152</v>
      </c>
      <c r="K1797" s="71">
        <v>44497</v>
      </c>
      <c r="L1797" s="36" t="s">
        <v>3166</v>
      </c>
      <c r="M1797" s="108">
        <f>8*60</f>
        <v>480</v>
      </c>
      <c r="N1797" s="108">
        <f>MONTH(Tableau13[[#This Row],[Date fin intervention]])</f>
        <v>10</v>
      </c>
      <c r="O1797" s="108">
        <f>YEAR(Tableau13[[#This Row],[Date fin intervention]])</f>
        <v>2021</v>
      </c>
      <c r="P1797" s="36"/>
    </row>
    <row r="1798" spans="1:16">
      <c r="A1798" s="232">
        <v>44498</v>
      </c>
      <c r="B1798" s="233">
        <v>700</v>
      </c>
      <c r="C1798" s="234" t="str">
        <f>IF(ISNA(VLOOKUP(Tableau13[[#This Row],[Code machine]],'CODE mchn'!$A$4:$C$170,2,0)),"",VLOOKUP(Tableau13[[#This Row],[Code machine]],'CODE mchn'!$A$4:$C$170,2,0))</f>
        <v>Béton</v>
      </c>
      <c r="D1798" s="235" t="str">
        <f>IF(ISNA(VLOOKUP(Tableau13[[#This Row],[Code machine]],'CODE mchn'!$A$4:$C$170,3,0)),"",VLOOKUP(Tableau13[[#This Row],[Code machine]],'CODE mchn'!$A$4:$C$170,3,0))</f>
        <v>Poyatos 1</v>
      </c>
      <c r="E1798" s="105">
        <v>16154</v>
      </c>
      <c r="F1798" s="36"/>
      <c r="G1798" s="235" t="s">
        <v>2398</v>
      </c>
      <c r="H1798" s="235" t="s">
        <v>3143</v>
      </c>
      <c r="I1798" s="235" t="s">
        <v>101</v>
      </c>
      <c r="J1798" s="254" t="s">
        <v>3144</v>
      </c>
      <c r="K1798" s="236">
        <v>44498</v>
      </c>
      <c r="L1798" s="235"/>
      <c r="M1798" s="237">
        <f>4*60</f>
        <v>240</v>
      </c>
      <c r="N1798" s="237">
        <f>MONTH(Tableau13[[#This Row],[Date fin intervention]])</f>
        <v>10</v>
      </c>
      <c r="O1798" s="237">
        <f>YEAR(Tableau13[[#This Row],[Date fin intervention]])</f>
        <v>2021</v>
      </c>
      <c r="P1798" s="235"/>
    </row>
    <row r="1799" spans="1:16">
      <c r="A1799" s="232">
        <v>44499</v>
      </c>
      <c r="B1799" s="233">
        <v>800</v>
      </c>
      <c r="C1799" s="234" t="str">
        <f>IF(ISNA(VLOOKUP(Tableau13[[#This Row],[Code machine]],'CODE mchn'!$A$4:$C$170,2,0)),"",VLOOKUP(Tableau13[[#This Row],[Code machine]],'CODE mchn'!$A$4:$C$170,2,0))</f>
        <v>Béton</v>
      </c>
      <c r="D1799" s="235" t="str">
        <f>IF(ISNA(VLOOKUP(Tableau13[[#This Row],[Code machine]],'CODE mchn'!$A$4:$C$170,3,0)),"",VLOOKUP(Tableau13[[#This Row],[Code machine]],'CODE mchn'!$A$4:$C$170,3,0))</f>
        <v>Poyatos 2</v>
      </c>
      <c r="E1799" s="105">
        <v>15947</v>
      </c>
      <c r="F1799" s="36"/>
      <c r="G1799" s="235" t="s">
        <v>213</v>
      </c>
      <c r="H1799" s="235" t="s">
        <v>3145</v>
      </c>
      <c r="I1799" s="235" t="s">
        <v>13</v>
      </c>
      <c r="J1799" s="254" t="s">
        <v>3146</v>
      </c>
      <c r="K1799" s="236">
        <v>44499</v>
      </c>
      <c r="L1799" s="235"/>
      <c r="M1799" s="237">
        <f>3*60</f>
        <v>180</v>
      </c>
      <c r="N1799" s="237">
        <f>MONTH(Tableau13[[#This Row],[Date fin intervention]])</f>
        <v>10</v>
      </c>
      <c r="O1799" s="237">
        <f>YEAR(Tableau13[[#This Row],[Date fin intervention]])</f>
        <v>2021</v>
      </c>
      <c r="P1799" s="235"/>
    </row>
    <row r="1800" spans="1:16" ht="57">
      <c r="A1800" s="238">
        <v>44500</v>
      </c>
      <c r="B1800" s="239">
        <v>700</v>
      </c>
      <c r="C1800" s="240" t="str">
        <f>IF(ISNA(VLOOKUP(Tableau13[[#This Row],[Code machine]],'CODE mchn'!$A$4:$C$170,2,0)),"",VLOOKUP(Tableau13[[#This Row],[Code machine]],'CODE mchn'!$A$4:$C$170,2,0))</f>
        <v>Béton</v>
      </c>
      <c r="D1800" s="241" t="str">
        <f>IF(ISNA(VLOOKUP(Tableau13[[#This Row],[Code machine]],'CODE mchn'!$A$4:$C$170,3,0)),"",VLOOKUP(Tableau13[[#This Row],[Code machine]],'CODE mchn'!$A$4:$C$170,3,0))</f>
        <v>Poyatos 1</v>
      </c>
      <c r="E1800" s="239">
        <v>25812</v>
      </c>
      <c r="F1800" s="241"/>
      <c r="G1800" s="241" t="s">
        <v>3633</v>
      </c>
      <c r="H1800" s="241" t="s">
        <v>3634</v>
      </c>
      <c r="I1800" s="241" t="s">
        <v>3287</v>
      </c>
      <c r="J1800" s="249" t="s">
        <v>3635</v>
      </c>
      <c r="K1800" s="242">
        <v>44500</v>
      </c>
      <c r="L1800" s="241"/>
      <c r="M1800" s="243">
        <v>420</v>
      </c>
      <c r="N1800" s="243">
        <f>MONTH(Tableau13[[#This Row],[Date fin intervention]])</f>
        <v>10</v>
      </c>
      <c r="O1800" s="243">
        <f>YEAR(Tableau13[[#This Row],[Date fin intervention]])</f>
        <v>2021</v>
      </c>
      <c r="P1800" s="241"/>
    </row>
    <row r="1801" spans="1:16" ht="28.5">
      <c r="A1801" s="232">
        <v>44501</v>
      </c>
      <c r="B1801" s="233">
        <v>584</v>
      </c>
      <c r="C1801" s="234" t="str">
        <f>IF(ISNA(VLOOKUP(Tableau13[[#This Row],[Code machine]],'CODE mchn'!$A$4:$C$170,2,0)),"",VLOOKUP(Tableau13[[#This Row],[Code machine]],'CODE mchn'!$A$4:$C$170,2,0))</f>
        <v>Ponts roulants</v>
      </c>
      <c r="D1801" s="235" t="str">
        <f>IF(ISNA(VLOOKUP(Tableau13[[#This Row],[Code machine]],'CODE mchn'!$A$4:$C$170,3,0)),"",VLOOKUP(Tableau13[[#This Row],[Code machine]],'CODE mchn'!$A$4:$C$170,3,0))</f>
        <v>Pont roulant Demag 3,2T (teurema2)</v>
      </c>
      <c r="E1801" s="105">
        <v>25951</v>
      </c>
      <c r="F1801" s="36"/>
      <c r="G1801" s="235" t="s">
        <v>446</v>
      </c>
      <c r="H1801" s="235" t="s">
        <v>3176</v>
      </c>
      <c r="I1801" s="235" t="s">
        <v>13</v>
      </c>
      <c r="J1801" s="254" t="s">
        <v>3177</v>
      </c>
      <c r="K1801" s="236">
        <v>44501</v>
      </c>
      <c r="L1801" s="235"/>
      <c r="M1801" s="237">
        <v>60</v>
      </c>
      <c r="N1801" s="237">
        <f>MONTH(Tableau13[[#This Row],[Date fin intervention]])</f>
        <v>11</v>
      </c>
      <c r="O1801" s="237">
        <f>YEAR(Tableau13[[#This Row],[Date fin intervention]])</f>
        <v>2021</v>
      </c>
      <c r="P1801" s="235"/>
    </row>
    <row r="1802" spans="1:16" ht="28.5">
      <c r="A1802" s="232">
        <v>44501</v>
      </c>
      <c r="B1802" s="233">
        <v>581</v>
      </c>
      <c r="C1802" s="234" t="str">
        <f>IF(ISNA(VLOOKUP(Tableau13[[#This Row],[Code machine]],'CODE mchn'!$A$4:$C$170,2,0)),"",VLOOKUP(Tableau13[[#This Row],[Code machine]],'CODE mchn'!$A$4:$C$170,2,0))</f>
        <v>Acier</v>
      </c>
      <c r="D1802" s="235" t="str">
        <f>IF(ISNA(VLOOKUP(Tableau13[[#This Row],[Code machine]],'CODE mchn'!$A$4:$C$170,3,0)),"",VLOOKUP(Tableau13[[#This Row],[Code machine]],'CODE mchn'!$A$4:$C$170,3,0))</f>
        <v>Teurema 1</v>
      </c>
      <c r="E1802" s="105">
        <v>25903</v>
      </c>
      <c r="F1802" s="36"/>
      <c r="G1802" s="235" t="s">
        <v>645</v>
      </c>
      <c r="H1802" s="235" t="s">
        <v>3181</v>
      </c>
      <c r="I1802" s="235" t="s">
        <v>13</v>
      </c>
      <c r="J1802" s="254" t="s">
        <v>3182</v>
      </c>
      <c r="K1802" s="236">
        <v>44501</v>
      </c>
      <c r="L1802" s="235"/>
      <c r="M1802" s="237">
        <v>90</v>
      </c>
      <c r="N1802" s="237">
        <f>MONTH(Tableau13[[#This Row],[Date fin intervention]])</f>
        <v>11</v>
      </c>
      <c r="O1802" s="237">
        <f>YEAR(Tableau13[[#This Row],[Date fin intervention]])</f>
        <v>2021</v>
      </c>
      <c r="P1802" s="235"/>
    </row>
    <row r="1803" spans="1:16">
      <c r="A1803" s="232">
        <v>44501</v>
      </c>
      <c r="B1803" s="233">
        <v>590</v>
      </c>
      <c r="C1803" s="234" t="str">
        <f>IF(ISNA(VLOOKUP(Tableau13[[#This Row],[Code machine]],'CODE mchn'!$A$4:$C$170,2,0)),"",VLOOKUP(Tableau13[[#This Row],[Code machine]],'CODE mchn'!$A$4:$C$170,2,0))</f>
        <v>Acier</v>
      </c>
      <c r="D1803" s="235" t="str">
        <f>IF(ISNA(VLOOKUP(Tableau13[[#This Row],[Code machine]],'CODE mchn'!$A$4:$C$170,3,0)),"",VLOOKUP(Tableau13[[#This Row],[Code machine]],'CODE mchn'!$A$4:$C$170,3,0))</f>
        <v>Teurema 3</v>
      </c>
      <c r="E1803" s="105">
        <v>25904</v>
      </c>
      <c r="F1803" s="36"/>
      <c r="G1803" s="235" t="s">
        <v>3183</v>
      </c>
      <c r="H1803" s="235" t="s">
        <v>1625</v>
      </c>
      <c r="I1803" s="235" t="s">
        <v>13</v>
      </c>
      <c r="J1803" s="254" t="s">
        <v>1705</v>
      </c>
      <c r="K1803" s="236">
        <v>44501</v>
      </c>
      <c r="L1803" s="235"/>
      <c r="M1803" s="237">
        <f>60*3</f>
        <v>180</v>
      </c>
      <c r="N1803" s="237">
        <f>MONTH(Tableau13[[#This Row],[Date fin intervention]])</f>
        <v>11</v>
      </c>
      <c r="O1803" s="237">
        <f>YEAR(Tableau13[[#This Row],[Date fin intervention]])</f>
        <v>2021</v>
      </c>
      <c r="P1803" s="235"/>
    </row>
    <row r="1804" spans="1:16">
      <c r="A1804" s="232">
        <v>44501</v>
      </c>
      <c r="B1804" s="233">
        <v>581</v>
      </c>
      <c r="C1804" s="234" t="str">
        <f>IF(ISNA(VLOOKUP(Tableau13[[#This Row],[Code machine]],'CODE mchn'!$A$4:$C$170,2,0)),"",VLOOKUP(Tableau13[[#This Row],[Code machine]],'CODE mchn'!$A$4:$C$170,2,0))</f>
        <v>Acier</v>
      </c>
      <c r="D1804" s="235" t="str">
        <f>IF(ISNA(VLOOKUP(Tableau13[[#This Row],[Code machine]],'CODE mchn'!$A$4:$C$170,3,0)),"",VLOOKUP(Tableau13[[#This Row],[Code machine]],'CODE mchn'!$A$4:$C$170,3,0))</f>
        <v>Teurema 1</v>
      </c>
      <c r="E1804" s="105">
        <v>25905</v>
      </c>
      <c r="F1804" s="36"/>
      <c r="G1804" s="235" t="s">
        <v>770</v>
      </c>
      <c r="H1804" s="235" t="s">
        <v>3184</v>
      </c>
      <c r="I1804" s="235" t="s">
        <v>13</v>
      </c>
      <c r="J1804" s="254" t="s">
        <v>3185</v>
      </c>
      <c r="K1804" s="236">
        <v>44501</v>
      </c>
      <c r="L1804" s="235"/>
      <c r="M1804" s="237">
        <v>60</v>
      </c>
      <c r="N1804" s="237">
        <f>MONTH(Tableau13[[#This Row],[Date fin intervention]])</f>
        <v>11</v>
      </c>
      <c r="O1804" s="237">
        <f>YEAR(Tableau13[[#This Row],[Date fin intervention]])</f>
        <v>2021</v>
      </c>
      <c r="P1804" s="235"/>
    </row>
    <row r="1805" spans="1:16">
      <c r="A1805" s="232">
        <v>44501</v>
      </c>
      <c r="B1805" s="233">
        <v>560</v>
      </c>
      <c r="C1805" s="234" t="str">
        <f>IF(ISNA(VLOOKUP(Tableau13[[#This Row],[Code machine]],'CODE mchn'!$A$4:$C$170,2,0)),"",VLOOKUP(Tableau13[[#This Row],[Code machine]],'CODE mchn'!$A$4:$C$170,2,0))</f>
        <v>Acier</v>
      </c>
      <c r="D1805" s="235" t="str">
        <f>IF(ISNA(VLOOKUP(Tableau13[[#This Row],[Code machine]],'CODE mchn'!$A$4:$C$170,3,0)),"",VLOOKUP(Tableau13[[#This Row],[Code machine]],'CODE mchn'!$A$4:$C$170,3,0))</f>
        <v>Schlatter</v>
      </c>
      <c r="E1805" s="105">
        <v>25806</v>
      </c>
      <c r="F1805" s="36"/>
      <c r="G1805" s="235" t="s">
        <v>3217</v>
      </c>
      <c r="H1805" s="235" t="s">
        <v>3218</v>
      </c>
      <c r="I1805" s="235" t="s">
        <v>13</v>
      </c>
      <c r="J1805" s="254" t="s">
        <v>3219</v>
      </c>
      <c r="K1805" s="236">
        <v>44501</v>
      </c>
      <c r="L1805" s="235"/>
      <c r="M1805" s="237">
        <v>120</v>
      </c>
      <c r="N1805" s="237">
        <f>MONTH(Tableau13[[#This Row],[Date fin intervention]])</f>
        <v>11</v>
      </c>
      <c r="O1805" s="237">
        <f>YEAR(Tableau13[[#This Row],[Date fin intervention]])</f>
        <v>2021</v>
      </c>
      <c r="P1805" s="235"/>
    </row>
    <row r="1806" spans="1:16">
      <c r="A1806" s="232">
        <v>44501</v>
      </c>
      <c r="B1806" s="233">
        <v>582</v>
      </c>
      <c r="C1806" s="234" t="str">
        <f>IF(ISNA(VLOOKUP(Tableau13[[#This Row],[Code machine]],'CODE mchn'!$A$4:$C$170,2,0)),"",VLOOKUP(Tableau13[[#This Row],[Code machine]],'CODE mchn'!$A$4:$C$170,2,0))</f>
        <v>Acier</v>
      </c>
      <c r="D1806" s="235" t="str">
        <f>IF(ISNA(VLOOKUP(Tableau13[[#This Row],[Code machine]],'CODE mchn'!$A$4:$C$170,3,0)),"",VLOOKUP(Tableau13[[#This Row],[Code machine]],'CODE mchn'!$A$4:$C$170,3,0))</f>
        <v>Teurema 2</v>
      </c>
      <c r="E1806" s="105" t="s">
        <v>3248</v>
      </c>
      <c r="F1806" s="36"/>
      <c r="G1806" s="235" t="s">
        <v>3243</v>
      </c>
      <c r="H1806" s="235" t="s">
        <v>3244</v>
      </c>
      <c r="I1806" s="235" t="s">
        <v>13</v>
      </c>
      <c r="J1806" s="254" t="s">
        <v>3245</v>
      </c>
      <c r="K1806" s="236">
        <v>44527</v>
      </c>
      <c r="L1806" s="235"/>
      <c r="M1806" s="237">
        <f>8*20*60</f>
        <v>9600</v>
      </c>
      <c r="N1806" s="237">
        <f>MONTH(Tableau13[[#This Row],[Date fin intervention]])</f>
        <v>11</v>
      </c>
      <c r="O1806" s="237">
        <f>YEAR(Tableau13[[#This Row],[Date fin intervention]])</f>
        <v>2021</v>
      </c>
      <c r="P1806" s="235"/>
    </row>
    <row r="1807" spans="1:16">
      <c r="A1807" s="232">
        <v>44501</v>
      </c>
      <c r="B1807" s="233">
        <v>570</v>
      </c>
      <c r="C1807" s="234" t="str">
        <f>IF(ISNA(VLOOKUP(Tableau13[[#This Row],[Code machine]],'CODE mchn'!$A$4:$C$170,2,0)),"",VLOOKUP(Tableau13[[#This Row],[Code machine]],'CODE mchn'!$A$4:$C$170,2,0))</f>
        <v>Acier</v>
      </c>
      <c r="D1807" s="235" t="str">
        <f>IF(ISNA(VLOOKUP(Tableau13[[#This Row],[Code machine]],'CODE mchn'!$A$4:$C$170,3,0)),"",VLOOKUP(Tableau13[[#This Row],[Code machine]],'CODE mchn'!$A$4:$C$170,3,0))</f>
        <v>Sigmatic</v>
      </c>
      <c r="E1807" s="105" t="s">
        <v>3248</v>
      </c>
      <c r="F1807" s="36"/>
      <c r="G1807" s="235" t="s">
        <v>3246</v>
      </c>
      <c r="H1807" s="235" t="s">
        <v>3247</v>
      </c>
      <c r="I1807" s="235" t="s">
        <v>13</v>
      </c>
      <c r="J1807" s="254" t="s">
        <v>1082</v>
      </c>
      <c r="K1807" s="236">
        <v>44517</v>
      </c>
      <c r="L1807" s="235"/>
      <c r="M1807" s="237">
        <f>8*60*12</f>
        <v>5760</v>
      </c>
      <c r="N1807" s="237">
        <f>MONTH(Tableau13[[#This Row],[Date fin intervention]])</f>
        <v>11</v>
      </c>
      <c r="O1807" s="237">
        <f>YEAR(Tableau13[[#This Row],[Date fin intervention]])</f>
        <v>2021</v>
      </c>
      <c r="P1807" s="235"/>
    </row>
    <row r="1808" spans="1:16" ht="28.5">
      <c r="A1808" s="238">
        <v>44501</v>
      </c>
      <c r="B1808" s="239">
        <v>584</v>
      </c>
      <c r="C1808" s="240" t="str">
        <f>IF(ISNA(VLOOKUP(Tableau13[[#This Row],[Code machine]],'CODE mchn'!$A$4:$C$170,2,0)),"",VLOOKUP(Tableau13[[#This Row],[Code machine]],'CODE mchn'!$A$4:$C$170,2,0))</f>
        <v>Ponts roulants</v>
      </c>
      <c r="D1808" s="241" t="str">
        <f>IF(ISNA(VLOOKUP(Tableau13[[#This Row],[Code machine]],'CODE mchn'!$A$4:$C$170,3,0)),"",VLOOKUP(Tableau13[[#This Row],[Code machine]],'CODE mchn'!$A$4:$C$170,3,0))</f>
        <v>Pont roulant Demag 3,2T (teurema2)</v>
      </c>
      <c r="E1808" s="239">
        <v>25951</v>
      </c>
      <c r="F1808" s="241"/>
      <c r="G1808" s="241" t="s">
        <v>3450</v>
      </c>
      <c r="H1808" s="241" t="s">
        <v>3475</v>
      </c>
      <c r="I1808" s="241" t="s">
        <v>3287</v>
      </c>
      <c r="J1808" s="249" t="s">
        <v>3451</v>
      </c>
      <c r="K1808" s="242">
        <v>44501</v>
      </c>
      <c r="L1808" s="241"/>
      <c r="M1808" s="243">
        <v>30</v>
      </c>
      <c r="N1808" s="243">
        <f>MONTH(Tableau13[[#This Row],[Date fin intervention]])</f>
        <v>11</v>
      </c>
      <c r="O1808" s="243">
        <f>YEAR(Tableau13[[#This Row],[Date fin intervention]])</f>
        <v>2021</v>
      </c>
      <c r="P1808" s="241"/>
    </row>
    <row r="1809" spans="1:16" ht="28.5">
      <c r="A1809" s="238">
        <v>44501</v>
      </c>
      <c r="B1809" s="239">
        <v>560</v>
      </c>
      <c r="C1809" s="240" t="str">
        <f>IF(ISNA(VLOOKUP(Tableau13[[#This Row],[Code machine]],'CODE mchn'!$A$4:$C$170,2,0)),"",VLOOKUP(Tableau13[[#This Row],[Code machine]],'CODE mchn'!$A$4:$C$170,2,0))</f>
        <v>Acier</v>
      </c>
      <c r="D1809" s="241" t="str">
        <f>IF(ISNA(VLOOKUP(Tableau13[[#This Row],[Code machine]],'CODE mchn'!$A$4:$C$170,3,0)),"",VLOOKUP(Tableau13[[#This Row],[Code machine]],'CODE mchn'!$A$4:$C$170,3,0))</f>
        <v>Schlatter</v>
      </c>
      <c r="E1809" s="239">
        <v>25751</v>
      </c>
      <c r="F1809" s="241"/>
      <c r="G1809" s="241" t="s">
        <v>3530</v>
      </c>
      <c r="H1809" s="241" t="s">
        <v>3531</v>
      </c>
      <c r="I1809" s="241" t="s">
        <v>3287</v>
      </c>
      <c r="J1809" s="249" t="s">
        <v>3532</v>
      </c>
      <c r="K1809" s="242">
        <v>44501</v>
      </c>
      <c r="L1809" s="241"/>
      <c r="M1809" s="243">
        <v>90</v>
      </c>
      <c r="N1809" s="243">
        <f>MONTH(Tableau13[[#This Row],[Date fin intervention]])</f>
        <v>11</v>
      </c>
      <c r="O1809" s="243">
        <f>YEAR(Tableau13[[#This Row],[Date fin intervention]])</f>
        <v>2021</v>
      </c>
      <c r="P1809" s="241"/>
    </row>
    <row r="1810" spans="1:16">
      <c r="A1810" s="238">
        <v>44501</v>
      </c>
      <c r="B1810" s="239">
        <v>573</v>
      </c>
      <c r="C1810" s="240" t="str">
        <f>IF(ISNA(VLOOKUP(Tableau13[[#This Row],[Code machine]],'CODE mchn'!$A$4:$C$170,2,0)),"",VLOOKUP(Tableau13[[#This Row],[Code machine]],'CODE mchn'!$A$4:$C$170,2,0))</f>
        <v>Ponts roulants</v>
      </c>
      <c r="D1810" s="241" t="str">
        <f>IF(ISNA(VLOOKUP(Tableau13[[#This Row],[Code machine]],'CODE mchn'!$A$4:$C$170,3,0)),"",VLOOKUP(Tableau13[[#This Row],[Code machine]],'CODE mchn'!$A$4:$C$170,3,0))</f>
        <v xml:space="preserve">Pont roulant Demag 1 3,5T </v>
      </c>
      <c r="E1810" s="239">
        <v>25752</v>
      </c>
      <c r="F1810" s="241"/>
      <c r="G1810" s="241" t="s">
        <v>3533</v>
      </c>
      <c r="H1810" s="241" t="s">
        <v>3535</v>
      </c>
      <c r="I1810" s="241" t="s">
        <v>3287</v>
      </c>
      <c r="J1810" s="249" t="s">
        <v>3534</v>
      </c>
      <c r="K1810" s="242">
        <v>44501</v>
      </c>
      <c r="L1810" s="241"/>
      <c r="M1810" s="243">
        <v>15</v>
      </c>
      <c r="N1810" s="243">
        <f>MONTH(Tableau13[[#This Row],[Date fin intervention]])</f>
        <v>11</v>
      </c>
      <c r="O1810" s="243">
        <f>YEAR(Tableau13[[#This Row],[Date fin intervention]])</f>
        <v>2021</v>
      </c>
      <c r="P1810" s="241"/>
    </row>
    <row r="1811" spans="1:16">
      <c r="A1811" s="238">
        <v>44501</v>
      </c>
      <c r="B1811" s="239">
        <v>581</v>
      </c>
      <c r="C1811" s="240" t="str">
        <f>IF(ISNA(VLOOKUP(Tableau13[[#This Row],[Code machine]],'CODE mchn'!$A$4:$C$170,2,0)),"",VLOOKUP(Tableau13[[#This Row],[Code machine]],'CODE mchn'!$A$4:$C$170,2,0))</f>
        <v>Acier</v>
      </c>
      <c r="D1811" s="241" t="str">
        <f>IF(ISNA(VLOOKUP(Tableau13[[#This Row],[Code machine]],'CODE mchn'!$A$4:$C$170,3,0)),"",VLOOKUP(Tableau13[[#This Row],[Code machine]],'CODE mchn'!$A$4:$C$170,3,0))</f>
        <v>Teurema 1</v>
      </c>
      <c r="E1811" s="239">
        <v>25759</v>
      </c>
      <c r="F1811" s="241"/>
      <c r="G1811" s="241" t="s">
        <v>3554</v>
      </c>
      <c r="H1811" s="241" t="s">
        <v>3555</v>
      </c>
      <c r="I1811" s="241" t="s">
        <v>3287</v>
      </c>
      <c r="J1811" s="249" t="s">
        <v>3556</v>
      </c>
      <c r="K1811" s="242">
        <v>44501</v>
      </c>
      <c r="L1811" s="241"/>
      <c r="M1811" s="243">
        <v>20</v>
      </c>
      <c r="N1811" s="243">
        <f>MONTH(Tableau13[[#This Row],[Date fin intervention]])</f>
        <v>11</v>
      </c>
      <c r="O1811" s="243">
        <f>YEAR(Tableau13[[#This Row],[Date fin intervention]])</f>
        <v>2021</v>
      </c>
      <c r="P1811" s="241"/>
    </row>
    <row r="1812" spans="1:16" ht="28.5">
      <c r="A1812" s="238">
        <v>44501</v>
      </c>
      <c r="B1812" s="239">
        <v>560</v>
      </c>
      <c r="C1812" s="240" t="str">
        <f>IF(ISNA(VLOOKUP(Tableau13[[#This Row],[Code machine]],'CODE mchn'!$A$4:$C$170,2,0)),"",VLOOKUP(Tableau13[[#This Row],[Code machine]],'CODE mchn'!$A$4:$C$170,2,0))</f>
        <v>Acier</v>
      </c>
      <c r="D1812" s="241" t="str">
        <f>IF(ISNA(VLOOKUP(Tableau13[[#This Row],[Code machine]],'CODE mchn'!$A$4:$C$170,3,0)),"",VLOOKUP(Tableau13[[#This Row],[Code machine]],'CODE mchn'!$A$4:$C$170,3,0))</f>
        <v>Schlatter</v>
      </c>
      <c r="E1812" s="239">
        <v>25806</v>
      </c>
      <c r="F1812" s="241"/>
      <c r="G1812" s="241" t="s">
        <v>3619</v>
      </c>
      <c r="H1812" s="241" t="s">
        <v>3620</v>
      </c>
      <c r="I1812" s="241" t="s">
        <v>3621</v>
      </c>
      <c r="J1812" s="249" t="s">
        <v>3622</v>
      </c>
      <c r="K1812" s="242">
        <v>44501</v>
      </c>
      <c r="L1812" s="241"/>
      <c r="M1812" s="243">
        <v>120</v>
      </c>
      <c r="N1812" s="243">
        <f>MONTH(Tableau13[[#This Row],[Date fin intervention]])</f>
        <v>11</v>
      </c>
      <c r="O1812" s="243">
        <f>YEAR(Tableau13[[#This Row],[Date fin intervention]])</f>
        <v>2021</v>
      </c>
      <c r="P1812" s="241"/>
    </row>
    <row r="1813" spans="1:16" ht="28.5">
      <c r="A1813" s="232">
        <v>44502</v>
      </c>
      <c r="B1813" s="233">
        <v>800</v>
      </c>
      <c r="C1813" s="234" t="str">
        <f>IF(ISNA(VLOOKUP(Tableau13[[#This Row],[Code machine]],'CODE mchn'!$A$4:$C$170,2,0)),"",VLOOKUP(Tableau13[[#This Row],[Code machine]],'CODE mchn'!$A$4:$C$170,2,0))</f>
        <v>Béton</v>
      </c>
      <c r="D1813" s="235" t="str">
        <f>IF(ISNA(VLOOKUP(Tableau13[[#This Row],[Code machine]],'CODE mchn'!$A$4:$C$170,3,0)),"",VLOOKUP(Tableau13[[#This Row],[Code machine]],'CODE mchn'!$A$4:$C$170,3,0))</f>
        <v>Poyatos 2</v>
      </c>
      <c r="E1813" s="105">
        <v>25852</v>
      </c>
      <c r="F1813" s="36"/>
      <c r="G1813" s="235" t="s">
        <v>49</v>
      </c>
      <c r="H1813" s="235" t="s">
        <v>3157</v>
      </c>
      <c r="I1813" s="235" t="s">
        <v>13</v>
      </c>
      <c r="J1813" s="254" t="s">
        <v>3158</v>
      </c>
      <c r="K1813" s="236">
        <v>44502</v>
      </c>
      <c r="L1813" s="235"/>
      <c r="M1813" s="237">
        <v>120</v>
      </c>
      <c r="N1813" s="237">
        <f>MONTH(Tableau13[[#This Row],[Date fin intervention]])</f>
        <v>11</v>
      </c>
      <c r="O1813" s="237">
        <f>YEAR(Tableau13[[#This Row],[Date fin intervention]])</f>
        <v>2021</v>
      </c>
      <c r="P1813" s="235"/>
    </row>
    <row r="1814" spans="1:16" ht="28.5">
      <c r="A1814" s="232">
        <v>44502</v>
      </c>
      <c r="B1814" s="233">
        <v>590</v>
      </c>
      <c r="C1814" s="234" t="str">
        <f>IF(ISNA(VLOOKUP(Tableau13[[#This Row],[Code machine]],'CODE mchn'!$A$4:$C$170,2,0)),"",VLOOKUP(Tableau13[[#This Row],[Code machine]],'CODE mchn'!$A$4:$C$170,2,0))</f>
        <v>Acier</v>
      </c>
      <c r="D1814" s="235" t="str">
        <f>IF(ISNA(VLOOKUP(Tableau13[[#This Row],[Code machine]],'CODE mchn'!$A$4:$C$170,3,0)),"",VLOOKUP(Tableau13[[#This Row],[Code machine]],'CODE mchn'!$A$4:$C$170,3,0))</f>
        <v>Teurema 3</v>
      </c>
      <c r="E1814" s="105">
        <v>25952</v>
      </c>
      <c r="F1814" s="36"/>
      <c r="G1814" s="235" t="s">
        <v>1644</v>
      </c>
      <c r="H1814" s="235" t="s">
        <v>3178</v>
      </c>
      <c r="I1814" s="235" t="s">
        <v>13</v>
      </c>
      <c r="J1814" s="254" t="s">
        <v>3179</v>
      </c>
      <c r="K1814" s="236">
        <v>44502</v>
      </c>
      <c r="L1814" s="235"/>
      <c r="M1814" s="237">
        <f>60*8*2*2</f>
        <v>1920</v>
      </c>
      <c r="N1814" s="237">
        <f>MONTH(Tableau13[[#This Row],[Date fin intervention]])</f>
        <v>11</v>
      </c>
      <c r="O1814" s="237">
        <f>YEAR(Tableau13[[#This Row],[Date fin intervention]])</f>
        <v>2021</v>
      </c>
      <c r="P1814" s="235"/>
    </row>
    <row r="1815" spans="1:16">
      <c r="A1815" s="232">
        <v>44502</v>
      </c>
      <c r="B1815" s="233">
        <v>581</v>
      </c>
      <c r="C1815" s="234" t="str">
        <f>IF(ISNA(VLOOKUP(Tableau13[[#This Row],[Code machine]],'CODE mchn'!$A$4:$C$170,2,0)),"",VLOOKUP(Tableau13[[#This Row],[Code machine]],'CODE mchn'!$A$4:$C$170,2,0))</f>
        <v>Acier</v>
      </c>
      <c r="D1815" s="235" t="str">
        <f>IF(ISNA(VLOOKUP(Tableau13[[#This Row],[Code machine]],'CODE mchn'!$A$4:$C$170,3,0)),"",VLOOKUP(Tableau13[[#This Row],[Code machine]],'CODE mchn'!$A$4:$C$170,3,0))</f>
        <v>Teurema 1</v>
      </c>
      <c r="E1815" s="105">
        <v>25804</v>
      </c>
      <c r="F1815" s="36"/>
      <c r="G1815" s="235" t="s">
        <v>70</v>
      </c>
      <c r="H1815" s="235" t="s">
        <v>3214</v>
      </c>
      <c r="I1815" s="235" t="s">
        <v>13</v>
      </c>
      <c r="J1815" s="254" t="s">
        <v>3215</v>
      </c>
      <c r="K1815" s="236">
        <v>44502</v>
      </c>
      <c r="L1815" s="235"/>
      <c r="M1815" s="237">
        <f>4*60</f>
        <v>240</v>
      </c>
      <c r="N1815" s="237">
        <f>MONTH(Tableau13[[#This Row],[Date fin intervention]])</f>
        <v>11</v>
      </c>
      <c r="O1815" s="237">
        <f>YEAR(Tableau13[[#This Row],[Date fin intervention]])</f>
        <v>2021</v>
      </c>
      <c r="P1815" s="235"/>
    </row>
    <row r="1816" spans="1:16">
      <c r="A1816" s="238">
        <v>44502</v>
      </c>
      <c r="B1816" s="239">
        <v>590</v>
      </c>
      <c r="C1816" s="240" t="str">
        <f>IF(ISNA(VLOOKUP(Tableau13[[#This Row],[Code machine]],'CODE mchn'!$A$4:$C$170,2,0)),"",VLOOKUP(Tableau13[[#This Row],[Code machine]],'CODE mchn'!$A$4:$C$170,2,0))</f>
        <v>Acier</v>
      </c>
      <c r="D1816" s="241" t="str">
        <f>IF(ISNA(VLOOKUP(Tableau13[[#This Row],[Code machine]],'CODE mchn'!$A$4:$C$170,3,0)),"",VLOOKUP(Tableau13[[#This Row],[Code machine]],'CODE mchn'!$A$4:$C$170,3,0))</f>
        <v>Teurema 3</v>
      </c>
      <c r="E1816" s="239">
        <v>25952</v>
      </c>
      <c r="F1816" s="241"/>
      <c r="G1816" s="241" t="s">
        <v>3450</v>
      </c>
      <c r="H1816" s="241" t="s">
        <v>3452</v>
      </c>
      <c r="I1816" s="241" t="s">
        <v>3287</v>
      </c>
      <c r="J1816" s="249" t="s">
        <v>3453</v>
      </c>
      <c r="K1816" s="242">
        <v>44502</v>
      </c>
      <c r="L1816" s="241"/>
      <c r="M1816" s="243">
        <v>180</v>
      </c>
      <c r="N1816" s="243">
        <f>MONTH(Tableau13[[#This Row],[Date fin intervention]])</f>
        <v>11</v>
      </c>
      <c r="O1816" s="243">
        <f>YEAR(Tableau13[[#This Row],[Date fin intervention]])</f>
        <v>2021</v>
      </c>
      <c r="P1816" s="241"/>
    </row>
    <row r="1817" spans="1:16" ht="28.5">
      <c r="A1817" s="238">
        <v>44502</v>
      </c>
      <c r="B1817" s="239">
        <v>601</v>
      </c>
      <c r="C1817" s="240" t="str">
        <f>IF(ISNA(VLOOKUP(Tableau13[[#This Row],[Code machine]],'CODE mchn'!$A$4:$C$170,2,0)),"",VLOOKUP(Tableau13[[#This Row],[Code machine]],'CODE mchn'!$A$4:$C$170,2,0))</f>
        <v>Acier</v>
      </c>
      <c r="D1817" s="241" t="str">
        <f>IF(ISNA(VLOOKUP(Tableau13[[#This Row],[Code machine]],'CODE mchn'!$A$4:$C$170,3,0)),"",VLOOKUP(Tableau13[[#This Row],[Code machine]],'CODE mchn'!$A$4:$C$170,3,0))</f>
        <v>TI 9505/9</v>
      </c>
      <c r="E1817" s="239">
        <v>25954</v>
      </c>
      <c r="F1817" s="241"/>
      <c r="G1817" s="241" t="s">
        <v>3454</v>
      </c>
      <c r="H1817" s="241" t="s">
        <v>3455</v>
      </c>
      <c r="I1817" s="241" t="s">
        <v>3287</v>
      </c>
      <c r="J1817" s="249" t="s">
        <v>3456</v>
      </c>
      <c r="K1817" s="242">
        <v>44502</v>
      </c>
      <c r="L1817" s="241"/>
      <c r="M1817" s="243">
        <v>90</v>
      </c>
      <c r="N1817" s="243">
        <f>MONTH(Tableau13[[#This Row],[Date fin intervention]])</f>
        <v>11</v>
      </c>
      <c r="O1817" s="243">
        <f>YEAR(Tableau13[[#This Row],[Date fin intervention]])</f>
        <v>2021</v>
      </c>
      <c r="P1817" s="241"/>
    </row>
    <row r="1818" spans="1:16">
      <c r="A1818" s="238">
        <v>44502</v>
      </c>
      <c r="B1818" s="239">
        <v>605</v>
      </c>
      <c r="C1818" s="240" t="str">
        <f>IF(ISNA(VLOOKUP(Tableau13[[#This Row],[Code machine]],'CODE mchn'!$A$4:$C$170,2,0)),"",VLOOKUP(Tableau13[[#This Row],[Code machine]],'CODE mchn'!$A$4:$C$170,2,0))</f>
        <v>Acier</v>
      </c>
      <c r="D1818" s="241" t="str">
        <f>IF(ISNA(VLOOKUP(Tableau13[[#This Row],[Code machine]],'CODE mchn'!$A$4:$C$170,3,0)),"",VLOOKUP(Tableau13[[#This Row],[Code machine]],'CODE mchn'!$A$4:$C$170,3,0))</f>
        <v>Vitari 1</v>
      </c>
      <c r="E1818" s="239">
        <v>25753</v>
      </c>
      <c r="F1818" s="241"/>
      <c r="G1818" s="241" t="s">
        <v>3536</v>
      </c>
      <c r="H1818" s="241" t="s">
        <v>3538</v>
      </c>
      <c r="I1818" s="241" t="s">
        <v>3537</v>
      </c>
      <c r="J1818" s="249" t="s">
        <v>3539</v>
      </c>
      <c r="K1818" s="242">
        <v>44502</v>
      </c>
      <c r="L1818" s="241"/>
      <c r="M1818" s="243">
        <v>30</v>
      </c>
      <c r="N1818" s="243">
        <f>MONTH(Tableau13[[#This Row],[Date fin intervention]])</f>
        <v>11</v>
      </c>
      <c r="O1818" s="243">
        <f>YEAR(Tableau13[[#This Row],[Date fin intervention]])</f>
        <v>2021</v>
      </c>
      <c r="P1818" s="241"/>
    </row>
    <row r="1819" spans="1:16" ht="28.5">
      <c r="A1819" s="238">
        <v>44502</v>
      </c>
      <c r="B1819" s="239">
        <v>590</v>
      </c>
      <c r="C1819" s="240" t="str">
        <f>IF(ISNA(VLOOKUP(Tableau13[[#This Row],[Code machine]],'CODE mchn'!$A$4:$C$170,2,0)),"",VLOOKUP(Tableau13[[#This Row],[Code machine]],'CODE mchn'!$A$4:$C$170,2,0))</f>
        <v>Acier</v>
      </c>
      <c r="D1819" s="241" t="str">
        <f>IF(ISNA(VLOOKUP(Tableau13[[#This Row],[Code machine]],'CODE mchn'!$A$4:$C$170,3,0)),"",VLOOKUP(Tableau13[[#This Row],[Code machine]],'CODE mchn'!$A$4:$C$170,3,0))</f>
        <v>Teurema 3</v>
      </c>
      <c r="E1819" s="239">
        <v>25760</v>
      </c>
      <c r="F1819" s="241"/>
      <c r="G1819" s="241" t="s">
        <v>3557</v>
      </c>
      <c r="H1819" s="241" t="s">
        <v>3558</v>
      </c>
      <c r="I1819" s="241" t="s">
        <v>3287</v>
      </c>
      <c r="J1819" s="249" t="s">
        <v>3559</v>
      </c>
      <c r="K1819" s="242">
        <v>44502</v>
      </c>
      <c r="L1819" s="241"/>
      <c r="M1819" s="243">
        <v>30</v>
      </c>
      <c r="N1819" s="243">
        <f>MONTH(Tableau13[[#This Row],[Date fin intervention]])</f>
        <v>11</v>
      </c>
      <c r="O1819" s="243">
        <f>YEAR(Tableau13[[#This Row],[Date fin intervention]])</f>
        <v>2021</v>
      </c>
      <c r="P1819" s="241"/>
    </row>
    <row r="1820" spans="1:16">
      <c r="A1820" s="238">
        <v>44502</v>
      </c>
      <c r="B1820" s="239">
        <v>581</v>
      </c>
      <c r="C1820" s="240" t="str">
        <f>IF(ISNA(VLOOKUP(Tableau13[[#This Row],[Code machine]],'CODE mchn'!$A$4:$C$170,2,0)),"",VLOOKUP(Tableau13[[#This Row],[Code machine]],'CODE mchn'!$A$4:$C$170,2,0))</f>
        <v>Acier</v>
      </c>
      <c r="D1820" s="241" t="str">
        <f>IF(ISNA(VLOOKUP(Tableau13[[#This Row],[Code machine]],'CODE mchn'!$A$4:$C$170,3,0)),"",VLOOKUP(Tableau13[[#This Row],[Code machine]],'CODE mchn'!$A$4:$C$170,3,0))</f>
        <v>Teurema 1</v>
      </c>
      <c r="E1820" s="239">
        <v>25804</v>
      </c>
      <c r="F1820" s="241"/>
      <c r="G1820" s="241" t="s">
        <v>3613</v>
      </c>
      <c r="H1820" s="241" t="s">
        <v>3614</v>
      </c>
      <c r="I1820" s="241" t="s">
        <v>3291</v>
      </c>
      <c r="J1820" s="249" t="s">
        <v>3615</v>
      </c>
      <c r="K1820" s="242">
        <v>44502</v>
      </c>
      <c r="L1820" s="241"/>
      <c r="M1820" s="243">
        <v>240</v>
      </c>
      <c r="N1820" s="243">
        <f>MONTH(Tableau13[[#This Row],[Date fin intervention]])</f>
        <v>11</v>
      </c>
      <c r="O1820" s="243">
        <f>YEAR(Tableau13[[#This Row],[Date fin intervention]])</f>
        <v>2021</v>
      </c>
      <c r="P1820" s="241"/>
    </row>
    <row r="1821" spans="1:16">
      <c r="A1821" s="232">
        <v>44503</v>
      </c>
      <c r="B1821" s="233">
        <v>580</v>
      </c>
      <c r="C1821" s="234" t="str">
        <f>IF(ISNA(VLOOKUP(Tableau13[[#This Row],[Code machine]],'CODE mchn'!$A$4:$C$170,2,0)),"",VLOOKUP(Tableau13[[#This Row],[Code machine]],'CODE mchn'!$A$4:$C$170,2,0))</f>
        <v>Acier</v>
      </c>
      <c r="D1821" s="235" t="str">
        <f>IF(ISNA(VLOOKUP(Tableau13[[#This Row],[Code machine]],'CODE mchn'!$A$4:$C$170,3,0)),"",VLOOKUP(Tableau13[[#This Row],[Code machine]],'CODE mchn'!$A$4:$C$170,3,0))</f>
        <v>Techno Impiante</v>
      </c>
      <c r="E1821" s="105">
        <v>25907</v>
      </c>
      <c r="F1821" s="36"/>
      <c r="G1821" s="235" t="s">
        <v>1811</v>
      </c>
      <c r="H1821" s="235" t="s">
        <v>3186</v>
      </c>
      <c r="I1821" s="235" t="s">
        <v>13</v>
      </c>
      <c r="J1821" s="254" t="s">
        <v>3187</v>
      </c>
      <c r="K1821" s="236">
        <v>44503</v>
      </c>
      <c r="L1821" s="235"/>
      <c r="M1821" s="237">
        <v>45</v>
      </c>
      <c r="N1821" s="237">
        <f>MONTH(Tableau13[[#This Row],[Date fin intervention]])</f>
        <v>11</v>
      </c>
      <c r="O1821" s="237">
        <f>YEAR(Tableau13[[#This Row],[Date fin intervention]])</f>
        <v>2021</v>
      </c>
      <c r="P1821" s="235"/>
    </row>
    <row r="1822" spans="1:16">
      <c r="A1822" s="232">
        <v>44503</v>
      </c>
      <c r="B1822" s="233">
        <v>620</v>
      </c>
      <c r="C1822" s="234" t="str">
        <f>IF(ISNA(VLOOKUP(Tableau13[[#This Row],[Code machine]],'CODE mchn'!$A$4:$C$170,2,0)),"",VLOOKUP(Tableau13[[#This Row],[Code machine]],'CODE mchn'!$A$4:$C$170,2,0))</f>
        <v>Acier</v>
      </c>
      <c r="D1822" s="235" t="str">
        <f>IF(ISNA(VLOOKUP(Tableau13[[#This Row],[Code machine]],'CODE mchn'!$A$4:$C$170,3,0)),"",VLOOKUP(Tableau13[[#This Row],[Code machine]],'CODE mchn'!$A$4:$C$170,3,0))</f>
        <v>EVG PN 2</v>
      </c>
      <c r="E1822" s="105">
        <v>25815</v>
      </c>
      <c r="F1822" s="36"/>
      <c r="G1822" s="235" t="s">
        <v>1048</v>
      </c>
      <c r="H1822" s="235" t="s">
        <v>3226</v>
      </c>
      <c r="I1822" s="235" t="s">
        <v>13</v>
      </c>
      <c r="J1822" s="254" t="s">
        <v>3227</v>
      </c>
      <c r="K1822" s="236">
        <v>44503</v>
      </c>
      <c r="L1822" s="235"/>
      <c r="M1822" s="237">
        <f>180</f>
        <v>180</v>
      </c>
      <c r="N1822" s="237">
        <f>MONTH(Tableau13[[#This Row],[Date fin intervention]])</f>
        <v>11</v>
      </c>
      <c r="O1822" s="237">
        <f>YEAR(Tableau13[[#This Row],[Date fin intervention]])</f>
        <v>2021</v>
      </c>
      <c r="P1822" s="235"/>
    </row>
    <row r="1823" spans="1:16" ht="28.5">
      <c r="A1823" s="238">
        <v>44503</v>
      </c>
      <c r="B1823" s="239">
        <v>620</v>
      </c>
      <c r="C1823" s="240" t="str">
        <f>IF(ISNA(VLOOKUP(Tableau13[[#This Row],[Code machine]],'CODE mchn'!$A$4:$C$170,2,0)),"",VLOOKUP(Tableau13[[#This Row],[Code machine]],'CODE mchn'!$A$4:$C$170,2,0))</f>
        <v>Acier</v>
      </c>
      <c r="D1823" s="241" t="str">
        <f>IF(ISNA(VLOOKUP(Tableau13[[#This Row],[Code machine]],'CODE mchn'!$A$4:$C$170,3,0)),"",VLOOKUP(Tableau13[[#This Row],[Code machine]],'CODE mchn'!$A$4:$C$170,3,0))</f>
        <v>EVG PN 2</v>
      </c>
      <c r="E1823" s="239">
        <v>25815</v>
      </c>
      <c r="F1823" s="241"/>
      <c r="G1823" s="241" t="s">
        <v>3641</v>
      </c>
      <c r="H1823" s="241" t="s">
        <v>3642</v>
      </c>
      <c r="I1823" s="241" t="s">
        <v>3287</v>
      </c>
      <c r="J1823" s="249" t="s">
        <v>3643</v>
      </c>
      <c r="K1823" s="242">
        <v>44503</v>
      </c>
      <c r="L1823" s="241"/>
      <c r="M1823" s="243">
        <v>180</v>
      </c>
      <c r="N1823" s="243">
        <f>MONTH(Tableau13[[#This Row],[Date fin intervention]])</f>
        <v>11</v>
      </c>
      <c r="O1823" s="243">
        <f>YEAR(Tableau13[[#This Row],[Date fin intervention]])</f>
        <v>2021</v>
      </c>
      <c r="P1823" s="241"/>
    </row>
    <row r="1824" spans="1:16">
      <c r="A1824" s="232">
        <v>44504</v>
      </c>
      <c r="B1824" s="233">
        <v>590</v>
      </c>
      <c r="C1824" s="234" t="str">
        <f>IF(ISNA(VLOOKUP(Tableau13[[#This Row],[Code machine]],'CODE mchn'!$A$4:$C$170,2,0)),"",VLOOKUP(Tableau13[[#This Row],[Code machine]],'CODE mchn'!$A$4:$C$170,2,0))</f>
        <v>Acier</v>
      </c>
      <c r="D1824" s="235" t="str">
        <f>IF(ISNA(VLOOKUP(Tableau13[[#This Row],[Code machine]],'CODE mchn'!$A$4:$C$170,3,0)),"",VLOOKUP(Tableau13[[#This Row],[Code machine]],'CODE mchn'!$A$4:$C$170,3,0))</f>
        <v>Teurema 3</v>
      </c>
      <c r="E1824" s="105">
        <v>25908</v>
      </c>
      <c r="F1824" s="36"/>
      <c r="G1824" s="235" t="s">
        <v>880</v>
      </c>
      <c r="H1824" s="235" t="s">
        <v>352</v>
      </c>
      <c r="I1824" s="235" t="s">
        <v>13</v>
      </c>
      <c r="J1824" s="254" t="s">
        <v>1263</v>
      </c>
      <c r="K1824" s="236">
        <v>44200</v>
      </c>
      <c r="L1824" s="235"/>
      <c r="M1824" s="237"/>
      <c r="N1824" s="237">
        <f>MONTH(Tableau13[[#This Row],[Date fin intervention]])</f>
        <v>1</v>
      </c>
      <c r="O1824" s="237">
        <f>YEAR(Tableau13[[#This Row],[Date fin intervention]])</f>
        <v>2021</v>
      </c>
      <c r="P1824" s="235"/>
    </row>
    <row r="1825" spans="1:16" ht="28.5">
      <c r="A1825" s="232">
        <v>44504</v>
      </c>
      <c r="B1825" s="233">
        <v>581</v>
      </c>
      <c r="C1825" s="234" t="str">
        <f>IF(ISNA(VLOOKUP(Tableau13[[#This Row],[Code machine]],'CODE mchn'!$A$4:$C$170,2,0)),"",VLOOKUP(Tableau13[[#This Row],[Code machine]],'CODE mchn'!$A$4:$C$170,2,0))</f>
        <v>Acier</v>
      </c>
      <c r="D1825" s="235" t="str">
        <f>IF(ISNA(VLOOKUP(Tableau13[[#This Row],[Code machine]],'CODE mchn'!$A$4:$C$170,3,0)),"",VLOOKUP(Tableau13[[#This Row],[Code machine]],'CODE mchn'!$A$4:$C$170,3,0))</f>
        <v>Teurema 1</v>
      </c>
      <c r="E1825" s="105">
        <v>25910</v>
      </c>
      <c r="F1825" s="36"/>
      <c r="G1825" s="235" t="s">
        <v>70</v>
      </c>
      <c r="H1825" s="235" t="s">
        <v>3188</v>
      </c>
      <c r="I1825" s="235" t="s">
        <v>13</v>
      </c>
      <c r="J1825" s="254" t="s">
        <v>3189</v>
      </c>
      <c r="K1825" s="236">
        <v>44504</v>
      </c>
      <c r="L1825" s="235"/>
      <c r="M1825" s="237">
        <v>180</v>
      </c>
      <c r="N1825" s="237">
        <f>MONTH(Tableau13[[#This Row],[Date fin intervention]])</f>
        <v>11</v>
      </c>
      <c r="O1825" s="237">
        <f>YEAR(Tableau13[[#This Row],[Date fin intervention]])</f>
        <v>2021</v>
      </c>
      <c r="P1825" s="235"/>
    </row>
    <row r="1826" spans="1:16">
      <c r="A1826" s="232">
        <v>44504</v>
      </c>
      <c r="B1826" s="233">
        <v>602</v>
      </c>
      <c r="C1826" s="234" t="str">
        <f>IF(ISNA(VLOOKUP(Tableau13[[#This Row],[Code machine]],'CODE mchn'!$A$4:$C$170,2,0)),"",VLOOKUP(Tableau13[[#This Row],[Code machine]],'CODE mchn'!$A$4:$C$170,2,0))</f>
        <v>Acier</v>
      </c>
      <c r="D1826" s="235" t="str">
        <f>IF(ISNA(VLOOKUP(Tableau13[[#This Row],[Code machine]],'CODE mchn'!$A$4:$C$170,3,0)),"",VLOOKUP(Tableau13[[#This Row],[Code machine]],'CODE mchn'!$A$4:$C$170,3,0))</f>
        <v>Wafios Ritecno</v>
      </c>
      <c r="E1826" s="105">
        <v>25805</v>
      </c>
      <c r="F1826" s="36"/>
      <c r="G1826" s="235" t="s">
        <v>10</v>
      </c>
      <c r="H1826" s="235" t="s">
        <v>3216</v>
      </c>
      <c r="I1826" s="235" t="s">
        <v>13</v>
      </c>
      <c r="J1826" s="254" t="s">
        <v>1293</v>
      </c>
      <c r="K1826" s="236">
        <v>44504</v>
      </c>
      <c r="L1826" s="235"/>
      <c r="M1826" s="237">
        <f>4*60</f>
        <v>240</v>
      </c>
      <c r="N1826" s="237">
        <f>MONTH(Tableau13[[#This Row],[Date fin intervention]])</f>
        <v>11</v>
      </c>
      <c r="O1826" s="237">
        <f>YEAR(Tableau13[[#This Row],[Date fin intervention]])</f>
        <v>2021</v>
      </c>
      <c r="P1826" s="235"/>
    </row>
    <row r="1827" spans="1:16">
      <c r="A1827" s="238">
        <v>44504</v>
      </c>
      <c r="B1827" s="239">
        <v>602</v>
      </c>
      <c r="C1827" s="240" t="str">
        <f>IF(ISNA(VLOOKUP(Tableau13[[#This Row],[Code machine]],'CODE mchn'!$A$4:$C$170,2,0)),"",VLOOKUP(Tableau13[[#This Row],[Code machine]],'CODE mchn'!$A$4:$C$170,2,0))</f>
        <v>Acier</v>
      </c>
      <c r="D1827" s="241" t="str">
        <f>IF(ISNA(VLOOKUP(Tableau13[[#This Row],[Code machine]],'CODE mchn'!$A$4:$C$170,3,0)),"",VLOOKUP(Tableau13[[#This Row],[Code machine]],'CODE mchn'!$A$4:$C$170,3,0))</f>
        <v>Wafios Ritecno</v>
      </c>
      <c r="E1827" s="239">
        <v>25805</v>
      </c>
      <c r="F1827" s="241"/>
      <c r="G1827" s="241" t="s">
        <v>3618</v>
      </c>
      <c r="H1827" s="241" t="s">
        <v>3616</v>
      </c>
      <c r="I1827" s="241" t="s">
        <v>3287</v>
      </c>
      <c r="J1827" s="249" t="s">
        <v>3617</v>
      </c>
      <c r="K1827" s="242">
        <v>44504</v>
      </c>
      <c r="L1827" s="241"/>
      <c r="M1827" s="243">
        <v>240</v>
      </c>
      <c r="N1827" s="243">
        <f>MONTH(Tableau13[[#This Row],[Date fin intervention]])</f>
        <v>11</v>
      </c>
      <c r="O1827" s="243">
        <f>YEAR(Tableau13[[#This Row],[Date fin intervention]])</f>
        <v>2021</v>
      </c>
      <c r="P1827" s="241"/>
    </row>
    <row r="1828" spans="1:16">
      <c r="A1828" s="238">
        <v>44505</v>
      </c>
      <c r="B1828" s="239">
        <v>565</v>
      </c>
      <c r="C1828" s="240" t="str">
        <f>IF(ISNA(VLOOKUP(Tableau13[[#This Row],[Code machine]],'CODE mchn'!$A$4:$C$170,2,0)),"",VLOOKUP(Tableau13[[#This Row],[Code machine]],'CODE mchn'!$A$4:$C$170,2,0))</f>
        <v>Acier</v>
      </c>
      <c r="D1828" s="241" t="str">
        <f>IF(ISNA(VLOOKUP(Tableau13[[#This Row],[Code machine]],'CODE mchn'!$A$4:$C$170,3,0)),"",VLOOKUP(Tableau13[[#This Row],[Code machine]],'CODE mchn'!$A$4:$C$170,3,0))</f>
        <v>EVG GE12</v>
      </c>
      <c r="E1828" s="239">
        <v>25814</v>
      </c>
      <c r="F1828" s="241"/>
      <c r="G1828" s="241" t="s">
        <v>3638</v>
      </c>
      <c r="H1828" s="241" t="s">
        <v>3639</v>
      </c>
      <c r="I1828" s="241" t="s">
        <v>3287</v>
      </c>
      <c r="J1828" s="249" t="s">
        <v>3640</v>
      </c>
      <c r="K1828" s="242">
        <v>44505</v>
      </c>
      <c r="L1828" s="241"/>
      <c r="M1828" s="243">
        <v>240</v>
      </c>
      <c r="N1828" s="243">
        <f>MONTH(Tableau13[[#This Row],[Date fin intervention]])</f>
        <v>11</v>
      </c>
      <c r="O1828" s="243">
        <f>YEAR(Tableau13[[#This Row],[Date fin intervention]])</f>
        <v>2021</v>
      </c>
      <c r="P1828" s="241"/>
    </row>
    <row r="1829" spans="1:16">
      <c r="A1829" s="232">
        <v>44506</v>
      </c>
      <c r="B1829" s="233">
        <v>700</v>
      </c>
      <c r="C1829" s="234" t="str">
        <f>IF(ISNA(VLOOKUP(Tableau13[[#This Row],[Code machine]],'CODE mchn'!$A$4:$C$170,2,0)),"",VLOOKUP(Tableau13[[#This Row],[Code machine]],'CODE mchn'!$A$4:$C$170,2,0))</f>
        <v>Béton</v>
      </c>
      <c r="D1829" s="235" t="str">
        <f>IF(ISNA(VLOOKUP(Tableau13[[#This Row],[Code machine]],'CODE mchn'!$A$4:$C$170,3,0)),"",VLOOKUP(Tableau13[[#This Row],[Code machine]],'CODE mchn'!$A$4:$C$170,3,0))</f>
        <v>Poyatos 1</v>
      </c>
      <c r="E1829" s="105">
        <v>25853</v>
      </c>
      <c r="F1829" s="36"/>
      <c r="G1829" s="235" t="s">
        <v>49</v>
      </c>
      <c r="H1829" s="235" t="s">
        <v>3159</v>
      </c>
      <c r="I1829" s="235" t="s">
        <v>13</v>
      </c>
      <c r="J1829" s="254" t="s">
        <v>3160</v>
      </c>
      <c r="K1829" s="236">
        <v>44506</v>
      </c>
      <c r="L1829" s="235"/>
      <c r="M1829" s="237">
        <v>40</v>
      </c>
      <c r="N1829" s="237">
        <f>MONTH(Tableau13[[#This Row],[Date fin intervention]])</f>
        <v>11</v>
      </c>
      <c r="O1829" s="237">
        <f>YEAR(Tableau13[[#This Row],[Date fin intervention]])</f>
        <v>2021</v>
      </c>
      <c r="P1829" s="235"/>
    </row>
    <row r="1830" spans="1:16">
      <c r="A1830" s="232">
        <v>44506</v>
      </c>
      <c r="B1830" s="233">
        <v>590</v>
      </c>
      <c r="C1830" s="234" t="str">
        <f>IF(ISNA(VLOOKUP(Tableau13[[#This Row],[Code machine]],'CODE mchn'!$A$4:$C$170,2,0)),"",VLOOKUP(Tableau13[[#This Row],[Code machine]],'CODE mchn'!$A$4:$C$170,2,0))</f>
        <v>Acier</v>
      </c>
      <c r="D1830" s="235" t="str">
        <f>IF(ISNA(VLOOKUP(Tableau13[[#This Row],[Code machine]],'CODE mchn'!$A$4:$C$170,3,0)),"",VLOOKUP(Tableau13[[#This Row],[Code machine]],'CODE mchn'!$A$4:$C$170,3,0))</f>
        <v>Teurema 3</v>
      </c>
      <c r="E1830" s="105">
        <v>25911</v>
      </c>
      <c r="F1830" s="36"/>
      <c r="G1830" s="235" t="s">
        <v>78</v>
      </c>
      <c r="H1830" s="235" t="s">
        <v>3230</v>
      </c>
      <c r="I1830" s="235" t="s">
        <v>101</v>
      </c>
      <c r="J1830" s="254" t="s">
        <v>3231</v>
      </c>
      <c r="K1830" s="236">
        <v>44506</v>
      </c>
      <c r="L1830" s="235"/>
      <c r="M1830" s="237">
        <v>180</v>
      </c>
      <c r="N1830" s="237">
        <f>MONTH(Tableau13[[#This Row],[Date fin intervention]])</f>
        <v>11</v>
      </c>
      <c r="O1830" s="237">
        <f>YEAR(Tableau13[[#This Row],[Date fin intervention]])</f>
        <v>2021</v>
      </c>
      <c r="P1830" s="235"/>
    </row>
    <row r="1831" spans="1:16" ht="28.5">
      <c r="A1831" s="238">
        <v>44507</v>
      </c>
      <c r="B1831" s="239">
        <v>565</v>
      </c>
      <c r="C1831" s="240" t="str">
        <f>IF(ISNA(VLOOKUP(Tableau13[[#This Row],[Code machine]],'CODE mchn'!$A$4:$C$170,2,0)),"",VLOOKUP(Tableau13[[#This Row],[Code machine]],'CODE mchn'!$A$4:$C$170,2,0))</f>
        <v>Acier</v>
      </c>
      <c r="D1831" s="241" t="str">
        <f>IF(ISNA(VLOOKUP(Tableau13[[#This Row],[Code machine]],'CODE mchn'!$A$4:$C$170,3,0)),"",VLOOKUP(Tableau13[[#This Row],[Code machine]],'CODE mchn'!$A$4:$C$170,3,0))</f>
        <v>EVG GE12</v>
      </c>
      <c r="E1831" s="239">
        <v>25819</v>
      </c>
      <c r="F1831" s="241"/>
      <c r="G1831" s="241" t="s">
        <v>3647</v>
      </c>
      <c r="H1831" s="241" t="s">
        <v>3648</v>
      </c>
      <c r="I1831" s="241" t="s">
        <v>3287</v>
      </c>
      <c r="J1831" s="249" t="s">
        <v>3649</v>
      </c>
      <c r="K1831" s="242">
        <v>44507</v>
      </c>
      <c r="L1831" s="241"/>
      <c r="M1831" s="243">
        <v>120</v>
      </c>
      <c r="N1831" s="243">
        <f>MONTH(Tableau13[[#This Row],[Date fin intervention]])</f>
        <v>11</v>
      </c>
      <c r="O1831" s="243">
        <f>YEAR(Tableau13[[#This Row],[Date fin intervention]])</f>
        <v>2021</v>
      </c>
      <c r="P1831" s="241"/>
    </row>
    <row r="1832" spans="1:16">
      <c r="A1832" s="232">
        <v>44508</v>
      </c>
      <c r="B1832" s="233">
        <v>800</v>
      </c>
      <c r="C1832" s="234" t="str">
        <f>IF(ISNA(VLOOKUP(Tableau13[[#This Row],[Code machine]],'CODE mchn'!$A$4:$C$170,2,0)),"",VLOOKUP(Tableau13[[#This Row],[Code machine]],'CODE mchn'!$A$4:$C$170,2,0))</f>
        <v>Béton</v>
      </c>
      <c r="D1832" s="235" t="str">
        <f>IF(ISNA(VLOOKUP(Tableau13[[#This Row],[Code machine]],'CODE mchn'!$A$4:$C$170,3,0)),"",VLOOKUP(Tableau13[[#This Row],[Code machine]],'CODE mchn'!$A$4:$C$170,3,0))</f>
        <v>Poyatos 2</v>
      </c>
      <c r="E1832" s="105">
        <v>25854</v>
      </c>
      <c r="F1832" s="36"/>
      <c r="G1832" s="235" t="s">
        <v>3161</v>
      </c>
      <c r="H1832" s="235" t="s">
        <v>3162</v>
      </c>
      <c r="I1832" s="235" t="s">
        <v>13</v>
      </c>
      <c r="J1832" s="254" t="s">
        <v>3163</v>
      </c>
      <c r="K1832" s="236">
        <v>44508</v>
      </c>
      <c r="L1832" s="235"/>
      <c r="M1832" s="237">
        <v>40</v>
      </c>
      <c r="N1832" s="237">
        <f>MONTH(Tableau13[[#This Row],[Date fin intervention]])</f>
        <v>11</v>
      </c>
      <c r="O1832" s="237">
        <f>YEAR(Tableau13[[#This Row],[Date fin intervention]])</f>
        <v>2021</v>
      </c>
      <c r="P1832" s="235"/>
    </row>
    <row r="1833" spans="1:16" ht="57">
      <c r="A1833" s="232">
        <v>44508</v>
      </c>
      <c r="B1833" s="233">
        <v>800</v>
      </c>
      <c r="C1833" s="234" t="str">
        <f>IF(ISNA(VLOOKUP(Tableau13[[#This Row],[Code machine]],'CODE mchn'!$A$4:$C$170,2,0)),"",VLOOKUP(Tableau13[[#This Row],[Code machine]],'CODE mchn'!$A$4:$C$170,2,0))</f>
        <v>Béton</v>
      </c>
      <c r="D1833" s="235" t="str">
        <f>IF(ISNA(VLOOKUP(Tableau13[[#This Row],[Code machine]],'CODE mchn'!$A$4:$C$170,3,0)),"",VLOOKUP(Tableau13[[#This Row],[Code machine]],'CODE mchn'!$A$4:$C$170,3,0))</f>
        <v>Poyatos 2</v>
      </c>
      <c r="E1833" s="105">
        <v>25855</v>
      </c>
      <c r="F1833" s="36"/>
      <c r="G1833" s="235" t="s">
        <v>291</v>
      </c>
      <c r="H1833" s="235" t="s">
        <v>2907</v>
      </c>
      <c r="I1833" s="235" t="s">
        <v>13</v>
      </c>
      <c r="J1833" s="254" t="s">
        <v>3164</v>
      </c>
      <c r="K1833" s="236">
        <v>44508</v>
      </c>
      <c r="L1833" s="235" t="s">
        <v>3165</v>
      </c>
      <c r="M1833" s="237">
        <f>6*60</f>
        <v>360</v>
      </c>
      <c r="N1833" s="237">
        <f>MONTH(Tableau13[[#This Row],[Date fin intervention]])</f>
        <v>11</v>
      </c>
      <c r="O1833" s="237">
        <f>YEAR(Tableau13[[#This Row],[Date fin intervention]])</f>
        <v>2021</v>
      </c>
      <c r="P1833" s="235"/>
    </row>
    <row r="1834" spans="1:16">
      <c r="A1834" s="232">
        <v>44508</v>
      </c>
      <c r="B1834" s="233">
        <v>590</v>
      </c>
      <c r="C1834" s="234" t="str">
        <f>IF(ISNA(VLOOKUP(Tableau13[[#This Row],[Code machine]],'CODE mchn'!$A$4:$C$170,2,0)),"",VLOOKUP(Tableau13[[#This Row],[Code machine]],'CODE mchn'!$A$4:$C$170,2,0))</f>
        <v>Acier</v>
      </c>
      <c r="D1834" s="235" t="str">
        <f>IF(ISNA(VLOOKUP(Tableau13[[#This Row],[Code machine]],'CODE mchn'!$A$4:$C$170,3,0)),"",VLOOKUP(Tableau13[[#This Row],[Code machine]],'CODE mchn'!$A$4:$C$170,3,0))</f>
        <v>Teurema 3</v>
      </c>
      <c r="E1834" s="105">
        <v>25912</v>
      </c>
      <c r="F1834" s="36"/>
      <c r="G1834" s="235" t="s">
        <v>3232</v>
      </c>
      <c r="H1834" s="235" t="s">
        <v>3233</v>
      </c>
      <c r="I1834" s="235" t="s">
        <v>13</v>
      </c>
      <c r="J1834" s="254" t="s">
        <v>3234</v>
      </c>
      <c r="K1834" s="236">
        <v>44508</v>
      </c>
      <c r="L1834" s="235"/>
      <c r="M1834" s="237"/>
      <c r="N1834" s="237">
        <f>MONTH(Tableau13[[#This Row],[Date fin intervention]])</f>
        <v>11</v>
      </c>
      <c r="O1834" s="237">
        <f>YEAR(Tableau13[[#This Row],[Date fin intervention]])</f>
        <v>2021</v>
      </c>
      <c r="P1834" s="235"/>
    </row>
    <row r="1835" spans="1:16">
      <c r="A1835" s="232">
        <v>44508</v>
      </c>
      <c r="B1835" s="233">
        <v>581</v>
      </c>
      <c r="C1835" s="234" t="str">
        <f>IF(ISNA(VLOOKUP(Tableau13[[#This Row],[Code machine]],'CODE mchn'!$A$4:$C$170,2,0)),"",VLOOKUP(Tableau13[[#This Row],[Code machine]],'CODE mchn'!$A$4:$C$170,2,0))</f>
        <v>Acier</v>
      </c>
      <c r="D1835" s="235" t="str">
        <f>IF(ISNA(VLOOKUP(Tableau13[[#This Row],[Code machine]],'CODE mchn'!$A$4:$C$170,3,0)),"",VLOOKUP(Tableau13[[#This Row],[Code machine]],'CODE mchn'!$A$4:$C$170,3,0))</f>
        <v>Teurema 1</v>
      </c>
      <c r="E1835" s="105">
        <v>25913</v>
      </c>
      <c r="F1835" s="36"/>
      <c r="G1835" s="235" t="s">
        <v>1948</v>
      </c>
      <c r="H1835" s="235" t="s">
        <v>892</v>
      </c>
      <c r="I1835" s="235" t="s">
        <v>13</v>
      </c>
      <c r="J1835" s="254" t="s">
        <v>3235</v>
      </c>
      <c r="K1835" s="236">
        <v>44508</v>
      </c>
      <c r="L1835" s="235"/>
      <c r="M1835" s="237"/>
      <c r="N1835" s="237">
        <f>MONTH(Tableau13[[#This Row],[Date fin intervention]])</f>
        <v>11</v>
      </c>
      <c r="O1835" s="237">
        <f>YEAR(Tableau13[[#This Row],[Date fin intervention]])</f>
        <v>2021</v>
      </c>
      <c r="P1835" s="235"/>
    </row>
    <row r="1836" spans="1:16" ht="28.5">
      <c r="A1836" s="232">
        <v>44509</v>
      </c>
      <c r="B1836" s="233">
        <v>562</v>
      </c>
      <c r="C1836" s="234" t="str">
        <f>IF(ISNA(VLOOKUP(Tableau13[[#This Row],[Code machine]],'CODE mchn'!$A$4:$C$170,2,0)),"",VLOOKUP(Tableau13[[#This Row],[Code machine]],'CODE mchn'!$A$4:$C$170,2,0))</f>
        <v>Ponts roulants</v>
      </c>
      <c r="D1836" s="235" t="str">
        <f>IF(ISNA(VLOOKUP(Tableau13[[#This Row],[Code machine]],'CODE mchn'!$A$4:$C$170,3,0)),"",VLOOKUP(Tableau13[[#This Row],[Code machine]],'CODE mchn'!$A$4:$C$170,3,0))</f>
        <v>Pont roulant GH Beasain 12T</v>
      </c>
      <c r="E1836" s="105">
        <v>25955</v>
      </c>
      <c r="F1836" s="36"/>
      <c r="G1836" s="235" t="s">
        <v>1624</v>
      </c>
      <c r="H1836" s="235" t="s">
        <v>2623</v>
      </c>
      <c r="I1836" s="235" t="s">
        <v>13</v>
      </c>
      <c r="J1836" s="254" t="s">
        <v>3180</v>
      </c>
      <c r="K1836" s="236">
        <v>44509</v>
      </c>
      <c r="L1836" s="235"/>
      <c r="M1836" s="237">
        <v>45</v>
      </c>
      <c r="N1836" s="237">
        <f>MONTH(Tableau13[[#This Row],[Date fin intervention]])</f>
        <v>11</v>
      </c>
      <c r="O1836" s="237">
        <f>YEAR(Tableau13[[#This Row],[Date fin intervention]])</f>
        <v>2021</v>
      </c>
      <c r="P1836" s="235"/>
    </row>
    <row r="1837" spans="1:16" ht="28.5">
      <c r="A1837" s="238">
        <v>44509</v>
      </c>
      <c r="B1837" s="239">
        <v>562</v>
      </c>
      <c r="C1837" s="240" t="str">
        <f>IF(ISNA(VLOOKUP(Tableau13[[#This Row],[Code machine]],'CODE mchn'!$A$4:$C$170,2,0)),"",VLOOKUP(Tableau13[[#This Row],[Code machine]],'CODE mchn'!$A$4:$C$170,2,0))</f>
        <v>Ponts roulants</v>
      </c>
      <c r="D1837" s="241" t="str">
        <f>IF(ISNA(VLOOKUP(Tableau13[[#This Row],[Code machine]],'CODE mchn'!$A$4:$C$170,3,0)),"",VLOOKUP(Tableau13[[#This Row],[Code machine]],'CODE mchn'!$A$4:$C$170,3,0))</f>
        <v>Pont roulant GH Beasain 12T</v>
      </c>
      <c r="E1837" s="239">
        <v>25955</v>
      </c>
      <c r="F1837" s="241"/>
      <c r="G1837" s="241" t="s">
        <v>3457</v>
      </c>
      <c r="H1837" s="241" t="s">
        <v>3458</v>
      </c>
      <c r="I1837" s="241" t="s">
        <v>3287</v>
      </c>
      <c r="J1837" s="249" t="s">
        <v>3459</v>
      </c>
      <c r="K1837" s="242">
        <v>44509</v>
      </c>
      <c r="L1837" s="241"/>
      <c r="M1837" s="243">
        <v>45</v>
      </c>
      <c r="N1837" s="243">
        <f>MONTH(Tableau13[[#This Row],[Date fin intervention]])</f>
        <v>11</v>
      </c>
      <c r="O1837" s="243">
        <f>YEAR(Tableau13[[#This Row],[Date fin intervention]])</f>
        <v>2021</v>
      </c>
      <c r="P1837" s="241"/>
    </row>
    <row r="1838" spans="1:16" ht="28.5">
      <c r="A1838" s="238">
        <v>44509</v>
      </c>
      <c r="B1838" s="239">
        <v>700</v>
      </c>
      <c r="C1838" s="240" t="str">
        <f>IF(ISNA(VLOOKUP(Tableau13[[#This Row],[Code machine]],'CODE mchn'!$A$4:$C$170,2,0)),"",VLOOKUP(Tableau13[[#This Row],[Code machine]],'CODE mchn'!$A$4:$C$170,2,0))</f>
        <v>Béton</v>
      </c>
      <c r="D1838" s="241" t="str">
        <f>IF(ISNA(VLOOKUP(Tableau13[[#This Row],[Code machine]],'CODE mchn'!$A$4:$C$170,3,0)),"",VLOOKUP(Tableau13[[#This Row],[Code machine]],'CODE mchn'!$A$4:$C$170,3,0))</f>
        <v>Poyatos 1</v>
      </c>
      <c r="E1838" s="239">
        <v>25956</v>
      </c>
      <c r="F1838" s="241"/>
      <c r="G1838" s="241" t="s">
        <v>3460</v>
      </c>
      <c r="H1838" s="241" t="s">
        <v>3461</v>
      </c>
      <c r="I1838" s="241" t="s">
        <v>3287</v>
      </c>
      <c r="J1838" s="249" t="s">
        <v>3462</v>
      </c>
      <c r="K1838" s="242">
        <v>44509</v>
      </c>
      <c r="L1838" s="241"/>
      <c r="M1838" s="243">
        <v>120</v>
      </c>
      <c r="N1838" s="243">
        <f>MONTH(Tableau13[[#This Row],[Date fin intervention]])</f>
        <v>11</v>
      </c>
      <c r="O1838" s="243">
        <f>YEAR(Tableau13[[#This Row],[Date fin intervention]])</f>
        <v>2021</v>
      </c>
      <c r="P1838" s="241"/>
    </row>
    <row r="1839" spans="1:16">
      <c r="A1839" s="232">
        <v>44510</v>
      </c>
      <c r="B1839" s="233">
        <v>700</v>
      </c>
      <c r="C1839" s="234" t="str">
        <f>IF(ISNA(VLOOKUP(Tableau13[[#This Row],[Code machine]],'CODE mchn'!$A$4:$C$170,2,0)),"",VLOOKUP(Tableau13[[#This Row],[Code machine]],'CODE mchn'!$A$4:$C$170,2,0))</f>
        <v>Béton</v>
      </c>
      <c r="D1839" s="235" t="str">
        <f>IF(ISNA(VLOOKUP(Tableau13[[#This Row],[Code machine]],'CODE mchn'!$A$4:$C$170,3,0)),"",VLOOKUP(Tableau13[[#This Row],[Code machine]],'CODE mchn'!$A$4:$C$170,3,0))</f>
        <v>Poyatos 1</v>
      </c>
      <c r="E1839" s="105">
        <v>25856</v>
      </c>
      <c r="F1839" s="36"/>
      <c r="G1839" s="235" t="s">
        <v>46</v>
      </c>
      <c r="H1839" s="235" t="s">
        <v>3167</v>
      </c>
      <c r="I1839" s="235" t="s">
        <v>13</v>
      </c>
      <c r="J1839" s="254" t="s">
        <v>3168</v>
      </c>
      <c r="K1839" s="236">
        <v>44510</v>
      </c>
      <c r="L1839" s="235"/>
      <c r="M1839" s="237">
        <v>60</v>
      </c>
      <c r="N1839" s="237">
        <f>MONTH(Tableau13[[#This Row],[Date fin intervention]])</f>
        <v>11</v>
      </c>
      <c r="O1839" s="237">
        <f>YEAR(Tableau13[[#This Row],[Date fin intervention]])</f>
        <v>2021</v>
      </c>
      <c r="P1839" s="235"/>
    </row>
    <row r="1840" spans="1:16" ht="28.5">
      <c r="A1840" s="232">
        <v>44510</v>
      </c>
      <c r="B1840" s="233">
        <v>800</v>
      </c>
      <c r="C1840" s="234" t="str">
        <f>IF(ISNA(VLOOKUP(Tableau13[[#This Row],[Code machine]],'CODE mchn'!$A$4:$C$170,2,0)),"",VLOOKUP(Tableau13[[#This Row],[Code machine]],'CODE mchn'!$A$4:$C$170,2,0))</f>
        <v>Béton</v>
      </c>
      <c r="D1840" s="235" t="str">
        <f>IF(ISNA(VLOOKUP(Tableau13[[#This Row],[Code machine]],'CODE mchn'!$A$4:$C$170,3,0)),"",VLOOKUP(Tableau13[[#This Row],[Code machine]],'CODE mchn'!$A$4:$C$170,3,0))</f>
        <v>Poyatos 2</v>
      </c>
      <c r="E1840" s="105">
        <v>25857</v>
      </c>
      <c r="F1840" s="36"/>
      <c r="G1840" s="235" t="s">
        <v>233</v>
      </c>
      <c r="H1840" s="235" t="s">
        <v>3169</v>
      </c>
      <c r="I1840" s="235" t="s">
        <v>13</v>
      </c>
      <c r="J1840" s="254" t="s">
        <v>3170</v>
      </c>
      <c r="K1840" s="236">
        <v>44510</v>
      </c>
      <c r="L1840" s="235" t="s">
        <v>3171</v>
      </c>
      <c r="M1840" s="237">
        <f>60*3</f>
        <v>180</v>
      </c>
      <c r="N1840" s="237">
        <f>MONTH(Tableau13[[#This Row],[Date fin intervention]])</f>
        <v>11</v>
      </c>
      <c r="O1840" s="237">
        <f>YEAR(Tableau13[[#This Row],[Date fin intervention]])</f>
        <v>2021</v>
      </c>
      <c r="P1840" s="235"/>
    </row>
    <row r="1841" spans="1:16">
      <c r="A1841" s="232">
        <v>44510</v>
      </c>
      <c r="B1841" s="233">
        <v>700</v>
      </c>
      <c r="C1841" s="234" t="str">
        <f>IF(ISNA(VLOOKUP(Tableau13[[#This Row],[Code machine]],'CODE mchn'!$A$4:$C$170,2,0)),"",VLOOKUP(Tableau13[[#This Row],[Code machine]],'CODE mchn'!$A$4:$C$170,2,0))</f>
        <v>Béton</v>
      </c>
      <c r="D1841" s="235" t="str">
        <f>IF(ISNA(VLOOKUP(Tableau13[[#This Row],[Code machine]],'CODE mchn'!$A$4:$C$170,3,0)),"",VLOOKUP(Tableau13[[#This Row],[Code machine]],'CODE mchn'!$A$4:$C$170,3,0))</f>
        <v>Poyatos 1</v>
      </c>
      <c r="E1841" s="105">
        <v>25858</v>
      </c>
      <c r="F1841" s="36"/>
      <c r="G1841" s="235" t="s">
        <v>120</v>
      </c>
      <c r="H1841" s="235" t="s">
        <v>1022</v>
      </c>
      <c r="I1841" s="235" t="s">
        <v>13</v>
      </c>
      <c r="J1841" s="254" t="s">
        <v>3172</v>
      </c>
      <c r="K1841" s="236">
        <v>44510</v>
      </c>
      <c r="L1841" s="235"/>
      <c r="M1841" s="237">
        <v>40</v>
      </c>
      <c r="N1841" s="237">
        <f>MONTH(Tableau13[[#This Row],[Date fin intervention]])</f>
        <v>11</v>
      </c>
      <c r="O1841" s="237">
        <f>YEAR(Tableau13[[#This Row],[Date fin intervention]])</f>
        <v>2021</v>
      </c>
      <c r="P1841" s="235"/>
    </row>
    <row r="1842" spans="1:16" ht="42.75">
      <c r="A1842" s="232">
        <v>44510</v>
      </c>
      <c r="B1842" s="233">
        <v>800</v>
      </c>
      <c r="C1842" s="234" t="str">
        <f>IF(ISNA(VLOOKUP(Tableau13[[#This Row],[Code machine]],'CODE mchn'!$A$4:$C$170,2,0)),"",VLOOKUP(Tableau13[[#This Row],[Code machine]],'CODE mchn'!$A$4:$C$170,2,0))</f>
        <v>Béton</v>
      </c>
      <c r="D1842" s="235" t="str">
        <f>IF(ISNA(VLOOKUP(Tableau13[[#This Row],[Code machine]],'CODE mchn'!$A$4:$C$170,3,0)),"",VLOOKUP(Tableau13[[#This Row],[Code machine]],'CODE mchn'!$A$4:$C$170,3,0))</f>
        <v>Poyatos 2</v>
      </c>
      <c r="E1842" s="105">
        <v>25859</v>
      </c>
      <c r="F1842" s="36"/>
      <c r="G1842" s="235" t="s">
        <v>306</v>
      </c>
      <c r="H1842" s="235" t="s">
        <v>482</v>
      </c>
      <c r="I1842" s="235" t="s">
        <v>13</v>
      </c>
      <c r="J1842" s="254" t="s">
        <v>706</v>
      </c>
      <c r="K1842" s="236">
        <v>44510</v>
      </c>
      <c r="L1842" s="36" t="s">
        <v>4143</v>
      </c>
      <c r="M1842" s="237">
        <v>90</v>
      </c>
      <c r="N1842" s="237">
        <f>MONTH(Tableau13[[#This Row],[Date fin intervention]])</f>
        <v>11</v>
      </c>
      <c r="O1842" s="237">
        <f>YEAR(Tableau13[[#This Row],[Date fin intervention]])</f>
        <v>2021</v>
      </c>
      <c r="P1842" s="235" t="s">
        <v>3028</v>
      </c>
    </row>
    <row r="1843" spans="1:16">
      <c r="A1843" s="232">
        <v>44510</v>
      </c>
      <c r="B1843" s="233">
        <v>565</v>
      </c>
      <c r="C1843" s="234" t="str">
        <f>IF(ISNA(VLOOKUP(Tableau13[[#This Row],[Code machine]],'CODE mchn'!$A$4:$C$170,2,0)),"",VLOOKUP(Tableau13[[#This Row],[Code machine]],'CODE mchn'!$A$4:$C$170,2,0))</f>
        <v>Acier</v>
      </c>
      <c r="D1843" s="235" t="str">
        <f>IF(ISNA(VLOOKUP(Tableau13[[#This Row],[Code machine]],'CODE mchn'!$A$4:$C$170,3,0)),"",VLOOKUP(Tableau13[[#This Row],[Code machine]],'CODE mchn'!$A$4:$C$170,3,0))</f>
        <v>EVG GE12</v>
      </c>
      <c r="E1843" s="105">
        <v>25807</v>
      </c>
      <c r="F1843" s="36"/>
      <c r="G1843" s="235" t="s">
        <v>10</v>
      </c>
      <c r="H1843" s="235" t="s">
        <v>3220</v>
      </c>
      <c r="I1843" s="235" t="s">
        <v>13</v>
      </c>
      <c r="J1843" s="254" t="s">
        <v>3221</v>
      </c>
      <c r="K1843" s="236">
        <v>44510</v>
      </c>
      <c r="L1843" s="235"/>
      <c r="M1843" s="237">
        <f>4*60</f>
        <v>240</v>
      </c>
      <c r="N1843" s="237">
        <f>MONTH(Tableau13[[#This Row],[Date fin intervention]])</f>
        <v>11</v>
      </c>
      <c r="O1843" s="237">
        <f>YEAR(Tableau13[[#This Row],[Date fin intervention]])</f>
        <v>2021</v>
      </c>
      <c r="P1843" s="235"/>
    </row>
    <row r="1844" spans="1:16" ht="28.5">
      <c r="A1844" s="238">
        <v>44510</v>
      </c>
      <c r="B1844" s="239">
        <v>700</v>
      </c>
      <c r="C1844" s="240" t="str">
        <f>IF(ISNA(VLOOKUP(Tableau13[[#This Row],[Code machine]],'CODE mchn'!$A$4:$C$170,2,0)),"",VLOOKUP(Tableau13[[#This Row],[Code machine]],'CODE mchn'!$A$4:$C$170,2,0))</f>
        <v>Béton</v>
      </c>
      <c r="D1844" s="241" t="str">
        <f>IF(ISNA(VLOOKUP(Tableau13[[#This Row],[Code machine]],'CODE mchn'!$A$4:$C$170,3,0)),"",VLOOKUP(Tableau13[[#This Row],[Code machine]],'CODE mchn'!$A$4:$C$170,3,0))</f>
        <v>Poyatos 1</v>
      </c>
      <c r="E1844" s="239">
        <v>25957</v>
      </c>
      <c r="F1844" s="241"/>
      <c r="G1844" s="241" t="s">
        <v>3463</v>
      </c>
      <c r="H1844" s="241" t="s">
        <v>3464</v>
      </c>
      <c r="I1844" s="241" t="s">
        <v>3287</v>
      </c>
      <c r="J1844" s="249" t="s">
        <v>3465</v>
      </c>
      <c r="K1844" s="242">
        <v>44510</v>
      </c>
      <c r="L1844" s="241"/>
      <c r="M1844" s="243">
        <v>125</v>
      </c>
      <c r="N1844" s="243">
        <f>MONTH(Tableau13[[#This Row],[Date fin intervention]])</f>
        <v>11</v>
      </c>
      <c r="O1844" s="243">
        <f>YEAR(Tableau13[[#This Row],[Date fin intervention]])</f>
        <v>2021</v>
      </c>
      <c r="P1844" s="241"/>
    </row>
    <row r="1845" spans="1:16">
      <c r="A1845" s="238">
        <v>44510</v>
      </c>
      <c r="B1845" s="239">
        <v>620</v>
      </c>
      <c r="C1845" s="240" t="str">
        <f>IF(ISNA(VLOOKUP(Tableau13[[#This Row],[Code machine]],'CODE mchn'!$A$4:$C$170,2,0)),"",VLOOKUP(Tableau13[[#This Row],[Code machine]],'CODE mchn'!$A$4:$C$170,2,0))</f>
        <v>Acier</v>
      </c>
      <c r="D1845" s="241" t="str">
        <f>IF(ISNA(VLOOKUP(Tableau13[[#This Row],[Code machine]],'CODE mchn'!$A$4:$C$170,3,0)),"",VLOOKUP(Tableau13[[#This Row],[Code machine]],'CODE mchn'!$A$4:$C$170,3,0))</f>
        <v>EVG PN 2</v>
      </c>
      <c r="E1845" s="239">
        <v>25754</v>
      </c>
      <c r="F1845" s="241"/>
      <c r="G1845" s="241" t="s">
        <v>3540</v>
      </c>
      <c r="H1845" s="241" t="s">
        <v>3541</v>
      </c>
      <c r="I1845" s="241" t="s">
        <v>3287</v>
      </c>
      <c r="J1845" s="249" t="s">
        <v>3542</v>
      </c>
      <c r="K1845" s="242">
        <v>44510</v>
      </c>
      <c r="L1845" s="241"/>
      <c r="M1845" s="243">
        <v>30</v>
      </c>
      <c r="N1845" s="243">
        <f>MONTH(Tableau13[[#This Row],[Date fin intervention]])</f>
        <v>11</v>
      </c>
      <c r="O1845" s="243">
        <f>YEAR(Tableau13[[#This Row],[Date fin intervention]])</f>
        <v>2021</v>
      </c>
      <c r="P1845" s="241"/>
    </row>
    <row r="1846" spans="1:16">
      <c r="A1846" s="238">
        <v>44510</v>
      </c>
      <c r="B1846" s="239">
        <v>605</v>
      </c>
      <c r="C1846" s="240" t="str">
        <f>IF(ISNA(VLOOKUP(Tableau13[[#This Row],[Code machine]],'CODE mchn'!$A$4:$C$170,2,0)),"",VLOOKUP(Tableau13[[#This Row],[Code machine]],'CODE mchn'!$A$4:$C$170,2,0))</f>
        <v>Acier</v>
      </c>
      <c r="D1846" s="241" t="str">
        <f>IF(ISNA(VLOOKUP(Tableau13[[#This Row],[Code machine]],'CODE mchn'!$A$4:$C$170,3,0)),"",VLOOKUP(Tableau13[[#This Row],[Code machine]],'CODE mchn'!$A$4:$C$170,3,0))</f>
        <v>Vitari 1</v>
      </c>
      <c r="E1846" s="239">
        <v>25755</v>
      </c>
      <c r="F1846" s="241"/>
      <c r="G1846" s="241" t="s">
        <v>3543</v>
      </c>
      <c r="H1846" s="241" t="s">
        <v>3544</v>
      </c>
      <c r="I1846" s="241" t="s">
        <v>3291</v>
      </c>
      <c r="J1846" s="249" t="s">
        <v>3545</v>
      </c>
      <c r="K1846" s="242">
        <v>44510</v>
      </c>
      <c r="L1846" s="241"/>
      <c r="M1846" s="243">
        <v>60</v>
      </c>
      <c r="N1846" s="243">
        <f>MONTH(Tableau13[[#This Row],[Date fin intervention]])</f>
        <v>11</v>
      </c>
      <c r="O1846" s="243">
        <f>YEAR(Tableau13[[#This Row],[Date fin intervention]])</f>
        <v>2021</v>
      </c>
      <c r="P1846" s="241"/>
    </row>
    <row r="1847" spans="1:16" ht="28.5">
      <c r="A1847" s="238">
        <v>44510</v>
      </c>
      <c r="B1847" s="239">
        <v>565</v>
      </c>
      <c r="C1847" s="240" t="str">
        <f>IF(ISNA(VLOOKUP(Tableau13[[#This Row],[Code machine]],'CODE mchn'!$A$4:$C$170,2,0)),"",VLOOKUP(Tableau13[[#This Row],[Code machine]],'CODE mchn'!$A$4:$C$170,2,0))</f>
        <v>Acier</v>
      </c>
      <c r="D1847" s="241" t="str">
        <f>IF(ISNA(VLOOKUP(Tableau13[[#This Row],[Code machine]],'CODE mchn'!$A$4:$C$170,3,0)),"",VLOOKUP(Tableau13[[#This Row],[Code machine]],'CODE mchn'!$A$4:$C$170,3,0))</f>
        <v>EVG GE12</v>
      </c>
      <c r="E1847" s="239">
        <v>25807</v>
      </c>
      <c r="F1847" s="241"/>
      <c r="G1847" s="241" t="s">
        <v>3624</v>
      </c>
      <c r="H1847" s="241" t="s">
        <v>3623</v>
      </c>
      <c r="I1847" s="241" t="s">
        <v>3291</v>
      </c>
      <c r="J1847" s="249" t="s">
        <v>3625</v>
      </c>
      <c r="K1847" s="242">
        <v>44510</v>
      </c>
      <c r="L1847" s="241"/>
      <c r="M1847" s="243">
        <v>60</v>
      </c>
      <c r="N1847" s="243">
        <f>MONTH(Tableau13[[#This Row],[Date fin intervention]])</f>
        <v>11</v>
      </c>
      <c r="O1847" s="243">
        <f>YEAR(Tableau13[[#This Row],[Date fin intervention]])</f>
        <v>2021</v>
      </c>
      <c r="P1847" s="241"/>
    </row>
    <row r="1848" spans="1:16" ht="28.5">
      <c r="A1848" s="238">
        <v>44510</v>
      </c>
      <c r="B1848" s="239">
        <v>610</v>
      </c>
      <c r="C1848" s="240" t="str">
        <f>IF(ISNA(VLOOKUP(Tableau13[[#This Row],[Code machine]],'CODE mchn'!$A$4:$C$170,2,0)),"",VLOOKUP(Tableau13[[#This Row],[Code machine]],'CODE mchn'!$A$4:$C$170,2,0))</f>
        <v>Acier</v>
      </c>
      <c r="D1848" s="241" t="str">
        <f>IF(ISNA(VLOOKUP(Tableau13[[#This Row],[Code machine]],'CODE mchn'!$A$4:$C$170,3,0)),"",VLOOKUP(Tableau13[[#This Row],[Code machine]],'CODE mchn'!$A$4:$C$170,3,0))</f>
        <v>MEP91</v>
      </c>
      <c r="E1848" s="239">
        <v>25813</v>
      </c>
      <c r="F1848" s="241"/>
      <c r="G1848" s="241" t="s">
        <v>3450</v>
      </c>
      <c r="H1848" s="241" t="s">
        <v>3636</v>
      </c>
      <c r="I1848" s="241" t="s">
        <v>3291</v>
      </c>
      <c r="J1848" s="249" t="s">
        <v>3637</v>
      </c>
      <c r="K1848" s="242">
        <v>44510</v>
      </c>
      <c r="L1848" s="241"/>
      <c r="M1848" s="243">
        <v>120</v>
      </c>
      <c r="N1848" s="243">
        <f>MONTH(Tableau13[[#This Row],[Date fin intervention]])</f>
        <v>11</v>
      </c>
      <c r="O1848" s="243">
        <f>YEAR(Tableau13[[#This Row],[Date fin intervention]])</f>
        <v>2021</v>
      </c>
      <c r="P1848" s="241"/>
    </row>
    <row r="1849" spans="1:16" ht="28.5">
      <c r="A1849" s="238">
        <v>44511</v>
      </c>
      <c r="B1849" s="239">
        <v>700</v>
      </c>
      <c r="C1849" s="240" t="str">
        <f>IF(ISNA(VLOOKUP(Tableau13[[#This Row],[Code machine]],'CODE mchn'!$A$4:$C$170,2,0)),"",VLOOKUP(Tableau13[[#This Row],[Code machine]],'CODE mchn'!$A$4:$C$170,2,0))</f>
        <v>Béton</v>
      </c>
      <c r="D1849" s="241" t="str">
        <f>IF(ISNA(VLOOKUP(Tableau13[[#This Row],[Code machine]],'CODE mchn'!$A$4:$C$170,3,0)),"",VLOOKUP(Tableau13[[#This Row],[Code machine]],'CODE mchn'!$A$4:$C$170,3,0))</f>
        <v>Poyatos 1</v>
      </c>
      <c r="E1849" s="239">
        <v>25958</v>
      </c>
      <c r="F1849" s="241"/>
      <c r="G1849" s="241" t="s">
        <v>3466</v>
      </c>
      <c r="H1849" s="241" t="s">
        <v>3467</v>
      </c>
      <c r="I1849" s="241" t="s">
        <v>3287</v>
      </c>
      <c r="J1849" s="249" t="s">
        <v>3468</v>
      </c>
      <c r="K1849" s="242">
        <v>44511</v>
      </c>
      <c r="L1849" s="241"/>
      <c r="M1849" s="243">
        <v>120</v>
      </c>
      <c r="N1849" s="243">
        <f>MONTH(Tableau13[[#This Row],[Date fin intervention]])</f>
        <v>11</v>
      </c>
      <c r="O1849" s="243">
        <f>YEAR(Tableau13[[#This Row],[Date fin intervention]])</f>
        <v>2021</v>
      </c>
      <c r="P1849" s="241"/>
    </row>
    <row r="1850" spans="1:16" ht="28.5">
      <c r="A1850" s="238">
        <v>44511</v>
      </c>
      <c r="B1850" s="239">
        <v>565</v>
      </c>
      <c r="C1850" s="240" t="str">
        <f>IF(ISNA(VLOOKUP(Tableau13[[#This Row],[Code machine]],'CODE mchn'!$A$4:$C$170,2,0)),"",VLOOKUP(Tableau13[[#This Row],[Code machine]],'CODE mchn'!$A$4:$C$170,2,0))</f>
        <v>Acier</v>
      </c>
      <c r="D1850" s="241" t="str">
        <f>IF(ISNA(VLOOKUP(Tableau13[[#This Row],[Code machine]],'CODE mchn'!$A$4:$C$170,3,0)),"",VLOOKUP(Tableau13[[#This Row],[Code machine]],'CODE mchn'!$A$4:$C$170,3,0))</f>
        <v>EVG GE12</v>
      </c>
      <c r="E1850" s="239">
        <v>25756</v>
      </c>
      <c r="F1850" s="241"/>
      <c r="G1850" s="241" t="s">
        <v>3546</v>
      </c>
      <c r="H1850" s="241" t="s">
        <v>3585</v>
      </c>
      <c r="I1850" s="241" t="s">
        <v>3287</v>
      </c>
      <c r="J1850" s="249" t="s">
        <v>3547</v>
      </c>
      <c r="K1850" s="242">
        <v>44511</v>
      </c>
      <c r="L1850" s="241"/>
      <c r="M1850" s="243">
        <v>20</v>
      </c>
      <c r="N1850" s="243">
        <f>MONTH(Tableau13[[#This Row],[Date fin intervention]])</f>
        <v>11</v>
      </c>
      <c r="O1850" s="243">
        <f>YEAR(Tableau13[[#This Row],[Date fin intervention]])</f>
        <v>2021</v>
      </c>
      <c r="P1850" s="241"/>
    </row>
    <row r="1851" spans="1:16">
      <c r="A1851" s="238">
        <v>44511</v>
      </c>
      <c r="B1851" s="239">
        <v>565</v>
      </c>
      <c r="C1851" s="240" t="str">
        <f>IF(ISNA(VLOOKUP(Tableau13[[#This Row],[Code machine]],'CODE mchn'!$A$4:$C$170,2,0)),"",VLOOKUP(Tableau13[[#This Row],[Code machine]],'CODE mchn'!$A$4:$C$170,2,0))</f>
        <v>Acier</v>
      </c>
      <c r="D1851" s="241" t="str">
        <f>IF(ISNA(VLOOKUP(Tableau13[[#This Row],[Code machine]],'CODE mchn'!$A$4:$C$170,3,0)),"",VLOOKUP(Tableau13[[#This Row],[Code machine]],'CODE mchn'!$A$4:$C$170,3,0))</f>
        <v>EVG GE12</v>
      </c>
      <c r="E1851" s="239">
        <v>25757</v>
      </c>
      <c r="F1851" s="241"/>
      <c r="G1851" s="241" t="s">
        <v>3548</v>
      </c>
      <c r="H1851" s="241" t="s">
        <v>3549</v>
      </c>
      <c r="I1851" s="241" t="s">
        <v>3287</v>
      </c>
      <c r="J1851" s="249" t="s">
        <v>3550</v>
      </c>
      <c r="K1851" s="242">
        <v>44511</v>
      </c>
      <c r="L1851" s="241"/>
      <c r="M1851" s="243">
        <v>30</v>
      </c>
      <c r="N1851" s="243">
        <f>MONTH(Tableau13[[#This Row],[Date fin intervention]])</f>
        <v>11</v>
      </c>
      <c r="O1851" s="243">
        <f>YEAR(Tableau13[[#This Row],[Date fin intervention]])</f>
        <v>2021</v>
      </c>
      <c r="P1851" s="241"/>
    </row>
    <row r="1852" spans="1:16">
      <c r="A1852" s="238">
        <v>44511</v>
      </c>
      <c r="B1852" s="239">
        <v>565</v>
      </c>
      <c r="C1852" s="240" t="str">
        <f>IF(ISNA(VLOOKUP(Tableau13[[#This Row],[Code machine]],'CODE mchn'!$A$4:$C$170,2,0)),"",VLOOKUP(Tableau13[[#This Row],[Code machine]],'CODE mchn'!$A$4:$C$170,2,0))</f>
        <v>Acier</v>
      </c>
      <c r="D1852" s="241" t="str">
        <f>IF(ISNA(VLOOKUP(Tableau13[[#This Row],[Code machine]],'CODE mchn'!$A$4:$C$170,3,0)),"",VLOOKUP(Tableau13[[#This Row],[Code machine]],'CODE mchn'!$A$4:$C$170,3,0))</f>
        <v>EVG GE12</v>
      </c>
      <c r="E1852" s="239">
        <v>25758</v>
      </c>
      <c r="F1852" s="241"/>
      <c r="G1852" s="241" t="s">
        <v>3551</v>
      </c>
      <c r="H1852" s="241" t="s">
        <v>3552</v>
      </c>
      <c r="I1852" s="241" t="s">
        <v>3287</v>
      </c>
      <c r="J1852" s="249" t="s">
        <v>3553</v>
      </c>
      <c r="K1852" s="242">
        <v>44511</v>
      </c>
      <c r="L1852" s="241"/>
      <c r="M1852" s="243">
        <v>20</v>
      </c>
      <c r="N1852" s="243">
        <f>MONTH(Tableau13[[#This Row],[Date fin intervention]])</f>
        <v>11</v>
      </c>
      <c r="O1852" s="243">
        <f>YEAR(Tableau13[[#This Row],[Date fin intervention]])</f>
        <v>2021</v>
      </c>
      <c r="P1852" s="241"/>
    </row>
    <row r="1853" spans="1:16" ht="28.5">
      <c r="A1853" s="238">
        <v>44512</v>
      </c>
      <c r="B1853" s="239">
        <v>571</v>
      </c>
      <c r="C1853" s="240" t="str">
        <f>IF(ISNA(VLOOKUP(Tableau13[[#This Row],[Code machine]],'CODE mchn'!$A$4:$C$170,2,0)),"",VLOOKUP(Tableau13[[#This Row],[Code machine]],'CODE mchn'!$A$4:$C$170,2,0))</f>
        <v>Acier</v>
      </c>
      <c r="D1853" s="241" t="str">
        <f>IF(ISNA(VLOOKUP(Tableau13[[#This Row],[Code machine]],'CODE mchn'!$A$4:$C$170,3,0)),"",VLOOKUP(Tableau13[[#This Row],[Code machine]],'CODE mchn'!$A$4:$C$170,3,0))</f>
        <v>EVG PN 1</v>
      </c>
      <c r="E1853" s="239">
        <v>25822</v>
      </c>
      <c r="F1853" s="241"/>
      <c r="G1853" s="241" t="s">
        <v>3656</v>
      </c>
      <c r="H1853" s="241" t="s">
        <v>3657</v>
      </c>
      <c r="I1853" s="241" t="s">
        <v>3287</v>
      </c>
      <c r="J1853" s="249" t="s">
        <v>3658</v>
      </c>
      <c r="K1853" s="242">
        <v>44512</v>
      </c>
      <c r="L1853" s="241"/>
      <c r="M1853" s="243">
        <v>120</v>
      </c>
      <c r="N1853" s="243">
        <f>MONTH(Tableau13[[#This Row],[Date fin intervention]])</f>
        <v>11</v>
      </c>
      <c r="O1853" s="243">
        <f>YEAR(Tableau13[[#This Row],[Date fin intervention]])</f>
        <v>2021</v>
      </c>
      <c r="P1853" s="241"/>
    </row>
    <row r="1854" spans="1:16">
      <c r="A1854" s="232">
        <v>44513</v>
      </c>
      <c r="B1854" s="233">
        <v>581</v>
      </c>
      <c r="C1854" s="234" t="str">
        <f>IF(ISNA(VLOOKUP(Tableau13[[#This Row],[Code machine]],'CODE mchn'!$A$4:$C$170,2,0)),"",VLOOKUP(Tableau13[[#This Row],[Code machine]],'CODE mchn'!$A$4:$C$170,2,0))</f>
        <v>Acier</v>
      </c>
      <c r="D1854" s="235" t="str">
        <f>IF(ISNA(VLOOKUP(Tableau13[[#This Row],[Code machine]],'CODE mchn'!$A$4:$C$170,3,0)),"",VLOOKUP(Tableau13[[#This Row],[Code machine]],'CODE mchn'!$A$4:$C$170,3,0))</f>
        <v>Teurema 1</v>
      </c>
      <c r="E1854" s="105">
        <v>25917</v>
      </c>
      <c r="F1854" s="36"/>
      <c r="G1854" s="235" t="s">
        <v>1819</v>
      </c>
      <c r="H1854" s="235" t="s">
        <v>3236</v>
      </c>
      <c r="I1854" s="235" t="s">
        <v>13</v>
      </c>
      <c r="J1854" s="254" t="s">
        <v>3237</v>
      </c>
      <c r="K1854" s="236">
        <v>44513</v>
      </c>
      <c r="L1854" s="235"/>
      <c r="M1854" s="237"/>
      <c r="N1854" s="237">
        <f>MONTH(Tableau13[[#This Row],[Date fin intervention]])</f>
        <v>11</v>
      </c>
      <c r="O1854" s="237">
        <f>YEAR(Tableau13[[#This Row],[Date fin intervention]])</f>
        <v>2021</v>
      </c>
      <c r="P1854" s="235"/>
    </row>
    <row r="1855" spans="1:16">
      <c r="A1855" s="232">
        <v>44513</v>
      </c>
      <c r="B1855" s="233">
        <v>590</v>
      </c>
      <c r="C1855" s="234" t="str">
        <f>IF(ISNA(VLOOKUP(Tableau13[[#This Row],[Code machine]],'CODE mchn'!$A$4:$C$170,2,0)),"",VLOOKUP(Tableau13[[#This Row],[Code machine]],'CODE mchn'!$A$4:$C$170,2,0))</f>
        <v>Acier</v>
      </c>
      <c r="D1855" s="235" t="str">
        <f>IF(ISNA(VLOOKUP(Tableau13[[#This Row],[Code machine]],'CODE mchn'!$A$4:$C$170,3,0)),"",VLOOKUP(Tableau13[[#This Row],[Code machine]],'CODE mchn'!$A$4:$C$170,3,0))</f>
        <v>Teurema 3</v>
      </c>
      <c r="E1855" s="105">
        <v>25918</v>
      </c>
      <c r="F1855" s="36"/>
      <c r="G1855" s="235" t="s">
        <v>20</v>
      </c>
      <c r="H1855" s="235" t="s">
        <v>3238</v>
      </c>
      <c r="I1855" s="235" t="s">
        <v>13</v>
      </c>
      <c r="J1855" s="254" t="s">
        <v>3239</v>
      </c>
      <c r="K1855" s="236">
        <v>44513</v>
      </c>
      <c r="L1855" s="235"/>
      <c r="M1855" s="237">
        <v>40</v>
      </c>
      <c r="N1855" s="237">
        <f>MONTH(Tableau13[[#This Row],[Date fin intervention]])</f>
        <v>11</v>
      </c>
      <c r="O1855" s="237">
        <f>YEAR(Tableau13[[#This Row],[Date fin intervention]])</f>
        <v>2021</v>
      </c>
      <c r="P1855" s="235"/>
    </row>
    <row r="1856" spans="1:16" ht="57">
      <c r="A1856" s="232">
        <v>44515</v>
      </c>
      <c r="B1856" s="233">
        <v>565</v>
      </c>
      <c r="C1856" s="234" t="str">
        <f>IF(ISNA(VLOOKUP(Tableau13[[#This Row],[Code machine]],'CODE mchn'!$A$4:$C$170,2,0)),"",VLOOKUP(Tableau13[[#This Row],[Code machine]],'CODE mchn'!$A$4:$C$170,2,0))</f>
        <v>Acier</v>
      </c>
      <c r="D1856" s="235" t="str">
        <f>IF(ISNA(VLOOKUP(Tableau13[[#This Row],[Code machine]],'CODE mchn'!$A$4:$C$170,3,0)),"",VLOOKUP(Tableau13[[#This Row],[Code machine]],'CODE mchn'!$A$4:$C$170,3,0))</f>
        <v>EVG GE12</v>
      </c>
      <c r="E1856" s="105">
        <v>25810</v>
      </c>
      <c r="F1856" s="36"/>
      <c r="G1856" s="235" t="s">
        <v>2243</v>
      </c>
      <c r="H1856" s="235" t="s">
        <v>3224</v>
      </c>
      <c r="I1856" s="235" t="s">
        <v>13</v>
      </c>
      <c r="J1856" s="254" t="s">
        <v>3225</v>
      </c>
      <c r="K1856" s="236">
        <v>44519</v>
      </c>
      <c r="L1856" s="235"/>
      <c r="M1856" s="237">
        <f>4*8*60</f>
        <v>1920</v>
      </c>
      <c r="N1856" s="237">
        <f>MONTH(Tableau13[[#This Row],[Date fin intervention]])</f>
        <v>11</v>
      </c>
      <c r="O1856" s="237">
        <f>YEAR(Tableau13[[#This Row],[Date fin intervention]])</f>
        <v>2021</v>
      </c>
      <c r="P1856" s="235"/>
    </row>
    <row r="1857" spans="1:16">
      <c r="A1857" s="232">
        <v>44515</v>
      </c>
      <c r="B1857" s="233">
        <v>581</v>
      </c>
      <c r="C1857" s="234" t="str">
        <f>IF(ISNA(VLOOKUP(Tableau13[[#This Row],[Code machine]],'CODE mchn'!$A$4:$C$170,2,0)),"",VLOOKUP(Tableau13[[#This Row],[Code machine]],'CODE mchn'!$A$4:$C$170,2,0))</f>
        <v>Acier</v>
      </c>
      <c r="D1857" s="235" t="str">
        <f>IF(ISNA(VLOOKUP(Tableau13[[#This Row],[Code machine]],'CODE mchn'!$A$4:$C$170,3,0)),"",VLOOKUP(Tableau13[[#This Row],[Code machine]],'CODE mchn'!$A$4:$C$170,3,0))</f>
        <v>Teurema 1</v>
      </c>
      <c r="E1857" s="105">
        <v>25919</v>
      </c>
      <c r="F1857" s="36"/>
      <c r="G1857" s="235" t="s">
        <v>274</v>
      </c>
      <c r="H1857" s="235" t="s">
        <v>892</v>
      </c>
      <c r="I1857" s="235" t="s">
        <v>13</v>
      </c>
      <c r="J1857" s="254" t="s">
        <v>1169</v>
      </c>
      <c r="K1857" s="236">
        <v>44515</v>
      </c>
      <c r="L1857" s="235"/>
      <c r="M1857" s="237"/>
      <c r="N1857" s="237">
        <f>MONTH(Tableau13[[#This Row],[Date fin intervention]])</f>
        <v>11</v>
      </c>
      <c r="O1857" s="237">
        <f>YEAR(Tableau13[[#This Row],[Date fin intervention]])</f>
        <v>2021</v>
      </c>
      <c r="P1857" s="235"/>
    </row>
    <row r="1858" spans="1:16">
      <c r="A1858" s="238">
        <v>44515</v>
      </c>
      <c r="B1858" s="239">
        <v>561</v>
      </c>
      <c r="C1858" s="240" t="str">
        <f>IF(ISNA(VLOOKUP(Tableau13[[#This Row],[Code machine]],'CODE mchn'!$A$4:$C$170,2,0)),"",VLOOKUP(Tableau13[[#This Row],[Code machine]],'CODE mchn'!$A$4:$C$170,2,0))</f>
        <v>Ponts roulants</v>
      </c>
      <c r="D1858" s="241" t="str">
        <f>IF(ISNA(VLOOKUP(Tableau13[[#This Row],[Code machine]],'CODE mchn'!$A$4:$C$170,3,0)),"",VLOOKUP(Tableau13[[#This Row],[Code machine]],'CODE mchn'!$A$4:$C$170,3,0))</f>
        <v>Pont roulant Demag 5T TS</v>
      </c>
      <c r="E1858" s="239">
        <v>25768</v>
      </c>
      <c r="F1858" s="241"/>
      <c r="G1858" s="241" t="s">
        <v>3450</v>
      </c>
      <c r="H1858" s="241" t="s">
        <v>3574</v>
      </c>
      <c r="I1858" s="241" t="s">
        <v>3287</v>
      </c>
      <c r="J1858" s="249" t="s">
        <v>3575</v>
      </c>
      <c r="K1858" s="242">
        <v>44525</v>
      </c>
      <c r="L1858" s="241"/>
      <c r="M1858" s="243">
        <v>10</v>
      </c>
      <c r="N1858" s="243">
        <f>MONTH(Tableau13[[#This Row],[Date fin intervention]])</f>
        <v>11</v>
      </c>
      <c r="O1858" s="243">
        <f>YEAR(Tableau13[[#This Row],[Date fin intervention]])</f>
        <v>2021</v>
      </c>
      <c r="P1858" s="241"/>
    </row>
    <row r="1859" spans="1:16" ht="28.5">
      <c r="A1859" s="238">
        <v>44515</v>
      </c>
      <c r="B1859" s="239">
        <v>565</v>
      </c>
      <c r="C1859" s="240" t="str">
        <f>IF(ISNA(VLOOKUP(Tableau13[[#This Row],[Code machine]],'CODE mchn'!$A$4:$C$170,2,0)),"",VLOOKUP(Tableau13[[#This Row],[Code machine]],'CODE mchn'!$A$4:$C$170,2,0))</f>
        <v>Acier</v>
      </c>
      <c r="D1859" s="241" t="str">
        <f>IF(ISNA(VLOOKUP(Tableau13[[#This Row],[Code machine]],'CODE mchn'!$A$4:$C$170,3,0)),"",VLOOKUP(Tableau13[[#This Row],[Code machine]],'CODE mchn'!$A$4:$C$170,3,0))</f>
        <v>EVG GE12</v>
      </c>
      <c r="E1859" s="239">
        <v>25810</v>
      </c>
      <c r="F1859" s="241"/>
      <c r="G1859" s="241" t="s">
        <v>3629</v>
      </c>
      <c r="H1859" s="241" t="s">
        <v>3630</v>
      </c>
      <c r="I1859" s="241" t="s">
        <v>3287</v>
      </c>
      <c r="J1859" s="249" t="s">
        <v>3631</v>
      </c>
      <c r="K1859" s="242">
        <v>44515</v>
      </c>
      <c r="L1859" s="241"/>
      <c r="M1859" s="243" t="s">
        <v>3632</v>
      </c>
      <c r="N1859" s="243">
        <f>MONTH(Tableau13[[#This Row],[Date fin intervention]])</f>
        <v>11</v>
      </c>
      <c r="O1859" s="243">
        <f>YEAR(Tableau13[[#This Row],[Date fin intervention]])</f>
        <v>2021</v>
      </c>
      <c r="P1859" s="241"/>
    </row>
    <row r="1860" spans="1:16" ht="99.75">
      <c r="A1860" s="232">
        <v>44516</v>
      </c>
      <c r="B1860" s="233">
        <v>800</v>
      </c>
      <c r="C1860" s="234" t="str">
        <f>IF(ISNA(VLOOKUP(Tableau13[[#This Row],[Code machine]],'CODE mchn'!$A$4:$C$170,2,0)),"",VLOOKUP(Tableau13[[#This Row],[Code machine]],'CODE mchn'!$A$4:$C$170,2,0))</f>
        <v>Béton</v>
      </c>
      <c r="D1860" s="235" t="str">
        <f>IF(ISNA(VLOOKUP(Tableau13[[#This Row],[Code machine]],'CODE mchn'!$A$4:$C$170,3,0)),"",VLOOKUP(Tableau13[[#This Row],[Code machine]],'CODE mchn'!$A$4:$C$170,3,0))</f>
        <v>Poyatos 2</v>
      </c>
      <c r="E1860" s="105">
        <v>25860</v>
      </c>
      <c r="F1860" s="36"/>
      <c r="G1860" s="235" t="s">
        <v>3</v>
      </c>
      <c r="H1860" s="235" t="s">
        <v>3173</v>
      </c>
      <c r="I1860" s="235" t="s">
        <v>1578</v>
      </c>
      <c r="J1860" s="254" t="s">
        <v>3174</v>
      </c>
      <c r="K1860" s="236">
        <v>44523</v>
      </c>
      <c r="L1860" s="36" t="s">
        <v>3175</v>
      </c>
      <c r="M1860" s="237">
        <f>60*8*2*5</f>
        <v>4800</v>
      </c>
      <c r="N1860" s="237">
        <f>MONTH(Tableau13[[#This Row],[Date fin intervention]])</f>
        <v>11</v>
      </c>
      <c r="O1860" s="237">
        <f>YEAR(Tableau13[[#This Row],[Date fin intervention]])</f>
        <v>2021</v>
      </c>
      <c r="P1860" s="235"/>
    </row>
    <row r="1861" spans="1:16">
      <c r="A1861" s="232">
        <v>44516</v>
      </c>
      <c r="B1861" s="233">
        <v>580</v>
      </c>
      <c r="C1861" s="234" t="str">
        <f>IF(ISNA(VLOOKUP(Tableau13[[#This Row],[Code machine]],'CODE mchn'!$A$4:$C$170,2,0)),"",VLOOKUP(Tableau13[[#This Row],[Code machine]],'CODE mchn'!$A$4:$C$170,2,0))</f>
        <v>Acier</v>
      </c>
      <c r="D1861" s="235" t="str">
        <f>IF(ISNA(VLOOKUP(Tableau13[[#This Row],[Code machine]],'CODE mchn'!$A$4:$C$170,3,0)),"",VLOOKUP(Tableau13[[#This Row],[Code machine]],'CODE mchn'!$A$4:$C$170,3,0))</f>
        <v>Techno Impiante</v>
      </c>
      <c r="E1861" s="105">
        <v>25920</v>
      </c>
      <c r="F1861" s="36"/>
      <c r="G1861" s="235" t="s">
        <v>446</v>
      </c>
      <c r="H1861" s="235" t="s">
        <v>3186</v>
      </c>
      <c r="I1861" s="235" t="s">
        <v>13</v>
      </c>
      <c r="J1861" s="254" t="s">
        <v>3240</v>
      </c>
      <c r="K1861" s="236">
        <v>44516</v>
      </c>
      <c r="L1861" s="235"/>
      <c r="M1861" s="237">
        <v>60</v>
      </c>
      <c r="N1861" s="237">
        <f>MONTH(Tableau13[[#This Row],[Date fin intervention]])</f>
        <v>11</v>
      </c>
      <c r="O1861" s="237">
        <f>YEAR(Tableau13[[#This Row],[Date fin intervention]])</f>
        <v>2021</v>
      </c>
      <c r="P1861" s="235"/>
    </row>
    <row r="1862" spans="1:16">
      <c r="A1862" s="232">
        <v>44517</v>
      </c>
      <c r="B1862" s="233">
        <v>590</v>
      </c>
      <c r="C1862" s="234" t="str">
        <f>IF(ISNA(VLOOKUP(Tableau13[[#This Row],[Code machine]],'CODE mchn'!$A$4:$C$170,2,0)),"",VLOOKUP(Tableau13[[#This Row],[Code machine]],'CODE mchn'!$A$4:$C$170,2,0))</f>
        <v>Acier</v>
      </c>
      <c r="D1862" s="235" t="str">
        <f>IF(ISNA(VLOOKUP(Tableau13[[#This Row],[Code machine]],'CODE mchn'!$A$4:$C$170,3,0)),"",VLOOKUP(Tableau13[[#This Row],[Code machine]],'CODE mchn'!$A$4:$C$170,3,0))</f>
        <v>Teurema 3</v>
      </c>
      <c r="E1862" s="105">
        <v>25921</v>
      </c>
      <c r="F1862" s="36"/>
      <c r="G1862" s="235" t="s">
        <v>612</v>
      </c>
      <c r="H1862" s="235" t="s">
        <v>1936</v>
      </c>
      <c r="I1862" s="235" t="s">
        <v>13</v>
      </c>
      <c r="J1862" s="254" t="s">
        <v>1705</v>
      </c>
      <c r="K1862" s="236">
        <v>44517</v>
      </c>
      <c r="L1862" s="235"/>
      <c r="M1862" s="237">
        <v>90</v>
      </c>
      <c r="N1862" s="237">
        <f>MONTH(Tableau13[[#This Row],[Date fin intervention]])</f>
        <v>11</v>
      </c>
      <c r="O1862" s="237">
        <f>YEAR(Tableau13[[#This Row],[Date fin intervention]])</f>
        <v>2021</v>
      </c>
      <c r="P1862" s="235"/>
    </row>
    <row r="1863" spans="1:16" ht="42.75">
      <c r="A1863" s="238">
        <v>44517</v>
      </c>
      <c r="B1863" s="239">
        <v>620</v>
      </c>
      <c r="C1863" s="240" t="str">
        <f>IF(ISNA(VLOOKUP(Tableau13[[#This Row],[Code machine]],'CODE mchn'!$A$4:$C$170,2,0)),"",VLOOKUP(Tableau13[[#This Row],[Code machine]],'CODE mchn'!$A$4:$C$170,2,0))</f>
        <v>Acier</v>
      </c>
      <c r="D1863" s="241" t="str">
        <f>IF(ISNA(VLOOKUP(Tableau13[[#This Row],[Code machine]],'CODE mchn'!$A$4:$C$170,3,0)),"",VLOOKUP(Tableau13[[#This Row],[Code machine]],'CODE mchn'!$A$4:$C$170,3,0))</f>
        <v>EVG PN 2</v>
      </c>
      <c r="E1863" s="239">
        <v>25823</v>
      </c>
      <c r="F1863" s="241"/>
      <c r="G1863" s="241" t="s">
        <v>3659</v>
      </c>
      <c r="H1863" s="241" t="s">
        <v>3660</v>
      </c>
      <c r="I1863" s="241" t="s">
        <v>3287</v>
      </c>
      <c r="J1863" s="249" t="s">
        <v>3661</v>
      </c>
      <c r="K1863" s="242">
        <v>44517</v>
      </c>
      <c r="L1863" s="241"/>
      <c r="M1863" s="243">
        <v>120</v>
      </c>
      <c r="N1863" s="243">
        <f>MONTH(Tableau13[[#This Row],[Date fin intervention]])</f>
        <v>11</v>
      </c>
      <c r="O1863" s="243">
        <f>YEAR(Tableau13[[#This Row],[Date fin intervention]])</f>
        <v>2021</v>
      </c>
      <c r="P1863" s="241"/>
    </row>
    <row r="1864" spans="1:16">
      <c r="A1864" s="104">
        <v>44518</v>
      </c>
      <c r="B1864" s="105">
        <v>800</v>
      </c>
      <c r="C1864" s="106" t="str">
        <f>IF(ISNA(VLOOKUP(Tableau13[[#This Row],[Code machine]],'CODE mchn'!$A$4:$C$170,2,0)),"",VLOOKUP(Tableau13[[#This Row],[Code machine]],'CODE mchn'!$A$4:$C$170,2,0))</f>
        <v>Béton</v>
      </c>
      <c r="D1864" s="36" t="str">
        <f>IF(ISNA(VLOOKUP(Tableau13[[#This Row],[Code machine]],'CODE mchn'!$A$4:$C$170,3,0)),"",VLOOKUP(Tableau13[[#This Row],[Code machine]],'CODE mchn'!$A$4:$C$170,3,0))</f>
        <v>Poyatos 2</v>
      </c>
      <c r="E1864" s="105"/>
      <c r="F1864" s="36"/>
      <c r="G1864" s="36" t="s">
        <v>306</v>
      </c>
      <c r="H1864" s="36" t="s">
        <v>4120</v>
      </c>
      <c r="I1864" s="36" t="s">
        <v>30</v>
      </c>
      <c r="J1864" s="252" t="s">
        <v>4134</v>
      </c>
      <c r="K1864" s="71">
        <v>44518</v>
      </c>
      <c r="L1864" s="36"/>
      <c r="M1864" s="108">
        <v>60</v>
      </c>
      <c r="N1864" s="108">
        <f>MONTH(Tableau13[[#This Row],[Date fin intervention]])</f>
        <v>11</v>
      </c>
      <c r="O1864" s="108">
        <f>YEAR(Tableau13[[#This Row],[Date fin intervention]])</f>
        <v>2021</v>
      </c>
      <c r="P1864" s="36"/>
    </row>
    <row r="1865" spans="1:16">
      <c r="A1865" s="232">
        <v>44519</v>
      </c>
      <c r="B1865" s="233">
        <v>581</v>
      </c>
      <c r="C1865" s="234" t="str">
        <f>IF(ISNA(VLOOKUP(Tableau13[[#This Row],[Code machine]],'CODE mchn'!$A$4:$C$170,2,0)),"",VLOOKUP(Tableau13[[#This Row],[Code machine]],'CODE mchn'!$A$4:$C$170,2,0))</f>
        <v>Acier</v>
      </c>
      <c r="D1865" s="235" t="str">
        <f>IF(ISNA(VLOOKUP(Tableau13[[#This Row],[Code machine]],'CODE mchn'!$A$4:$C$170,3,0)),"",VLOOKUP(Tableau13[[#This Row],[Code machine]],'CODE mchn'!$A$4:$C$170,3,0))</f>
        <v>Teurema 1</v>
      </c>
      <c r="E1865" s="105">
        <v>25923</v>
      </c>
      <c r="F1865" s="36"/>
      <c r="G1865" s="235" t="s">
        <v>3241</v>
      </c>
      <c r="H1865" s="235" t="s">
        <v>3242</v>
      </c>
      <c r="I1865" s="235" t="s">
        <v>13</v>
      </c>
      <c r="J1865" s="254" t="s">
        <v>671</v>
      </c>
      <c r="K1865" s="236">
        <v>44519</v>
      </c>
      <c r="L1865" s="235"/>
      <c r="M1865" s="237"/>
      <c r="N1865" s="237">
        <f>MONTH(Tableau13[[#This Row],[Date fin intervention]])</f>
        <v>11</v>
      </c>
      <c r="O1865" s="237">
        <f>YEAR(Tableau13[[#This Row],[Date fin intervention]])</f>
        <v>2021</v>
      </c>
      <c r="P1865" s="235"/>
    </row>
    <row r="1866" spans="1:16" ht="28.5">
      <c r="A1866" s="238">
        <v>44519</v>
      </c>
      <c r="B1866" s="239">
        <v>571</v>
      </c>
      <c r="C1866" s="240" t="str">
        <f>IF(ISNA(VLOOKUP(Tableau13[[#This Row],[Code machine]],'CODE mchn'!$A$4:$C$170,2,0)),"",VLOOKUP(Tableau13[[#This Row],[Code machine]],'CODE mchn'!$A$4:$C$170,2,0))</f>
        <v>Acier</v>
      </c>
      <c r="D1866" s="241" t="str">
        <f>IF(ISNA(VLOOKUP(Tableau13[[#This Row],[Code machine]],'CODE mchn'!$A$4:$C$170,3,0)),"",VLOOKUP(Tableau13[[#This Row],[Code machine]],'CODE mchn'!$A$4:$C$170,3,0))</f>
        <v>EVG PN 1</v>
      </c>
      <c r="E1866" s="239">
        <v>25761</v>
      </c>
      <c r="F1866" s="241"/>
      <c r="G1866" s="241" t="s">
        <v>3560</v>
      </c>
      <c r="H1866" s="241" t="s">
        <v>3561</v>
      </c>
      <c r="I1866" s="241" t="s">
        <v>3287</v>
      </c>
      <c r="J1866" s="249" t="s">
        <v>3562</v>
      </c>
      <c r="K1866" s="242">
        <v>44519</v>
      </c>
      <c r="L1866" s="241"/>
      <c r="M1866" s="243">
        <v>95</v>
      </c>
      <c r="N1866" s="243">
        <f>MONTH(Tableau13[[#This Row],[Date fin intervention]])</f>
        <v>11</v>
      </c>
      <c r="O1866" s="243">
        <f>YEAR(Tableau13[[#This Row],[Date fin intervention]])</f>
        <v>2021</v>
      </c>
      <c r="P1866" s="241"/>
    </row>
    <row r="1867" spans="1:16">
      <c r="A1867" s="232">
        <v>44520</v>
      </c>
      <c r="B1867" s="233">
        <v>700</v>
      </c>
      <c r="C1867" s="234" t="str">
        <f>IF(ISNA(VLOOKUP(Tableau13[[#This Row],[Code machine]],'CODE mchn'!$A$4:$C$170,2,0)),"",VLOOKUP(Tableau13[[#This Row],[Code machine]],'CODE mchn'!$A$4:$C$170,2,0))</f>
        <v>Béton</v>
      </c>
      <c r="D1867" s="235" t="str">
        <f>IF(ISNA(VLOOKUP(Tableau13[[#This Row],[Code machine]],'CODE mchn'!$A$4:$C$170,3,0)),"",VLOOKUP(Tableau13[[#This Row],[Code machine]],'CODE mchn'!$A$4:$C$170,3,0))</f>
        <v>Poyatos 1</v>
      </c>
      <c r="E1867" s="105">
        <v>25861</v>
      </c>
      <c r="F1867" s="36"/>
      <c r="G1867" s="235" t="s">
        <v>2398</v>
      </c>
      <c r="H1867" s="235" t="s">
        <v>3190</v>
      </c>
      <c r="I1867" s="235" t="s">
        <v>13</v>
      </c>
      <c r="J1867" s="254" t="s">
        <v>3191</v>
      </c>
      <c r="K1867" s="236">
        <v>44520</v>
      </c>
      <c r="L1867" s="235"/>
      <c r="M1867" s="237">
        <v>120</v>
      </c>
      <c r="N1867" s="237">
        <f>MONTH(Tableau13[[#This Row],[Date fin intervention]])</f>
        <v>11</v>
      </c>
      <c r="O1867" s="237">
        <f>YEAR(Tableau13[[#This Row],[Date fin intervention]])</f>
        <v>2021</v>
      </c>
      <c r="P1867" s="235"/>
    </row>
    <row r="1868" spans="1:16">
      <c r="A1868" s="232">
        <v>44520</v>
      </c>
      <c r="B1868" s="233">
        <v>580</v>
      </c>
      <c r="C1868" s="234" t="str">
        <f>IF(ISNA(VLOOKUP(Tableau13[[#This Row],[Code machine]],'CODE mchn'!$A$4:$C$170,2,0)),"",VLOOKUP(Tableau13[[#This Row],[Code machine]],'CODE mchn'!$A$4:$C$170,2,0))</f>
        <v>Acier</v>
      </c>
      <c r="D1868" s="235" t="str">
        <f>IF(ISNA(VLOOKUP(Tableau13[[#This Row],[Code machine]],'CODE mchn'!$A$4:$C$170,3,0)),"",VLOOKUP(Tableau13[[#This Row],[Code machine]],'CODE mchn'!$A$4:$C$170,3,0))</f>
        <v>Techno Impiante</v>
      </c>
      <c r="E1868" s="105">
        <v>25928</v>
      </c>
      <c r="F1868" s="36"/>
      <c r="G1868" s="235" t="s">
        <v>612</v>
      </c>
      <c r="H1868" s="235" t="s">
        <v>3249</v>
      </c>
      <c r="I1868" s="235" t="s">
        <v>13</v>
      </c>
      <c r="J1868" s="254" t="s">
        <v>3250</v>
      </c>
      <c r="K1868" s="236">
        <v>44521</v>
      </c>
      <c r="L1868" s="235"/>
      <c r="M1868" s="237">
        <f>8*60</f>
        <v>480</v>
      </c>
      <c r="N1868" s="237">
        <f>MONTH(Tableau13[[#This Row],[Date fin intervention]])</f>
        <v>11</v>
      </c>
      <c r="O1868" s="237">
        <f>YEAR(Tableau13[[#This Row],[Date fin intervention]])</f>
        <v>2021</v>
      </c>
      <c r="P1868" s="235"/>
    </row>
    <row r="1869" spans="1:16" ht="28.5">
      <c r="A1869" s="238">
        <v>44522</v>
      </c>
      <c r="B1869" s="239">
        <v>568</v>
      </c>
      <c r="C1869" s="240" t="str">
        <f>IF(ISNA(VLOOKUP(Tableau13[[#This Row],[Code machine]],'CODE mchn'!$A$4:$C$170,2,0)),"",VLOOKUP(Tableau13[[#This Row],[Code machine]],'CODE mchn'!$A$4:$C$170,2,0))</f>
        <v>Ponts roulants</v>
      </c>
      <c r="D1869" s="241" t="str">
        <f>IF(ISNA(VLOOKUP(Tableau13[[#This Row],[Code machine]],'CODE mchn'!$A$4:$C$170,3,0)),"",VLOOKUP(Tableau13[[#This Row],[Code machine]],'CODE mchn'!$A$4:$C$170,3,0))</f>
        <v>Pont roulant Demag 5T (milieu)</v>
      </c>
      <c r="E1869" s="239">
        <v>25964</v>
      </c>
      <c r="F1869" s="241"/>
      <c r="G1869" s="241" t="s">
        <v>3450</v>
      </c>
      <c r="H1869" s="241" t="s">
        <v>3482</v>
      </c>
      <c r="I1869" s="241" t="s">
        <v>3287</v>
      </c>
      <c r="J1869" s="249" t="s">
        <v>3478</v>
      </c>
      <c r="K1869" s="242">
        <v>44522</v>
      </c>
      <c r="L1869" s="241"/>
      <c r="M1869" s="243">
        <v>45</v>
      </c>
      <c r="N1869" s="243">
        <f>MONTH(Tableau13[[#This Row],[Date fin intervention]])</f>
        <v>11</v>
      </c>
      <c r="O1869" s="243">
        <f>YEAR(Tableau13[[#This Row],[Date fin intervention]])</f>
        <v>2021</v>
      </c>
      <c r="P1869" s="241"/>
    </row>
    <row r="1870" spans="1:16" ht="28.5">
      <c r="A1870" s="238">
        <v>44522</v>
      </c>
      <c r="B1870" s="239">
        <v>584</v>
      </c>
      <c r="C1870" s="240" t="str">
        <f>IF(ISNA(VLOOKUP(Tableau13[[#This Row],[Code machine]],'CODE mchn'!$A$4:$C$170,2,0)),"",VLOOKUP(Tableau13[[#This Row],[Code machine]],'CODE mchn'!$A$4:$C$170,2,0))</f>
        <v>Ponts roulants</v>
      </c>
      <c r="D1870" s="241" t="str">
        <f>IF(ISNA(VLOOKUP(Tableau13[[#This Row],[Code machine]],'CODE mchn'!$A$4:$C$170,3,0)),"",VLOOKUP(Tableau13[[#This Row],[Code machine]],'CODE mchn'!$A$4:$C$170,3,0))</f>
        <v>Pont roulant Demag 3,2T (teurema2)</v>
      </c>
      <c r="E1870" s="239">
        <v>25965</v>
      </c>
      <c r="F1870" s="241"/>
      <c r="G1870" s="241" t="s">
        <v>3483</v>
      </c>
      <c r="H1870" s="241" t="s">
        <v>3484</v>
      </c>
      <c r="I1870" s="241" t="s">
        <v>3287</v>
      </c>
      <c r="J1870" s="249" t="s">
        <v>3485</v>
      </c>
      <c r="K1870" s="242">
        <v>44522</v>
      </c>
      <c r="L1870" s="241"/>
      <c r="M1870" s="243">
        <v>60</v>
      </c>
      <c r="N1870" s="243">
        <f>MONTH(Tableau13[[#This Row],[Date fin intervention]])</f>
        <v>11</v>
      </c>
      <c r="O1870" s="243">
        <f>YEAR(Tableau13[[#This Row],[Date fin intervention]])</f>
        <v>2021</v>
      </c>
      <c r="P1870" s="241"/>
    </row>
    <row r="1871" spans="1:16" ht="28.5">
      <c r="A1871" s="232">
        <v>44523</v>
      </c>
      <c r="B1871" s="233">
        <v>700</v>
      </c>
      <c r="C1871" s="234" t="str">
        <f>IF(ISNA(VLOOKUP(Tableau13[[#This Row],[Code machine]],'CODE mchn'!$A$4:$C$170,2,0)),"",VLOOKUP(Tableau13[[#This Row],[Code machine]],'CODE mchn'!$A$4:$C$170,2,0))</f>
        <v>Béton</v>
      </c>
      <c r="D1871" s="235" t="str">
        <f>IF(ISNA(VLOOKUP(Tableau13[[#This Row],[Code machine]],'CODE mchn'!$A$4:$C$170,3,0)),"",VLOOKUP(Tableau13[[#This Row],[Code machine]],'CODE mchn'!$A$4:$C$170,3,0))</f>
        <v>Poyatos 1</v>
      </c>
      <c r="E1871" s="105">
        <v>25862</v>
      </c>
      <c r="F1871" s="36"/>
      <c r="G1871" s="235" t="s">
        <v>394</v>
      </c>
      <c r="H1871" s="235" t="s">
        <v>3192</v>
      </c>
      <c r="I1871" s="235" t="s">
        <v>13</v>
      </c>
      <c r="J1871" s="254" t="s">
        <v>3193</v>
      </c>
      <c r="K1871" s="236">
        <v>44523</v>
      </c>
      <c r="L1871" s="235"/>
      <c r="M1871" s="237">
        <v>120</v>
      </c>
      <c r="N1871" s="237">
        <f>MONTH(Tableau13[[#This Row],[Date fin intervention]])</f>
        <v>11</v>
      </c>
      <c r="O1871" s="237">
        <f>YEAR(Tableau13[[#This Row],[Date fin intervention]])</f>
        <v>2021</v>
      </c>
      <c r="P1871" s="235"/>
    </row>
    <row r="1872" spans="1:16" ht="28.5">
      <c r="A1872" s="238">
        <v>44523</v>
      </c>
      <c r="B1872" s="239">
        <v>565</v>
      </c>
      <c r="C1872" s="240" t="str">
        <f>IF(ISNA(VLOOKUP(Tableau13[[#This Row],[Code machine]],'CODE mchn'!$A$4:$C$170,2,0)),"",VLOOKUP(Tableau13[[#This Row],[Code machine]],'CODE mchn'!$A$4:$C$170,2,0))</f>
        <v>Acier</v>
      </c>
      <c r="D1872" s="241" t="str">
        <f>IF(ISNA(VLOOKUP(Tableau13[[#This Row],[Code machine]],'CODE mchn'!$A$4:$C$170,3,0)),"",VLOOKUP(Tableau13[[#This Row],[Code machine]],'CODE mchn'!$A$4:$C$170,3,0))</f>
        <v>EVG GE12</v>
      </c>
      <c r="E1872" s="239">
        <v>25762</v>
      </c>
      <c r="F1872" s="241"/>
      <c r="G1872" s="241" t="s">
        <v>3563</v>
      </c>
      <c r="H1872" s="241" t="s">
        <v>3564</v>
      </c>
      <c r="I1872" s="241" t="s">
        <v>3287</v>
      </c>
      <c r="J1872" s="249" t="s">
        <v>3565</v>
      </c>
      <c r="K1872" s="242">
        <v>44523</v>
      </c>
      <c r="L1872" s="241"/>
      <c r="M1872" s="243">
        <v>20</v>
      </c>
      <c r="N1872" s="243">
        <f>MONTH(Tableau13[[#This Row],[Date fin intervention]])</f>
        <v>11</v>
      </c>
      <c r="O1872" s="243">
        <f>YEAR(Tableau13[[#This Row],[Date fin intervention]])</f>
        <v>2021</v>
      </c>
      <c r="P1872" s="241"/>
    </row>
    <row r="1873" spans="1:16">
      <c r="A1873" s="104">
        <v>44524</v>
      </c>
      <c r="B1873" s="105">
        <v>590</v>
      </c>
      <c r="C1873" s="106" t="str">
        <f>IF(ISNA(VLOOKUP(Tableau13[[#This Row],[Code machine]],'CODE mchn'!$A$4:$C$170,2,0)),"",VLOOKUP(Tableau13[[#This Row],[Code machine]],'CODE mchn'!$A$4:$C$170,2,0))</f>
        <v>Acier</v>
      </c>
      <c r="D1873" s="36" t="str">
        <f>IF(ISNA(VLOOKUP(Tableau13[[#This Row],[Code machine]],'CODE mchn'!$A$4:$C$170,3,0)),"",VLOOKUP(Tableau13[[#This Row],[Code machine]],'CODE mchn'!$A$4:$C$170,3,0))</f>
        <v>Teurema 3</v>
      </c>
      <c r="E1873" s="105">
        <v>26001</v>
      </c>
      <c r="F1873" s="36"/>
      <c r="G1873" s="36" t="s">
        <v>612</v>
      </c>
      <c r="H1873" s="36" t="s">
        <v>496</v>
      </c>
      <c r="I1873" s="36" t="s">
        <v>13</v>
      </c>
      <c r="J1873" s="252" t="s">
        <v>1865</v>
      </c>
      <c r="K1873" s="71">
        <v>44524</v>
      </c>
      <c r="L1873" s="36"/>
      <c r="M1873" s="108">
        <f>4*60</f>
        <v>240</v>
      </c>
      <c r="N1873" s="108">
        <f>MONTH(Tableau13[[#This Row],[Date fin intervention]])</f>
        <v>11</v>
      </c>
      <c r="O1873" s="108">
        <f>YEAR(Tableau13[[#This Row],[Date fin intervention]])</f>
        <v>2021</v>
      </c>
      <c r="P1873" s="36"/>
    </row>
    <row r="1874" spans="1:16">
      <c r="A1874" s="104">
        <v>44524</v>
      </c>
      <c r="B1874" s="105">
        <v>590</v>
      </c>
      <c r="C1874" s="106" t="str">
        <f>IF(ISNA(VLOOKUP(Tableau13[[#This Row],[Code machine]],'CODE mchn'!$A$4:$C$170,2,0)),"",VLOOKUP(Tableau13[[#This Row],[Code machine]],'CODE mchn'!$A$4:$C$170,2,0))</f>
        <v>Acier</v>
      </c>
      <c r="D1874" s="36" t="str">
        <f>IF(ISNA(VLOOKUP(Tableau13[[#This Row],[Code machine]],'CODE mchn'!$A$4:$C$170,3,0)),"",VLOOKUP(Tableau13[[#This Row],[Code machine]],'CODE mchn'!$A$4:$C$170,3,0))</f>
        <v>Teurema 3</v>
      </c>
      <c r="E1874" s="105">
        <v>26002</v>
      </c>
      <c r="F1874" s="36"/>
      <c r="G1874" s="36" t="s">
        <v>1775</v>
      </c>
      <c r="H1874" s="36" t="s">
        <v>892</v>
      </c>
      <c r="I1874" s="36" t="s">
        <v>13</v>
      </c>
      <c r="J1874" s="252" t="s">
        <v>3251</v>
      </c>
      <c r="K1874" s="71">
        <v>44524</v>
      </c>
      <c r="L1874" s="36"/>
      <c r="M1874" s="108"/>
      <c r="N1874" s="108">
        <f>MONTH(Tableau13[[#This Row],[Date fin intervention]])</f>
        <v>11</v>
      </c>
      <c r="O1874" s="108">
        <f>YEAR(Tableau13[[#This Row],[Date fin intervention]])</f>
        <v>2021</v>
      </c>
      <c r="P1874" s="36"/>
    </row>
    <row r="1875" spans="1:16">
      <c r="A1875" s="238">
        <v>44524</v>
      </c>
      <c r="B1875" s="239">
        <v>581</v>
      </c>
      <c r="C1875" s="240" t="str">
        <f>IF(ISNA(VLOOKUP(Tableau13[[#This Row],[Code machine]],'CODE mchn'!$A$4:$C$170,2,0)),"",VLOOKUP(Tableau13[[#This Row],[Code machine]],'CODE mchn'!$A$4:$C$170,2,0))</f>
        <v>Acier</v>
      </c>
      <c r="D1875" s="241" t="str">
        <f>IF(ISNA(VLOOKUP(Tableau13[[#This Row],[Code machine]],'CODE mchn'!$A$4:$C$170,3,0)),"",VLOOKUP(Tableau13[[#This Row],[Code machine]],'CODE mchn'!$A$4:$C$170,3,0))</f>
        <v>Teurema 1</v>
      </c>
      <c r="E1875" s="239">
        <v>25960</v>
      </c>
      <c r="F1875" s="241"/>
      <c r="G1875" s="241" t="s">
        <v>3450</v>
      </c>
      <c r="H1875" s="241" t="s">
        <v>3470</v>
      </c>
      <c r="I1875" s="241" t="s">
        <v>3287</v>
      </c>
      <c r="J1875" s="249" t="s">
        <v>3471</v>
      </c>
      <c r="K1875" s="242">
        <v>44524</v>
      </c>
      <c r="L1875" s="241"/>
      <c r="M1875" s="243">
        <v>90</v>
      </c>
      <c r="N1875" s="243">
        <f>MONTH(Tableau13[[#This Row],[Date fin intervention]])</f>
        <v>11</v>
      </c>
      <c r="O1875" s="243">
        <f>YEAR(Tableau13[[#This Row],[Date fin intervention]])</f>
        <v>2021</v>
      </c>
      <c r="P1875" s="241"/>
    </row>
    <row r="1876" spans="1:16">
      <c r="A1876" s="232">
        <v>44525</v>
      </c>
      <c r="B1876" s="233">
        <v>700</v>
      </c>
      <c r="C1876" s="234" t="str">
        <f>IF(ISNA(VLOOKUP(Tableau13[[#This Row],[Code machine]],'CODE mchn'!$A$4:$C$170,2,0)),"",VLOOKUP(Tableau13[[#This Row],[Code machine]],'CODE mchn'!$A$4:$C$170,2,0))</f>
        <v>Béton</v>
      </c>
      <c r="D1876" s="235" t="str">
        <f>IF(ISNA(VLOOKUP(Tableau13[[#This Row],[Code machine]],'CODE mchn'!$A$4:$C$170,3,0)),"",VLOOKUP(Tableau13[[#This Row],[Code machine]],'CODE mchn'!$A$4:$C$170,3,0))</f>
        <v>Poyatos 1</v>
      </c>
      <c r="E1876" s="105">
        <v>25863</v>
      </c>
      <c r="F1876" s="36"/>
      <c r="G1876" s="235" t="s">
        <v>213</v>
      </c>
      <c r="H1876" s="235" t="s">
        <v>3194</v>
      </c>
      <c r="I1876" s="235" t="s">
        <v>13</v>
      </c>
      <c r="J1876" s="254" t="s">
        <v>3195</v>
      </c>
      <c r="K1876" s="236">
        <v>44525</v>
      </c>
      <c r="L1876" s="235"/>
      <c r="M1876" s="237">
        <v>60</v>
      </c>
      <c r="N1876" s="237">
        <f>MONTH(Tableau13[[#This Row],[Date fin intervention]])</f>
        <v>11</v>
      </c>
      <c r="O1876" s="237">
        <f>YEAR(Tableau13[[#This Row],[Date fin intervention]])</f>
        <v>2021</v>
      </c>
      <c r="P1876" s="235"/>
    </row>
    <row r="1877" spans="1:16">
      <c r="A1877" s="232">
        <v>44525</v>
      </c>
      <c r="B1877" s="233">
        <v>700</v>
      </c>
      <c r="C1877" s="234" t="str">
        <f>IF(ISNA(VLOOKUP(Tableau13[[#This Row],[Code machine]],'CODE mchn'!$A$4:$C$170,2,0)),"",VLOOKUP(Tableau13[[#This Row],[Code machine]],'CODE mchn'!$A$4:$C$170,2,0))</f>
        <v>Béton</v>
      </c>
      <c r="D1877" s="235" t="str">
        <f>IF(ISNA(VLOOKUP(Tableau13[[#This Row],[Code machine]],'CODE mchn'!$A$4:$C$170,3,0)),"",VLOOKUP(Tableau13[[#This Row],[Code machine]],'CODE mchn'!$A$4:$C$170,3,0))</f>
        <v>Poyatos 1</v>
      </c>
      <c r="E1877" s="105">
        <v>25864</v>
      </c>
      <c r="F1877" s="36"/>
      <c r="G1877" s="235" t="s">
        <v>118</v>
      </c>
      <c r="H1877" s="235" t="s">
        <v>3196</v>
      </c>
      <c r="I1877" s="235" t="s">
        <v>13</v>
      </c>
      <c r="J1877" s="254" t="s">
        <v>1497</v>
      </c>
      <c r="K1877" s="236">
        <v>44525</v>
      </c>
      <c r="L1877" s="235"/>
      <c r="M1877" s="237">
        <v>60</v>
      </c>
      <c r="N1877" s="237">
        <f>MONTH(Tableau13[[#This Row],[Date fin intervention]])</f>
        <v>11</v>
      </c>
      <c r="O1877" s="237">
        <f>YEAR(Tableau13[[#This Row],[Date fin intervention]])</f>
        <v>2021</v>
      </c>
      <c r="P1877" s="235"/>
    </row>
    <row r="1878" spans="1:16">
      <c r="A1878" s="104">
        <v>44525</v>
      </c>
      <c r="B1878" s="105">
        <v>590</v>
      </c>
      <c r="C1878" s="106" t="str">
        <f>IF(ISNA(VLOOKUP(Tableau13[[#This Row],[Code machine]],'CODE mchn'!$A$4:$C$170,2,0)),"",VLOOKUP(Tableau13[[#This Row],[Code machine]],'CODE mchn'!$A$4:$C$170,2,0))</f>
        <v>Acier</v>
      </c>
      <c r="D1878" s="36" t="str">
        <f>IF(ISNA(VLOOKUP(Tableau13[[#This Row],[Code machine]],'CODE mchn'!$A$4:$C$170,3,0)),"",VLOOKUP(Tableau13[[#This Row],[Code machine]],'CODE mchn'!$A$4:$C$170,3,0))</f>
        <v>Teurema 3</v>
      </c>
      <c r="E1878" s="105">
        <v>26005</v>
      </c>
      <c r="F1878" s="36"/>
      <c r="G1878" s="36" t="s">
        <v>1733</v>
      </c>
      <c r="H1878" s="36" t="s">
        <v>3242</v>
      </c>
      <c r="I1878" s="36" t="s">
        <v>13</v>
      </c>
      <c r="J1878" s="252" t="s">
        <v>2066</v>
      </c>
      <c r="K1878" s="71">
        <v>44525</v>
      </c>
      <c r="L1878" s="36"/>
      <c r="M1878" s="108">
        <v>150</v>
      </c>
      <c r="N1878" s="108">
        <f>MONTH(Tableau13[[#This Row],[Date fin intervention]])</f>
        <v>11</v>
      </c>
      <c r="O1878" s="108">
        <f>YEAR(Tableau13[[#This Row],[Date fin intervention]])</f>
        <v>2021</v>
      </c>
      <c r="P1878" s="36"/>
    </row>
    <row r="1879" spans="1:16">
      <c r="A1879" s="104">
        <v>44525</v>
      </c>
      <c r="B1879" s="105">
        <v>590</v>
      </c>
      <c r="C1879" s="106" t="str">
        <f>IF(ISNA(VLOOKUP(Tableau13[[#This Row],[Code machine]],'CODE mchn'!$A$4:$C$170,2,0)),"",VLOOKUP(Tableau13[[#This Row],[Code machine]],'CODE mchn'!$A$4:$C$170,2,0))</f>
        <v>Acier</v>
      </c>
      <c r="D1879" s="36" t="str">
        <f>IF(ISNA(VLOOKUP(Tableau13[[#This Row],[Code machine]],'CODE mchn'!$A$4:$C$170,3,0)),"",VLOOKUP(Tableau13[[#This Row],[Code machine]],'CODE mchn'!$A$4:$C$170,3,0))</f>
        <v>Teurema 3</v>
      </c>
      <c r="E1879" s="105">
        <v>26006</v>
      </c>
      <c r="F1879" s="36"/>
      <c r="G1879" s="36" t="s">
        <v>766</v>
      </c>
      <c r="H1879" s="36" t="s">
        <v>3254</v>
      </c>
      <c r="I1879" s="36" t="s">
        <v>13</v>
      </c>
      <c r="J1879" s="252"/>
      <c r="K1879" s="71">
        <v>44525</v>
      </c>
      <c r="L1879" s="36"/>
      <c r="M1879" s="108"/>
      <c r="N1879" s="108">
        <f>MONTH(Tableau13[[#This Row],[Date fin intervention]])</f>
        <v>11</v>
      </c>
      <c r="O1879" s="108">
        <f>YEAR(Tableau13[[#This Row],[Date fin intervention]])</f>
        <v>2021</v>
      </c>
      <c r="P1879" s="36"/>
    </row>
    <row r="1880" spans="1:16">
      <c r="A1880" s="238">
        <v>44525</v>
      </c>
      <c r="B1880" s="239">
        <v>580</v>
      </c>
      <c r="C1880" s="240" t="str">
        <f>IF(ISNA(VLOOKUP(Tableau13[[#This Row],[Code machine]],'CODE mchn'!$A$4:$C$170,2,0)),"",VLOOKUP(Tableau13[[#This Row],[Code machine]],'CODE mchn'!$A$4:$C$170,2,0))</f>
        <v>Acier</v>
      </c>
      <c r="D1880" s="241" t="str">
        <f>IF(ISNA(VLOOKUP(Tableau13[[#This Row],[Code machine]],'CODE mchn'!$A$4:$C$170,3,0)),"",VLOOKUP(Tableau13[[#This Row],[Code machine]],'CODE mchn'!$A$4:$C$170,3,0))</f>
        <v>Techno Impiante</v>
      </c>
      <c r="E1880" s="239">
        <v>25961</v>
      </c>
      <c r="F1880" s="241"/>
      <c r="G1880" s="241" t="s">
        <v>3472</v>
      </c>
      <c r="H1880" s="241" t="s">
        <v>3473</v>
      </c>
      <c r="I1880" s="241" t="s">
        <v>3287</v>
      </c>
      <c r="J1880" s="249" t="s">
        <v>3474</v>
      </c>
      <c r="K1880" s="242">
        <v>44525</v>
      </c>
      <c r="L1880" s="241"/>
      <c r="M1880" s="243">
        <v>50</v>
      </c>
      <c r="N1880" s="243">
        <f>MONTH(Tableau13[[#This Row],[Date fin intervention]])</f>
        <v>11</v>
      </c>
      <c r="O1880" s="243">
        <f>YEAR(Tableau13[[#This Row],[Date fin intervention]])</f>
        <v>2021</v>
      </c>
      <c r="P1880" s="241"/>
    </row>
    <row r="1881" spans="1:16">
      <c r="A1881" s="238">
        <v>44525</v>
      </c>
      <c r="B1881" s="239">
        <v>580</v>
      </c>
      <c r="C1881" s="240" t="str">
        <f>IF(ISNA(VLOOKUP(Tableau13[[#This Row],[Code machine]],'CODE mchn'!$A$4:$C$170,2,0)),"",VLOOKUP(Tableau13[[#This Row],[Code machine]],'CODE mchn'!$A$4:$C$170,2,0))</f>
        <v>Acier</v>
      </c>
      <c r="D1881" s="241" t="str">
        <f>IF(ISNA(VLOOKUP(Tableau13[[#This Row],[Code machine]],'CODE mchn'!$A$4:$C$170,3,0)),"",VLOOKUP(Tableau13[[#This Row],[Code machine]],'CODE mchn'!$A$4:$C$170,3,0))</f>
        <v>Techno Impiante</v>
      </c>
      <c r="E1881" s="239">
        <v>25962</v>
      </c>
      <c r="F1881" s="241"/>
      <c r="G1881" s="241" t="s">
        <v>3476</v>
      </c>
      <c r="H1881" s="241" t="s">
        <v>3477</v>
      </c>
      <c r="I1881" s="241" t="s">
        <v>3287</v>
      </c>
      <c r="J1881" s="249" t="s">
        <v>3478</v>
      </c>
      <c r="K1881" s="242">
        <v>44525</v>
      </c>
      <c r="L1881" s="241"/>
      <c r="M1881" s="243">
        <v>30</v>
      </c>
      <c r="N1881" s="243">
        <f>MONTH(Tableau13[[#This Row],[Date fin intervention]])</f>
        <v>11</v>
      </c>
      <c r="O1881" s="243">
        <f>YEAR(Tableau13[[#This Row],[Date fin intervention]])</f>
        <v>2021</v>
      </c>
      <c r="P1881" s="241"/>
    </row>
    <row r="1882" spans="1:16">
      <c r="A1882" s="232">
        <v>44526</v>
      </c>
      <c r="B1882" s="233">
        <v>700</v>
      </c>
      <c r="C1882" s="234" t="str">
        <f>IF(ISNA(VLOOKUP(Tableau13[[#This Row],[Code machine]],'CODE mchn'!$A$4:$C$170,2,0)),"",VLOOKUP(Tableau13[[#This Row],[Code machine]],'CODE mchn'!$A$4:$C$170,2,0))</f>
        <v>Béton</v>
      </c>
      <c r="D1882" s="235" t="str">
        <f>IF(ISNA(VLOOKUP(Tableau13[[#This Row],[Code machine]],'CODE mchn'!$A$4:$C$170,3,0)),"",VLOOKUP(Tableau13[[#This Row],[Code machine]],'CODE mchn'!$A$4:$C$170,3,0))</f>
        <v>Poyatos 1</v>
      </c>
      <c r="E1882" s="105">
        <v>25865</v>
      </c>
      <c r="F1882" s="36"/>
      <c r="G1882" s="235" t="s">
        <v>128</v>
      </c>
      <c r="H1882" s="235" t="s">
        <v>3197</v>
      </c>
      <c r="I1882" s="235" t="s">
        <v>13</v>
      </c>
      <c r="J1882" s="254" t="s">
        <v>3198</v>
      </c>
      <c r="K1882" s="236">
        <v>44526</v>
      </c>
      <c r="L1882" s="235"/>
      <c r="M1882" s="237">
        <v>40</v>
      </c>
      <c r="N1882" s="237">
        <f>MONTH(Tableau13[[#This Row],[Date fin intervention]])</f>
        <v>11</v>
      </c>
      <c r="O1882" s="237">
        <f>YEAR(Tableau13[[#This Row],[Date fin intervention]])</f>
        <v>2021</v>
      </c>
      <c r="P1882" s="235"/>
    </row>
    <row r="1883" spans="1:16">
      <c r="A1883" s="104">
        <v>44526</v>
      </c>
      <c r="B1883" s="105">
        <v>580</v>
      </c>
      <c r="C1883" s="106" t="str">
        <f>IF(ISNA(VLOOKUP(Tableau13[[#This Row],[Code machine]],'CODE mchn'!$A$4:$C$170,2,0)),"",VLOOKUP(Tableau13[[#This Row],[Code machine]],'CODE mchn'!$A$4:$C$170,2,0))</f>
        <v>Acier</v>
      </c>
      <c r="D1883" s="36" t="str">
        <f>IF(ISNA(VLOOKUP(Tableau13[[#This Row],[Code machine]],'CODE mchn'!$A$4:$C$170,3,0)),"",VLOOKUP(Tableau13[[#This Row],[Code machine]],'CODE mchn'!$A$4:$C$170,3,0))</f>
        <v>Techno Impiante</v>
      </c>
      <c r="E1883" s="105">
        <v>26004</v>
      </c>
      <c r="F1883" s="36"/>
      <c r="G1883" s="36" t="s">
        <v>1811</v>
      </c>
      <c r="H1883" s="36" t="s">
        <v>3252</v>
      </c>
      <c r="I1883" s="36" t="s">
        <v>13</v>
      </c>
      <c r="J1883" s="252" t="s">
        <v>3253</v>
      </c>
      <c r="K1883" s="71">
        <v>44526</v>
      </c>
      <c r="L1883" s="36"/>
      <c r="M1883" s="108">
        <v>120</v>
      </c>
      <c r="N1883" s="108">
        <f>MONTH(Tableau13[[#This Row],[Date fin intervention]])</f>
        <v>11</v>
      </c>
      <c r="O1883" s="108">
        <f>YEAR(Tableau13[[#This Row],[Date fin intervention]])</f>
        <v>2021</v>
      </c>
      <c r="P1883" s="36"/>
    </row>
    <row r="1884" spans="1:16">
      <c r="A1884" s="104">
        <v>44526</v>
      </c>
      <c r="B1884" s="105">
        <v>590</v>
      </c>
      <c r="C1884" s="106" t="str">
        <f>IF(ISNA(VLOOKUP(Tableau13[[#This Row],[Code machine]],'CODE mchn'!$A$4:$C$170,2,0)),"",VLOOKUP(Tableau13[[#This Row],[Code machine]],'CODE mchn'!$A$4:$C$170,2,0))</f>
        <v>Acier</v>
      </c>
      <c r="D1884" s="36" t="str">
        <f>IF(ISNA(VLOOKUP(Tableau13[[#This Row],[Code machine]],'CODE mchn'!$A$4:$C$170,3,0)),"",VLOOKUP(Tableau13[[#This Row],[Code machine]],'CODE mchn'!$A$4:$C$170,3,0))</f>
        <v>Teurema 3</v>
      </c>
      <c r="E1884" s="105">
        <v>26007</v>
      </c>
      <c r="F1884" s="36"/>
      <c r="G1884" s="36" t="s">
        <v>49</v>
      </c>
      <c r="H1884" s="36" t="s">
        <v>2851</v>
      </c>
      <c r="I1884" s="36" t="s">
        <v>13</v>
      </c>
      <c r="J1884" s="252" t="s">
        <v>3255</v>
      </c>
      <c r="K1884" s="71">
        <v>44526</v>
      </c>
      <c r="L1884" s="36"/>
      <c r="M1884" s="108"/>
      <c r="N1884" s="108">
        <f>MONTH(Tableau13[[#This Row],[Date fin intervention]])</f>
        <v>11</v>
      </c>
      <c r="O1884" s="108">
        <f>YEAR(Tableau13[[#This Row],[Date fin intervention]])</f>
        <v>2021</v>
      </c>
      <c r="P1884" s="36"/>
    </row>
    <row r="1885" spans="1:16">
      <c r="A1885" s="232">
        <v>44527</v>
      </c>
      <c r="B1885" s="233">
        <v>700</v>
      </c>
      <c r="C1885" s="234" t="str">
        <f>IF(ISNA(VLOOKUP(Tableau13[[#This Row],[Code machine]],'CODE mchn'!$A$4:$C$170,2,0)),"",VLOOKUP(Tableau13[[#This Row],[Code machine]],'CODE mchn'!$A$4:$C$170,2,0))</f>
        <v>Béton</v>
      </c>
      <c r="D1885" s="235" t="str">
        <f>IF(ISNA(VLOOKUP(Tableau13[[#This Row],[Code machine]],'CODE mchn'!$A$4:$C$170,3,0)),"",VLOOKUP(Tableau13[[#This Row],[Code machine]],'CODE mchn'!$A$4:$C$170,3,0))</f>
        <v>Poyatos 1</v>
      </c>
      <c r="E1885" s="105">
        <v>25866</v>
      </c>
      <c r="F1885" s="36"/>
      <c r="G1885" s="235" t="s">
        <v>360</v>
      </c>
      <c r="H1885" s="235" t="s">
        <v>3199</v>
      </c>
      <c r="I1885" s="235" t="s">
        <v>13</v>
      </c>
      <c r="J1885" s="254" t="s">
        <v>3200</v>
      </c>
      <c r="K1885" s="236">
        <v>44527</v>
      </c>
      <c r="L1885" s="235"/>
      <c r="M1885" s="237">
        <v>120</v>
      </c>
      <c r="N1885" s="237">
        <f>MONTH(Tableau13[[#This Row],[Date fin intervention]])</f>
        <v>11</v>
      </c>
      <c r="O1885" s="237">
        <f>YEAR(Tableau13[[#This Row],[Date fin intervention]])</f>
        <v>2021</v>
      </c>
      <c r="P1885" s="235"/>
    </row>
    <row r="1886" spans="1:16">
      <c r="A1886" s="232">
        <v>44527</v>
      </c>
      <c r="B1886" s="233">
        <v>800</v>
      </c>
      <c r="C1886" s="234" t="str">
        <f>IF(ISNA(VLOOKUP(Tableau13[[#This Row],[Code machine]],'CODE mchn'!$A$4:$C$170,2,0)),"",VLOOKUP(Tableau13[[#This Row],[Code machine]],'CODE mchn'!$A$4:$C$170,2,0))</f>
        <v>Béton</v>
      </c>
      <c r="D1886" s="235" t="str">
        <f>IF(ISNA(VLOOKUP(Tableau13[[#This Row],[Code machine]],'CODE mchn'!$A$4:$C$170,3,0)),"",VLOOKUP(Tableau13[[#This Row],[Code machine]],'CODE mchn'!$A$4:$C$170,3,0))</f>
        <v>Poyatos 2</v>
      </c>
      <c r="E1886" s="105">
        <v>25868</v>
      </c>
      <c r="F1886" s="36"/>
      <c r="G1886" s="235" t="s">
        <v>2351</v>
      </c>
      <c r="H1886" s="235" t="s">
        <v>3201</v>
      </c>
      <c r="I1886" s="235" t="s">
        <v>13</v>
      </c>
      <c r="J1886" s="254" t="s">
        <v>1577</v>
      </c>
      <c r="K1886" s="236">
        <v>44527</v>
      </c>
      <c r="L1886" s="235"/>
      <c r="M1886" s="237">
        <v>60</v>
      </c>
      <c r="N1886" s="237">
        <f>MONTH(Tableau13[[#This Row],[Date fin intervention]])</f>
        <v>11</v>
      </c>
      <c r="O1886" s="237">
        <f>YEAR(Tableau13[[#This Row],[Date fin intervention]])</f>
        <v>2021</v>
      </c>
      <c r="P1886" s="235"/>
    </row>
    <row r="1887" spans="1:16">
      <c r="A1887" s="232">
        <v>44527</v>
      </c>
      <c r="B1887" s="233">
        <v>560</v>
      </c>
      <c r="C1887" s="234" t="str">
        <f>IF(ISNA(VLOOKUP(Tableau13[[#This Row],[Code machine]],'CODE mchn'!$A$4:$C$170,2,0)),"",VLOOKUP(Tableau13[[#This Row],[Code machine]],'CODE mchn'!$A$4:$C$170,2,0))</f>
        <v>Acier</v>
      </c>
      <c r="D1887" s="235" t="str">
        <f>IF(ISNA(VLOOKUP(Tableau13[[#This Row],[Code machine]],'CODE mchn'!$A$4:$C$170,3,0)),"",VLOOKUP(Tableau13[[#This Row],[Code machine]],'CODE mchn'!$A$4:$C$170,3,0))</f>
        <v>Schlatter</v>
      </c>
      <c r="E1887" s="105">
        <v>25809</v>
      </c>
      <c r="F1887" s="36"/>
      <c r="G1887" s="235" t="s">
        <v>519</v>
      </c>
      <c r="H1887" s="235" t="s">
        <v>3222</v>
      </c>
      <c r="I1887" s="235" t="s">
        <v>13</v>
      </c>
      <c r="J1887" s="254" t="s">
        <v>3223</v>
      </c>
      <c r="K1887" s="236">
        <v>44529</v>
      </c>
      <c r="L1887" s="235"/>
      <c r="M1887" s="237">
        <f>8*3*60</f>
        <v>1440</v>
      </c>
      <c r="N1887" s="237">
        <f>MONTH(Tableau13[[#This Row],[Date fin intervention]])</f>
        <v>11</v>
      </c>
      <c r="O1887" s="237">
        <f>YEAR(Tableau13[[#This Row],[Date fin intervention]])</f>
        <v>2021</v>
      </c>
      <c r="P1887" s="235"/>
    </row>
    <row r="1888" spans="1:16">
      <c r="A1888" s="238">
        <v>44527</v>
      </c>
      <c r="B1888" s="239">
        <v>605</v>
      </c>
      <c r="C1888" s="240" t="str">
        <f>IF(ISNA(VLOOKUP(Tableau13[[#This Row],[Code machine]],'CODE mchn'!$A$4:$C$170,2,0)),"",VLOOKUP(Tableau13[[#This Row],[Code machine]],'CODE mchn'!$A$4:$C$170,2,0))</f>
        <v>Acier</v>
      </c>
      <c r="D1888" s="241" t="str">
        <f>IF(ISNA(VLOOKUP(Tableau13[[#This Row],[Code machine]],'CODE mchn'!$A$4:$C$170,3,0)),"",VLOOKUP(Tableau13[[#This Row],[Code machine]],'CODE mchn'!$A$4:$C$170,3,0))</f>
        <v>Vitari 1</v>
      </c>
      <c r="E1888" s="239">
        <v>25765</v>
      </c>
      <c r="F1888" s="241"/>
      <c r="G1888" s="241" t="s">
        <v>3566</v>
      </c>
      <c r="H1888" s="241" t="s">
        <v>3567</v>
      </c>
      <c r="I1888" s="241" t="s">
        <v>3287</v>
      </c>
      <c r="J1888" s="249" t="s">
        <v>3568</v>
      </c>
      <c r="K1888" s="242">
        <v>44527</v>
      </c>
      <c r="L1888" s="241"/>
      <c r="M1888" s="243">
        <v>30</v>
      </c>
      <c r="N1888" s="243">
        <f>MONTH(Tableau13[[#This Row],[Date fin intervention]])</f>
        <v>11</v>
      </c>
      <c r="O1888" s="243">
        <f>YEAR(Tableau13[[#This Row],[Date fin intervention]])</f>
        <v>2021</v>
      </c>
      <c r="P1888" s="241"/>
    </row>
    <row r="1889" spans="1:16" ht="28.5">
      <c r="A1889" s="238">
        <v>44527</v>
      </c>
      <c r="B1889" s="239">
        <v>571</v>
      </c>
      <c r="C1889" s="240" t="str">
        <f>IF(ISNA(VLOOKUP(Tableau13[[#This Row],[Code machine]],'CODE mchn'!$A$4:$C$170,2,0)),"",VLOOKUP(Tableau13[[#This Row],[Code machine]],'CODE mchn'!$A$4:$C$170,2,0))</f>
        <v>Acier</v>
      </c>
      <c r="D1889" s="241" t="str">
        <f>IF(ISNA(VLOOKUP(Tableau13[[#This Row],[Code machine]],'CODE mchn'!$A$4:$C$170,3,0)),"",VLOOKUP(Tableau13[[#This Row],[Code machine]],'CODE mchn'!$A$4:$C$170,3,0))</f>
        <v>EVG PN 1</v>
      </c>
      <c r="E1889" s="239">
        <v>25824</v>
      </c>
      <c r="F1889" s="241"/>
      <c r="G1889" s="241" t="s">
        <v>3662</v>
      </c>
      <c r="H1889" s="241" t="s">
        <v>3663</v>
      </c>
      <c r="I1889" s="241" t="s">
        <v>3291</v>
      </c>
      <c r="J1889" s="249" t="s">
        <v>3664</v>
      </c>
      <c r="K1889" s="242">
        <v>44527</v>
      </c>
      <c r="L1889" s="241"/>
      <c r="M1889" s="243">
        <v>240</v>
      </c>
      <c r="N1889" s="243">
        <f>MONTH(Tableau13[[#This Row],[Date fin intervention]])</f>
        <v>11</v>
      </c>
      <c r="O1889" s="243">
        <f>YEAR(Tableau13[[#This Row],[Date fin intervention]])</f>
        <v>2021</v>
      </c>
      <c r="P1889" s="241"/>
    </row>
    <row r="1890" spans="1:16">
      <c r="A1890" s="238">
        <v>44527</v>
      </c>
      <c r="B1890" s="239">
        <v>560</v>
      </c>
      <c r="C1890" s="240" t="str">
        <f>IF(ISNA(VLOOKUP(Tableau13[[#This Row],[Code machine]],'CODE mchn'!$A$4:$C$170,2,0)),"",VLOOKUP(Tableau13[[#This Row],[Code machine]],'CODE mchn'!$A$4:$C$170,2,0))</f>
        <v>Acier</v>
      </c>
      <c r="D1890" s="241" t="str">
        <f>IF(ISNA(VLOOKUP(Tableau13[[#This Row],[Code machine]],'CODE mchn'!$A$4:$C$170,3,0)),"",VLOOKUP(Tableau13[[#This Row],[Code machine]],'CODE mchn'!$A$4:$C$170,3,0))</f>
        <v>Schlatter</v>
      </c>
      <c r="E1890" s="239">
        <v>25825</v>
      </c>
      <c r="F1890" s="241"/>
      <c r="G1890" s="241" t="s">
        <v>3665</v>
      </c>
      <c r="H1890" s="241" t="s">
        <v>3666</v>
      </c>
      <c r="I1890" s="241" t="s">
        <v>3291</v>
      </c>
      <c r="J1890" s="249" t="s">
        <v>3667</v>
      </c>
      <c r="K1890" s="242">
        <v>44527</v>
      </c>
      <c r="L1890" s="241"/>
      <c r="M1890" s="243">
        <v>240</v>
      </c>
      <c r="N1890" s="243">
        <f>MONTH(Tableau13[[#This Row],[Date fin intervention]])</f>
        <v>11</v>
      </c>
      <c r="O1890" s="243">
        <f>YEAR(Tableau13[[#This Row],[Date fin intervention]])</f>
        <v>2021</v>
      </c>
      <c r="P1890" s="241"/>
    </row>
    <row r="1891" spans="1:16" ht="28.5">
      <c r="A1891" s="238">
        <v>44528</v>
      </c>
      <c r="B1891" s="239">
        <v>562</v>
      </c>
      <c r="C1891" s="240" t="str">
        <f>IF(ISNA(VLOOKUP(Tableau13[[#This Row],[Code machine]],'CODE mchn'!$A$4:$C$170,2,0)),"",VLOOKUP(Tableau13[[#This Row],[Code machine]],'CODE mchn'!$A$4:$C$170,2,0))</f>
        <v>Ponts roulants</v>
      </c>
      <c r="D1891" s="241" t="str">
        <f>IF(ISNA(VLOOKUP(Tableau13[[#This Row],[Code machine]],'CODE mchn'!$A$4:$C$170,3,0)),"",VLOOKUP(Tableau13[[#This Row],[Code machine]],'CODE mchn'!$A$4:$C$170,3,0))</f>
        <v>Pont roulant GH Beasain 12T</v>
      </c>
      <c r="E1891" s="239">
        <v>25984</v>
      </c>
      <c r="F1891" s="241"/>
      <c r="G1891" s="241" t="s">
        <v>3450</v>
      </c>
      <c r="H1891" s="241" t="s">
        <v>3526</v>
      </c>
      <c r="I1891" s="241" t="s">
        <v>3291</v>
      </c>
      <c r="J1891" s="249" t="s">
        <v>3527</v>
      </c>
      <c r="K1891" s="242">
        <v>44528</v>
      </c>
      <c r="L1891" s="241"/>
      <c r="M1891" s="243">
        <v>45</v>
      </c>
      <c r="N1891" s="243">
        <f>MONTH(Tableau13[[#This Row],[Date fin intervention]])</f>
        <v>11</v>
      </c>
      <c r="O1891" s="243">
        <f>YEAR(Tableau13[[#This Row],[Date fin intervention]])</f>
        <v>2021</v>
      </c>
      <c r="P1891" s="241"/>
    </row>
    <row r="1892" spans="1:16" ht="28.5">
      <c r="A1892" s="238">
        <v>44528</v>
      </c>
      <c r="B1892" s="239">
        <v>601</v>
      </c>
      <c r="C1892" s="240" t="str">
        <f>IF(ISNA(VLOOKUP(Tableau13[[#This Row],[Code machine]],'CODE mchn'!$A$4:$C$170,2,0)),"",VLOOKUP(Tableau13[[#This Row],[Code machine]],'CODE mchn'!$A$4:$C$170,2,0))</f>
        <v>Acier</v>
      </c>
      <c r="D1892" s="241" t="str">
        <f>IF(ISNA(VLOOKUP(Tableau13[[#This Row],[Code machine]],'CODE mchn'!$A$4:$C$170,3,0)),"",VLOOKUP(Tableau13[[#This Row],[Code machine]],'CODE mchn'!$A$4:$C$170,3,0))</f>
        <v>TI 9505/9</v>
      </c>
      <c r="E1892" s="239">
        <v>25766</v>
      </c>
      <c r="F1892" s="241"/>
      <c r="G1892" s="241" t="s">
        <v>3569</v>
      </c>
      <c r="H1892" s="241" t="s">
        <v>3570</v>
      </c>
      <c r="I1892" s="241" t="s">
        <v>3287</v>
      </c>
      <c r="J1892" s="249" t="s">
        <v>3571</v>
      </c>
      <c r="K1892" s="242">
        <v>40875</v>
      </c>
      <c r="L1892" s="241"/>
      <c r="M1892" s="243">
        <v>30</v>
      </c>
      <c r="N1892" s="243">
        <f>MONTH(Tableau13[[#This Row],[Date fin intervention]])</f>
        <v>11</v>
      </c>
      <c r="O1892" s="243">
        <f>YEAR(Tableau13[[#This Row],[Date fin intervention]])</f>
        <v>2011</v>
      </c>
      <c r="P1892" s="241"/>
    </row>
    <row r="1893" spans="1:16" ht="28.5">
      <c r="A1893" s="232">
        <v>44529</v>
      </c>
      <c r="B1893" s="233">
        <v>700</v>
      </c>
      <c r="C1893" s="234" t="str">
        <f>IF(ISNA(VLOOKUP(Tableau13[[#This Row],[Code machine]],'CODE mchn'!$A$4:$C$170,2,0)),"",VLOOKUP(Tableau13[[#This Row],[Code machine]],'CODE mchn'!$A$4:$C$170,2,0))</f>
        <v>Béton</v>
      </c>
      <c r="D1893" s="235" t="str">
        <f>IF(ISNA(VLOOKUP(Tableau13[[#This Row],[Code machine]],'CODE mchn'!$A$4:$C$170,3,0)),"",VLOOKUP(Tableau13[[#This Row],[Code machine]],'CODE mchn'!$A$4:$C$170,3,0))</f>
        <v>Poyatos 1</v>
      </c>
      <c r="E1893" s="105">
        <v>25869</v>
      </c>
      <c r="F1893" s="36"/>
      <c r="G1893" s="235" t="s">
        <v>46</v>
      </c>
      <c r="H1893" s="235" t="s">
        <v>524</v>
      </c>
      <c r="I1893" s="235" t="s">
        <v>13</v>
      </c>
      <c r="J1893" s="254" t="s">
        <v>3202</v>
      </c>
      <c r="K1893" s="236">
        <v>44529</v>
      </c>
      <c r="L1893" s="235"/>
      <c r="M1893" s="237">
        <v>460</v>
      </c>
      <c r="N1893" s="237">
        <f>MONTH(Tableau13[[#This Row],[Date fin intervention]])</f>
        <v>11</v>
      </c>
      <c r="O1893" s="237">
        <f>YEAR(Tableau13[[#This Row],[Date fin intervention]])</f>
        <v>2021</v>
      </c>
      <c r="P1893" s="235"/>
    </row>
    <row r="1894" spans="1:16">
      <c r="A1894" s="232">
        <v>44529</v>
      </c>
      <c r="B1894" s="233">
        <v>800</v>
      </c>
      <c r="C1894" s="234" t="str">
        <f>IF(ISNA(VLOOKUP(Tableau13[[#This Row],[Code machine]],'CODE mchn'!$A$4:$C$170,2,0)),"",VLOOKUP(Tableau13[[#This Row],[Code machine]],'CODE mchn'!$A$4:$C$170,2,0))</f>
        <v>Béton</v>
      </c>
      <c r="D1894" s="235" t="str">
        <f>IF(ISNA(VLOOKUP(Tableau13[[#This Row],[Code machine]],'CODE mchn'!$A$4:$C$170,3,0)),"",VLOOKUP(Tableau13[[#This Row],[Code machine]],'CODE mchn'!$A$4:$C$170,3,0))</f>
        <v>Poyatos 2</v>
      </c>
      <c r="E1894" s="105">
        <v>25870</v>
      </c>
      <c r="F1894" s="36"/>
      <c r="G1894" s="235" t="s">
        <v>185</v>
      </c>
      <c r="H1894" s="235" t="s">
        <v>3203</v>
      </c>
      <c r="I1894" s="235" t="s">
        <v>13</v>
      </c>
      <c r="J1894" s="254" t="s">
        <v>3204</v>
      </c>
      <c r="K1894" s="236">
        <v>44529</v>
      </c>
      <c r="L1894" s="235"/>
      <c r="M1894" s="237">
        <v>40</v>
      </c>
      <c r="N1894" s="237">
        <f>MONTH(Tableau13[[#This Row],[Date fin intervention]])</f>
        <v>11</v>
      </c>
      <c r="O1894" s="237">
        <f>YEAR(Tableau13[[#This Row],[Date fin intervention]])</f>
        <v>2021</v>
      </c>
      <c r="P1894" s="235"/>
    </row>
    <row r="1895" spans="1:16">
      <c r="A1895" s="232">
        <v>44529</v>
      </c>
      <c r="B1895" s="233">
        <v>534</v>
      </c>
      <c r="C1895" s="234" t="str">
        <f>IF(ISNA(VLOOKUP(Tableau13[[#This Row],[Code machine]],'CODE mchn'!$A$4:$C$170,2,0)),"",VLOOKUP(Tableau13[[#This Row],[Code machine]],'CODE mchn'!$A$4:$C$170,2,0))</f>
        <v>Enrobage</v>
      </c>
      <c r="D1895" s="235" t="str">
        <f>IF(ISNA(VLOOKUP(Tableau13[[#This Row],[Code machine]],'CODE mchn'!$A$4:$C$170,3,0)),"",VLOOKUP(Tableau13[[#This Row],[Code machine]],'CODE mchn'!$A$4:$C$170,3,0))</f>
        <v>ELKON 2</v>
      </c>
      <c r="E1895" s="105">
        <v>25871</v>
      </c>
      <c r="F1895" s="36"/>
      <c r="G1895" s="235" t="s">
        <v>3205</v>
      </c>
      <c r="H1895" s="235" t="s">
        <v>3206</v>
      </c>
      <c r="I1895" s="235" t="s">
        <v>13</v>
      </c>
      <c r="J1895" s="254" t="s">
        <v>3207</v>
      </c>
      <c r="K1895" s="236">
        <v>44529</v>
      </c>
      <c r="L1895" s="235"/>
      <c r="M1895" s="237">
        <v>120</v>
      </c>
      <c r="N1895" s="237">
        <f>MONTH(Tableau13[[#This Row],[Date fin intervention]])</f>
        <v>11</v>
      </c>
      <c r="O1895" s="237">
        <f>YEAR(Tableau13[[#This Row],[Date fin intervention]])</f>
        <v>2021</v>
      </c>
      <c r="P1895" s="235"/>
    </row>
    <row r="1896" spans="1:16">
      <c r="A1896" s="232">
        <v>44529</v>
      </c>
      <c r="B1896" s="233">
        <v>606</v>
      </c>
      <c r="C1896" s="234" t="str">
        <f>IF(ISNA(VLOOKUP(Tableau13[[#This Row],[Code machine]],'CODE mchn'!$A$4:$C$170,2,0)),"",VLOOKUP(Tableau13[[#This Row],[Code machine]],'CODE mchn'!$A$4:$C$170,2,0))</f>
        <v>Acier</v>
      </c>
      <c r="D1896" s="235" t="str">
        <f>IF(ISNA(VLOOKUP(Tableau13[[#This Row],[Code machine]],'CODE mchn'!$A$4:$C$170,3,0)),"",VLOOKUP(Tableau13[[#This Row],[Code machine]],'CODE mchn'!$A$4:$C$170,3,0))</f>
        <v>Vitari 2</v>
      </c>
      <c r="E1896" s="105">
        <v>25816</v>
      </c>
      <c r="F1896" s="36"/>
      <c r="G1896" s="235" t="s">
        <v>10</v>
      </c>
      <c r="H1896" s="235" t="s">
        <v>3228</v>
      </c>
      <c r="I1896" s="235" t="s">
        <v>13</v>
      </c>
      <c r="J1896" s="254" t="s">
        <v>3229</v>
      </c>
      <c r="K1896" s="236">
        <v>44529</v>
      </c>
      <c r="L1896" s="235"/>
      <c r="M1896" s="237">
        <v>120</v>
      </c>
      <c r="N1896" s="237">
        <f>MONTH(Tableau13[[#This Row],[Date fin intervention]])</f>
        <v>11</v>
      </c>
      <c r="O1896" s="237">
        <f>YEAR(Tableau13[[#This Row],[Date fin intervention]])</f>
        <v>2021</v>
      </c>
      <c r="P1896" s="235"/>
    </row>
    <row r="1897" spans="1:16" ht="28.5">
      <c r="A1897" s="238">
        <v>44529</v>
      </c>
      <c r="B1897" s="239">
        <v>700</v>
      </c>
      <c r="C1897" s="240" t="str">
        <f>IF(ISNA(VLOOKUP(Tableau13[[#This Row],[Code machine]],'CODE mchn'!$A$4:$C$170,2,0)),"",VLOOKUP(Tableau13[[#This Row],[Code machine]],'CODE mchn'!$A$4:$C$170,2,0))</f>
        <v>Béton</v>
      </c>
      <c r="D1897" s="241" t="str">
        <f>IF(ISNA(VLOOKUP(Tableau13[[#This Row],[Code machine]],'CODE mchn'!$A$4:$C$170,3,0)),"",VLOOKUP(Tableau13[[#This Row],[Code machine]],'CODE mchn'!$A$4:$C$170,3,0))</f>
        <v>Poyatos 1</v>
      </c>
      <c r="E1897" s="239">
        <v>25963</v>
      </c>
      <c r="F1897" s="241"/>
      <c r="G1897" s="241" t="s">
        <v>3479</v>
      </c>
      <c r="H1897" s="241" t="s">
        <v>3480</v>
      </c>
      <c r="I1897" s="241" t="s">
        <v>3291</v>
      </c>
      <c r="J1897" s="249" t="s">
        <v>3481</v>
      </c>
      <c r="K1897" s="242">
        <v>44529</v>
      </c>
      <c r="L1897" s="241"/>
      <c r="M1897" s="243">
        <v>120</v>
      </c>
      <c r="N1897" s="243">
        <f>MONTH(Tableau13[[#This Row],[Date fin intervention]])</f>
        <v>11</v>
      </c>
      <c r="O1897" s="243">
        <f>YEAR(Tableau13[[#This Row],[Date fin intervention]])</f>
        <v>2021</v>
      </c>
      <c r="P1897" s="241"/>
    </row>
    <row r="1898" spans="1:16">
      <c r="A1898" s="238">
        <v>44529</v>
      </c>
      <c r="B1898" s="239">
        <v>606</v>
      </c>
      <c r="C1898" s="240" t="str">
        <f>IF(ISNA(VLOOKUP(Tableau13[[#This Row],[Code machine]],'CODE mchn'!$A$4:$C$170,2,0)),"",VLOOKUP(Tableau13[[#This Row],[Code machine]],'CODE mchn'!$A$4:$C$170,2,0))</f>
        <v>Acier</v>
      </c>
      <c r="D1898" s="241" t="str">
        <f>IF(ISNA(VLOOKUP(Tableau13[[#This Row],[Code machine]],'CODE mchn'!$A$4:$C$170,3,0)),"",VLOOKUP(Tableau13[[#This Row],[Code machine]],'CODE mchn'!$A$4:$C$170,3,0))</f>
        <v>Vitari 2</v>
      </c>
      <c r="E1898" s="239">
        <v>25816</v>
      </c>
      <c r="F1898" s="241"/>
      <c r="G1898" s="241" t="s">
        <v>3644</v>
      </c>
      <c r="H1898" s="241" t="s">
        <v>3645</v>
      </c>
      <c r="I1898" s="241" t="s">
        <v>3291</v>
      </c>
      <c r="J1898" s="249" t="s">
        <v>3646</v>
      </c>
      <c r="K1898" s="242">
        <v>44529</v>
      </c>
      <c r="L1898" s="241"/>
      <c r="M1898" s="243">
        <v>60</v>
      </c>
      <c r="N1898" s="243">
        <f>MONTH(Tableau13[[#This Row],[Date fin intervention]])</f>
        <v>11</v>
      </c>
      <c r="O1898" s="243">
        <f>YEAR(Tableau13[[#This Row],[Date fin intervention]])</f>
        <v>2021</v>
      </c>
      <c r="P1898" s="241"/>
    </row>
    <row r="1899" spans="1:16">
      <c r="A1899" s="238">
        <v>44529</v>
      </c>
      <c r="B1899" s="239">
        <v>606</v>
      </c>
      <c r="C1899" s="240" t="str">
        <f>IF(ISNA(VLOOKUP(Tableau13[[#This Row],[Code machine]],'CODE mchn'!$A$4:$C$170,2,0)),"",VLOOKUP(Tableau13[[#This Row],[Code machine]],'CODE mchn'!$A$4:$C$170,2,0))</f>
        <v>Acier</v>
      </c>
      <c r="D1899" s="241" t="str">
        <f>IF(ISNA(VLOOKUP(Tableau13[[#This Row],[Code machine]],'CODE mchn'!$A$4:$C$170,3,0)),"",VLOOKUP(Tableau13[[#This Row],[Code machine]],'CODE mchn'!$A$4:$C$170,3,0))</f>
        <v>Vitari 2</v>
      </c>
      <c r="E1899" s="239">
        <v>25826</v>
      </c>
      <c r="F1899" s="241"/>
      <c r="G1899" s="241" t="s">
        <v>3668</v>
      </c>
      <c r="H1899" s="241" t="s">
        <v>3669</v>
      </c>
      <c r="I1899" s="241" t="s">
        <v>3287</v>
      </c>
      <c r="J1899" s="249" t="s">
        <v>3670</v>
      </c>
      <c r="K1899" s="242">
        <v>44529</v>
      </c>
      <c r="L1899" s="241"/>
      <c r="M1899" s="243">
        <v>120</v>
      </c>
      <c r="N1899" s="243">
        <f>MONTH(Tableau13[[#This Row],[Date fin intervention]])</f>
        <v>11</v>
      </c>
      <c r="O1899" s="243">
        <f>YEAR(Tableau13[[#This Row],[Date fin intervention]])</f>
        <v>2021</v>
      </c>
      <c r="P1899" s="241"/>
    </row>
    <row r="1900" spans="1:16">
      <c r="A1900" s="104">
        <v>44530</v>
      </c>
      <c r="B1900" s="105">
        <v>581</v>
      </c>
      <c r="C1900" s="106" t="str">
        <f>IF(ISNA(VLOOKUP(Tableau13[[#This Row],[Code machine]],'CODE mchn'!$A$4:$C$170,2,0)),"",VLOOKUP(Tableau13[[#This Row],[Code machine]],'CODE mchn'!$A$4:$C$170,2,0))</f>
        <v>Acier</v>
      </c>
      <c r="D1900" s="36" t="str">
        <f>IF(ISNA(VLOOKUP(Tableau13[[#This Row],[Code machine]],'CODE mchn'!$A$4:$C$170,3,0)),"",VLOOKUP(Tableau13[[#This Row],[Code machine]],'CODE mchn'!$A$4:$C$170,3,0))</f>
        <v>Teurema 1</v>
      </c>
      <c r="E1900" s="105">
        <v>26008</v>
      </c>
      <c r="F1900" s="36"/>
      <c r="G1900" s="36" t="s">
        <v>70</v>
      </c>
      <c r="H1900" s="36" t="s">
        <v>3256</v>
      </c>
      <c r="I1900" s="36" t="s">
        <v>13</v>
      </c>
      <c r="J1900" s="252" t="s">
        <v>3257</v>
      </c>
      <c r="K1900" s="71">
        <v>44530</v>
      </c>
      <c r="L1900" s="36"/>
      <c r="M1900" s="108">
        <v>55</v>
      </c>
      <c r="N1900" s="108">
        <f>MONTH(Tableau13[[#This Row],[Date fin intervention]])</f>
        <v>11</v>
      </c>
      <c r="O1900" s="108">
        <f>YEAR(Tableau13[[#This Row],[Date fin intervention]])</f>
        <v>2021</v>
      </c>
      <c r="P1900" s="36"/>
    </row>
    <row r="1901" spans="1:16">
      <c r="A1901" s="104">
        <v>44530</v>
      </c>
      <c r="B1901" s="105">
        <v>581</v>
      </c>
      <c r="C1901" s="106" t="str">
        <f>IF(ISNA(VLOOKUP(Tableau13[[#This Row],[Code machine]],'CODE mchn'!$A$4:$C$170,2,0)),"",VLOOKUP(Tableau13[[#This Row],[Code machine]],'CODE mchn'!$A$4:$C$170,2,0))</f>
        <v>Acier</v>
      </c>
      <c r="D1901" s="36" t="str">
        <f>IF(ISNA(VLOOKUP(Tableau13[[#This Row],[Code machine]],'CODE mchn'!$A$4:$C$170,3,0)),"",VLOOKUP(Tableau13[[#This Row],[Code machine]],'CODE mchn'!$A$4:$C$170,3,0))</f>
        <v>Teurema 1</v>
      </c>
      <c r="E1901" s="105">
        <v>26009</v>
      </c>
      <c r="F1901" s="36"/>
      <c r="G1901" s="36" t="s">
        <v>49</v>
      </c>
      <c r="H1901" s="36" t="s">
        <v>776</v>
      </c>
      <c r="I1901" s="36" t="s">
        <v>13</v>
      </c>
      <c r="J1901" s="252" t="s">
        <v>3258</v>
      </c>
      <c r="K1901" s="71">
        <v>44530</v>
      </c>
      <c r="L1901" s="36"/>
      <c r="M1901" s="108">
        <v>15</v>
      </c>
      <c r="N1901" s="108">
        <f>MONTH(Tableau13[[#This Row],[Date fin intervention]])</f>
        <v>11</v>
      </c>
      <c r="O1901" s="108">
        <f>YEAR(Tableau13[[#This Row],[Date fin intervention]])</f>
        <v>2021</v>
      </c>
      <c r="P1901" s="36"/>
    </row>
    <row r="1902" spans="1:16" ht="28.5">
      <c r="A1902" s="238">
        <v>44530</v>
      </c>
      <c r="B1902" s="239">
        <v>568</v>
      </c>
      <c r="C1902" s="240" t="str">
        <f>IF(ISNA(VLOOKUP(Tableau13[[#This Row],[Code machine]],'CODE mchn'!$A$4:$C$170,2,0)),"",VLOOKUP(Tableau13[[#This Row],[Code machine]],'CODE mchn'!$A$4:$C$170,2,0))</f>
        <v>Ponts roulants</v>
      </c>
      <c r="D1902" s="241" t="str">
        <f>IF(ISNA(VLOOKUP(Tableau13[[#This Row],[Code machine]],'CODE mchn'!$A$4:$C$170,3,0)),"",VLOOKUP(Tableau13[[#This Row],[Code machine]],'CODE mchn'!$A$4:$C$170,3,0))</f>
        <v>Pont roulant Demag 5T (milieu)</v>
      </c>
      <c r="E1902" s="239">
        <v>25966</v>
      </c>
      <c r="F1902" s="241"/>
      <c r="G1902" s="241" t="s">
        <v>3450</v>
      </c>
      <c r="H1902" s="241" t="s">
        <v>3486</v>
      </c>
      <c r="I1902" s="241" t="s">
        <v>3287</v>
      </c>
      <c r="J1902" s="249" t="s">
        <v>3487</v>
      </c>
      <c r="K1902" s="242">
        <v>44530</v>
      </c>
      <c r="L1902" s="241"/>
      <c r="M1902" s="243">
        <v>45</v>
      </c>
      <c r="N1902" s="243">
        <f>MONTH(Tableau13[[#This Row],[Date fin intervention]])</f>
        <v>11</v>
      </c>
      <c r="O1902" s="243">
        <f>YEAR(Tableau13[[#This Row],[Date fin intervention]])</f>
        <v>2021</v>
      </c>
      <c r="P1902" s="241"/>
    </row>
    <row r="1903" spans="1:16">
      <c r="A1903" s="238">
        <v>44530</v>
      </c>
      <c r="B1903" s="239">
        <v>573</v>
      </c>
      <c r="C1903" s="240" t="str">
        <f>IF(ISNA(VLOOKUP(Tableau13[[#This Row],[Code machine]],'CODE mchn'!$A$4:$C$170,2,0)),"",VLOOKUP(Tableau13[[#This Row],[Code machine]],'CODE mchn'!$A$4:$C$170,2,0))</f>
        <v>Ponts roulants</v>
      </c>
      <c r="D1903" s="241" t="str">
        <f>IF(ISNA(VLOOKUP(Tableau13[[#This Row],[Code machine]],'CODE mchn'!$A$4:$C$170,3,0)),"",VLOOKUP(Tableau13[[#This Row],[Code machine]],'CODE mchn'!$A$4:$C$170,3,0))</f>
        <v xml:space="preserve">Pont roulant Demag 1 3,5T </v>
      </c>
      <c r="E1903" s="239">
        <v>25767</v>
      </c>
      <c r="F1903" s="241"/>
      <c r="G1903" s="241" t="s">
        <v>3450</v>
      </c>
      <c r="H1903" s="241" t="s">
        <v>3572</v>
      </c>
      <c r="I1903" s="241" t="s">
        <v>3287</v>
      </c>
      <c r="J1903" s="249" t="s">
        <v>3573</v>
      </c>
      <c r="K1903" s="242">
        <v>44530</v>
      </c>
      <c r="L1903" s="241"/>
      <c r="M1903" s="243">
        <v>10</v>
      </c>
      <c r="N1903" s="243">
        <f>MONTH(Tableau13[[#This Row],[Date fin intervention]])</f>
        <v>11</v>
      </c>
      <c r="O1903" s="243">
        <f>YEAR(Tableau13[[#This Row],[Date fin intervention]])</f>
        <v>2021</v>
      </c>
      <c r="P1903" s="241"/>
    </row>
    <row r="1904" spans="1:16">
      <c r="A1904" s="232">
        <v>44531</v>
      </c>
      <c r="B1904" s="233">
        <v>700</v>
      </c>
      <c r="C1904" s="234" t="str">
        <f>IF(ISNA(VLOOKUP(Tableau13[[#This Row],[Code machine]],'CODE mchn'!$A$4:$C$170,2,0)),"",VLOOKUP(Tableau13[[#This Row],[Code machine]],'CODE mchn'!$A$4:$C$170,2,0))</f>
        <v>Béton</v>
      </c>
      <c r="D1904" s="235" t="str">
        <f>IF(ISNA(VLOOKUP(Tableau13[[#This Row],[Code machine]],'CODE mchn'!$A$4:$C$170,3,0)),"",VLOOKUP(Tableau13[[#This Row],[Code machine]],'CODE mchn'!$A$4:$C$170,3,0))</f>
        <v>Poyatos 1</v>
      </c>
      <c r="E1904" s="105">
        <v>25874</v>
      </c>
      <c r="F1904" s="36"/>
      <c r="G1904" s="235" t="s">
        <v>291</v>
      </c>
      <c r="H1904" s="235" t="s">
        <v>3208</v>
      </c>
      <c r="I1904" s="235" t="s">
        <v>13</v>
      </c>
      <c r="J1904" s="254" t="s">
        <v>3209</v>
      </c>
      <c r="K1904" s="236">
        <v>44531</v>
      </c>
      <c r="L1904" s="235"/>
      <c r="M1904" s="237">
        <f>3*60</f>
        <v>180</v>
      </c>
      <c r="N1904" s="237">
        <f>MONTH(Tableau13[[#This Row],[Date fin intervention]])</f>
        <v>12</v>
      </c>
      <c r="O1904" s="237">
        <f>YEAR(Tableau13[[#This Row],[Date fin intervention]])</f>
        <v>2021</v>
      </c>
      <c r="P1904" s="235"/>
    </row>
    <row r="1905" spans="1:16" ht="28.5">
      <c r="A1905" s="238">
        <v>44531</v>
      </c>
      <c r="B1905" s="239">
        <v>581</v>
      </c>
      <c r="C1905" s="240" t="str">
        <f>IF(ISNA(VLOOKUP(Tableau13[[#This Row],[Code machine]],'CODE mchn'!$A$4:$C$170,2,0)),"",VLOOKUP(Tableau13[[#This Row],[Code machine]],'CODE mchn'!$A$4:$C$170,2,0))</f>
        <v>Acier</v>
      </c>
      <c r="D1905" s="241" t="str">
        <f>IF(ISNA(VLOOKUP(Tableau13[[#This Row],[Code machine]],'CODE mchn'!$A$4:$C$170,3,0)),"",VLOOKUP(Tableau13[[#This Row],[Code machine]],'CODE mchn'!$A$4:$C$170,3,0))</f>
        <v>Teurema 1</v>
      </c>
      <c r="E1905" s="239">
        <v>25967</v>
      </c>
      <c r="F1905" s="241"/>
      <c r="G1905" s="241" t="s">
        <v>3488</v>
      </c>
      <c r="H1905" s="241" t="s">
        <v>3489</v>
      </c>
      <c r="I1905" s="241" t="s">
        <v>3291</v>
      </c>
      <c r="J1905" s="249" t="s">
        <v>3490</v>
      </c>
      <c r="K1905" s="242">
        <v>44531</v>
      </c>
      <c r="L1905" s="241"/>
      <c r="M1905" s="243">
        <v>90</v>
      </c>
      <c r="N1905" s="243">
        <f>MONTH(Tableau13[[#This Row],[Date fin intervention]])</f>
        <v>12</v>
      </c>
      <c r="O1905" s="243">
        <f>YEAR(Tableau13[[#This Row],[Date fin intervention]])</f>
        <v>2021</v>
      </c>
      <c r="P1905" s="241"/>
    </row>
    <row r="1906" spans="1:16" ht="28.5">
      <c r="A1906" s="238">
        <v>44531</v>
      </c>
      <c r="B1906" s="239">
        <v>581</v>
      </c>
      <c r="C1906" s="240" t="str">
        <f>IF(ISNA(VLOOKUP(Tableau13[[#This Row],[Code machine]],'CODE mchn'!$A$4:$C$170,2,0)),"",VLOOKUP(Tableau13[[#This Row],[Code machine]],'CODE mchn'!$A$4:$C$170,2,0))</f>
        <v>Acier</v>
      </c>
      <c r="D1906" s="241" t="str">
        <f>IF(ISNA(VLOOKUP(Tableau13[[#This Row],[Code machine]],'CODE mchn'!$A$4:$C$170,3,0)),"",VLOOKUP(Tableau13[[#This Row],[Code machine]],'CODE mchn'!$A$4:$C$170,3,0))</f>
        <v>Teurema 1</v>
      </c>
      <c r="E1906" s="239">
        <v>25769</v>
      </c>
      <c r="F1906" s="241"/>
      <c r="G1906" s="241" t="s">
        <v>3576</v>
      </c>
      <c r="H1906" s="241" t="s">
        <v>3577</v>
      </c>
      <c r="I1906" s="241" t="s">
        <v>3287</v>
      </c>
      <c r="J1906" s="249" t="s">
        <v>3578</v>
      </c>
      <c r="K1906" s="242">
        <v>44531</v>
      </c>
      <c r="L1906" s="241"/>
      <c r="M1906" s="243">
        <v>90</v>
      </c>
      <c r="N1906" s="243">
        <f>MONTH(Tableau13[[#This Row],[Date fin intervention]])</f>
        <v>12</v>
      </c>
      <c r="O1906" s="243">
        <f>YEAR(Tableau13[[#This Row],[Date fin intervention]])</f>
        <v>2021</v>
      </c>
      <c r="P1906" s="241"/>
    </row>
    <row r="1907" spans="1:16">
      <c r="A1907" s="232">
        <v>44532</v>
      </c>
      <c r="B1907" s="233">
        <v>700</v>
      </c>
      <c r="C1907" s="234" t="str">
        <f>IF(ISNA(VLOOKUP(Tableau13[[#This Row],[Code machine]],'CODE mchn'!$A$4:$C$170,2,0)),"",VLOOKUP(Tableau13[[#This Row],[Code machine]],'CODE mchn'!$A$4:$C$170,2,0))</f>
        <v>Béton</v>
      </c>
      <c r="D1907" s="235" t="str">
        <f>IF(ISNA(VLOOKUP(Tableau13[[#This Row],[Code machine]],'CODE mchn'!$A$4:$C$170,3,0)),"",VLOOKUP(Tableau13[[#This Row],[Code machine]],'CODE mchn'!$A$4:$C$170,3,0))</f>
        <v>Poyatos 1</v>
      </c>
      <c r="E1907" s="105">
        <v>25875</v>
      </c>
      <c r="F1907" s="36"/>
      <c r="G1907" s="235" t="s">
        <v>3210</v>
      </c>
      <c r="H1907" s="235" t="s">
        <v>3210</v>
      </c>
      <c r="I1907" s="235" t="s">
        <v>13</v>
      </c>
      <c r="J1907" s="254" t="s">
        <v>1966</v>
      </c>
      <c r="K1907" s="236">
        <v>44532</v>
      </c>
      <c r="L1907" s="235"/>
      <c r="M1907" s="237">
        <f>3*60</f>
        <v>180</v>
      </c>
      <c r="N1907" s="237">
        <f>MONTH(Tableau13[[#This Row],[Date fin intervention]])</f>
        <v>12</v>
      </c>
      <c r="O1907" s="237">
        <f>YEAR(Tableau13[[#This Row],[Date fin intervention]])</f>
        <v>2021</v>
      </c>
      <c r="P1907" s="235"/>
    </row>
    <row r="1908" spans="1:16">
      <c r="A1908" s="238">
        <v>44532</v>
      </c>
      <c r="B1908" s="239">
        <v>582</v>
      </c>
      <c r="C1908" s="240" t="str">
        <f>IF(ISNA(VLOOKUP(Tableau13[[#This Row],[Code machine]],'CODE mchn'!$A$4:$C$170,2,0)),"",VLOOKUP(Tableau13[[#This Row],[Code machine]],'CODE mchn'!$A$4:$C$170,2,0))</f>
        <v>Acier</v>
      </c>
      <c r="D1908" s="241" t="str">
        <f>IF(ISNA(VLOOKUP(Tableau13[[#This Row],[Code machine]],'CODE mchn'!$A$4:$C$170,3,0)),"",VLOOKUP(Tableau13[[#This Row],[Code machine]],'CODE mchn'!$A$4:$C$170,3,0))</f>
        <v>Teurema 2</v>
      </c>
      <c r="E1908" s="239">
        <v>25968</v>
      </c>
      <c r="F1908" s="241"/>
      <c r="G1908" s="241" t="s">
        <v>3491</v>
      </c>
      <c r="H1908" s="241" t="s">
        <v>3492</v>
      </c>
      <c r="I1908" s="241" t="s">
        <v>3287</v>
      </c>
      <c r="J1908" s="249" t="s">
        <v>3493</v>
      </c>
      <c r="K1908" s="242">
        <v>44532</v>
      </c>
      <c r="L1908" s="241"/>
      <c r="M1908" s="243">
        <v>60</v>
      </c>
      <c r="N1908" s="243">
        <f>MONTH(Tableau13[[#This Row],[Date fin intervention]])</f>
        <v>12</v>
      </c>
      <c r="O1908" s="243">
        <f>YEAR(Tableau13[[#This Row],[Date fin intervention]])</f>
        <v>2021</v>
      </c>
      <c r="P1908" s="241"/>
    </row>
    <row r="1909" spans="1:16">
      <c r="A1909" s="232">
        <v>44533</v>
      </c>
      <c r="B1909" s="233">
        <v>800</v>
      </c>
      <c r="C1909" s="234" t="str">
        <f>IF(ISNA(VLOOKUP(Tableau13[[#This Row],[Code machine]],'CODE mchn'!$A$4:$C$170,2,0)),"",VLOOKUP(Tableau13[[#This Row],[Code machine]],'CODE mchn'!$A$4:$C$170,2,0))</f>
        <v>Béton</v>
      </c>
      <c r="D1909" s="235" t="str">
        <f>IF(ISNA(VLOOKUP(Tableau13[[#This Row],[Code machine]],'CODE mchn'!$A$4:$C$170,3,0)),"",VLOOKUP(Tableau13[[#This Row],[Code machine]],'CODE mchn'!$A$4:$C$170,3,0))</f>
        <v>Poyatos 2</v>
      </c>
      <c r="E1909" s="105">
        <v>25876</v>
      </c>
      <c r="F1909" s="36"/>
      <c r="G1909" s="235" t="s">
        <v>3211</v>
      </c>
      <c r="H1909" s="235" t="s">
        <v>3212</v>
      </c>
      <c r="I1909" s="235" t="s">
        <v>13</v>
      </c>
      <c r="J1909" s="254" t="s">
        <v>3213</v>
      </c>
      <c r="K1909" s="236">
        <v>44533</v>
      </c>
      <c r="L1909" s="235"/>
      <c r="M1909" s="237">
        <v>60</v>
      </c>
      <c r="N1909" s="237">
        <f>MONTH(Tableau13[[#This Row],[Date fin intervention]])</f>
        <v>12</v>
      </c>
      <c r="O1909" s="237">
        <f>YEAR(Tableau13[[#This Row],[Date fin intervention]])</f>
        <v>2021</v>
      </c>
      <c r="P1909" s="235"/>
    </row>
    <row r="1910" spans="1:16">
      <c r="A1910" s="104">
        <v>44533</v>
      </c>
      <c r="B1910" s="105">
        <v>581</v>
      </c>
      <c r="C1910" s="106" t="str">
        <f>IF(ISNA(VLOOKUP(Tableau13[[#This Row],[Code machine]],'CODE mchn'!$A$4:$C$170,2,0)),"",VLOOKUP(Tableau13[[#This Row],[Code machine]],'CODE mchn'!$A$4:$C$170,2,0))</f>
        <v>Acier</v>
      </c>
      <c r="D1910" s="36" t="str">
        <f>IF(ISNA(VLOOKUP(Tableau13[[#This Row],[Code machine]],'CODE mchn'!$A$4:$C$170,3,0)),"",VLOOKUP(Tableau13[[#This Row],[Code machine]],'CODE mchn'!$A$4:$C$170,3,0))</f>
        <v>Teurema 1</v>
      </c>
      <c r="E1910" s="105">
        <v>26011</v>
      </c>
      <c r="F1910" s="36"/>
      <c r="G1910" s="36" t="s">
        <v>1660</v>
      </c>
      <c r="H1910" s="36" t="s">
        <v>3259</v>
      </c>
      <c r="I1910" s="36" t="s">
        <v>13</v>
      </c>
      <c r="J1910" s="252" t="s">
        <v>1150</v>
      </c>
      <c r="K1910" s="71">
        <v>44533</v>
      </c>
      <c r="L1910" s="36"/>
      <c r="M1910" s="108"/>
      <c r="N1910" s="108">
        <f>MONTH(Tableau13[[#This Row],[Date fin intervention]])</f>
        <v>12</v>
      </c>
      <c r="O1910" s="108">
        <f>YEAR(Tableau13[[#This Row],[Date fin intervention]])</f>
        <v>2021</v>
      </c>
      <c r="P1910" s="36"/>
    </row>
    <row r="1911" spans="1:16">
      <c r="A1911" s="238">
        <v>44533</v>
      </c>
      <c r="B1911" s="239">
        <v>581</v>
      </c>
      <c r="C1911" s="240" t="str">
        <f>IF(ISNA(VLOOKUP(Tableau13[[#This Row],[Code machine]],'CODE mchn'!$A$4:$C$170,2,0)),"",VLOOKUP(Tableau13[[#This Row],[Code machine]],'CODE mchn'!$A$4:$C$170,2,0))</f>
        <v>Acier</v>
      </c>
      <c r="D1911" s="241" t="str">
        <f>IF(ISNA(VLOOKUP(Tableau13[[#This Row],[Code machine]],'CODE mchn'!$A$4:$C$170,3,0)),"",VLOOKUP(Tableau13[[#This Row],[Code machine]],'CODE mchn'!$A$4:$C$170,3,0))</f>
        <v>Teurema 1</v>
      </c>
      <c r="E1911" s="239">
        <v>25969</v>
      </c>
      <c r="F1911" s="241"/>
      <c r="G1911" s="241" t="s">
        <v>3450</v>
      </c>
      <c r="H1911" s="241" t="s">
        <v>3494</v>
      </c>
      <c r="I1911" s="241" t="s">
        <v>3497</v>
      </c>
      <c r="J1911" s="249" t="s">
        <v>3495</v>
      </c>
      <c r="K1911" s="242">
        <v>44533</v>
      </c>
      <c r="L1911" s="241"/>
      <c r="M1911" s="243">
        <v>30</v>
      </c>
      <c r="N1911" s="243">
        <f>MONTH(Tableau13[[#This Row],[Date fin intervention]])</f>
        <v>12</v>
      </c>
      <c r="O1911" s="243">
        <f>YEAR(Tableau13[[#This Row],[Date fin intervention]])</f>
        <v>2021</v>
      </c>
      <c r="P1911" s="241"/>
    </row>
    <row r="1912" spans="1:16">
      <c r="A1912" s="104">
        <v>44534</v>
      </c>
      <c r="B1912" s="105">
        <v>590</v>
      </c>
      <c r="C1912" s="106" t="str">
        <f>IF(ISNA(VLOOKUP(Tableau13[[#This Row],[Code machine]],'CODE mchn'!$A$4:$C$170,2,0)),"",VLOOKUP(Tableau13[[#This Row],[Code machine]],'CODE mchn'!$A$4:$C$170,2,0))</f>
        <v>Acier</v>
      </c>
      <c r="D1912" s="36" t="str">
        <f>IF(ISNA(VLOOKUP(Tableau13[[#This Row],[Code machine]],'CODE mchn'!$A$4:$C$170,3,0)),"",VLOOKUP(Tableau13[[#This Row],[Code machine]],'CODE mchn'!$A$4:$C$170,3,0))</f>
        <v>Teurema 3</v>
      </c>
      <c r="E1912" s="105">
        <v>26014</v>
      </c>
      <c r="F1912" s="36"/>
      <c r="G1912" s="36"/>
      <c r="H1912" s="36"/>
      <c r="I1912" s="36"/>
      <c r="J1912" s="252"/>
      <c r="K1912" s="71">
        <v>44534</v>
      </c>
      <c r="L1912" s="36"/>
      <c r="M1912" s="108"/>
      <c r="N1912" s="108">
        <f>MONTH(Tableau13[[#This Row],[Date fin intervention]])</f>
        <v>12</v>
      </c>
      <c r="O1912" s="108">
        <f>YEAR(Tableau13[[#This Row],[Date fin intervention]])</f>
        <v>2021</v>
      </c>
      <c r="P1912" s="36"/>
    </row>
    <row r="1913" spans="1:16">
      <c r="A1913" s="104">
        <v>44534</v>
      </c>
      <c r="B1913" s="105">
        <v>700</v>
      </c>
      <c r="C1913" s="106" t="str">
        <f>IF(ISNA(VLOOKUP(Tableau13[[#This Row],[Code machine]],'CODE mchn'!$A$4:$C$170,2,0)),"",VLOOKUP(Tableau13[[#This Row],[Code machine]],'CODE mchn'!$A$4:$C$170,2,0))</f>
        <v>Béton</v>
      </c>
      <c r="D1913" s="36" t="str">
        <f>IF(ISNA(VLOOKUP(Tableau13[[#This Row],[Code machine]],'CODE mchn'!$A$4:$C$170,3,0)),"",VLOOKUP(Tableau13[[#This Row],[Code machine]],'CODE mchn'!$A$4:$C$170,3,0))</f>
        <v>Poyatos 1</v>
      </c>
      <c r="E1913" s="105"/>
      <c r="F1913" s="36"/>
      <c r="G1913" s="36" t="s">
        <v>306</v>
      </c>
      <c r="H1913" s="36" t="s">
        <v>4120</v>
      </c>
      <c r="I1913" s="36" t="s">
        <v>30</v>
      </c>
      <c r="J1913" s="252" t="s">
        <v>4131</v>
      </c>
      <c r="K1913" s="71">
        <v>44534</v>
      </c>
      <c r="L1913" s="36"/>
      <c r="M1913" s="108">
        <v>45</v>
      </c>
      <c r="N1913" s="108">
        <f>MONTH(Tableau13[[#This Row],[Date fin intervention]])</f>
        <v>12</v>
      </c>
      <c r="O1913" s="108">
        <f>YEAR(Tableau13[[#This Row],[Date fin intervention]])</f>
        <v>2021</v>
      </c>
      <c r="P1913" s="36"/>
    </row>
    <row r="1914" spans="1:16" ht="42.75">
      <c r="A1914" s="238">
        <v>44536</v>
      </c>
      <c r="B1914" s="239">
        <v>800</v>
      </c>
      <c r="C1914" s="240" t="str">
        <f>IF(ISNA(VLOOKUP(Tableau13[[#This Row],[Code machine]],'CODE mchn'!$A$4:$C$170,2,0)),"",VLOOKUP(Tableau13[[#This Row],[Code machine]],'CODE mchn'!$A$4:$C$170,2,0))</f>
        <v>Béton</v>
      </c>
      <c r="D1914" s="241" t="str">
        <f>IF(ISNA(VLOOKUP(Tableau13[[#This Row],[Code machine]],'CODE mchn'!$A$4:$C$170,3,0)),"",VLOOKUP(Tableau13[[#This Row],[Code machine]],'CODE mchn'!$A$4:$C$170,3,0))</f>
        <v>Poyatos 2</v>
      </c>
      <c r="E1914" s="105">
        <v>25877</v>
      </c>
      <c r="F1914" s="36"/>
      <c r="G1914" s="241" t="s">
        <v>185</v>
      </c>
      <c r="H1914" s="241" t="s">
        <v>1050</v>
      </c>
      <c r="I1914" s="241" t="s">
        <v>13</v>
      </c>
      <c r="J1914" s="249" t="s">
        <v>3260</v>
      </c>
      <c r="K1914" s="242">
        <v>44536</v>
      </c>
      <c r="L1914" s="241" t="s">
        <v>3265</v>
      </c>
      <c r="M1914" s="243">
        <f>6*60</f>
        <v>360</v>
      </c>
      <c r="N1914" s="243">
        <f>MONTH(Tableau13[[#This Row],[Date fin intervention]])</f>
        <v>12</v>
      </c>
      <c r="O1914" s="243">
        <f>YEAR(Tableau13[[#This Row],[Date fin intervention]])</f>
        <v>2021</v>
      </c>
      <c r="P1914" s="241"/>
    </row>
    <row r="1915" spans="1:16" ht="28.5">
      <c r="A1915" s="238">
        <v>44536</v>
      </c>
      <c r="B1915" s="239">
        <v>568</v>
      </c>
      <c r="C1915" s="240" t="str">
        <f>IF(ISNA(VLOOKUP(Tableau13[[#This Row],[Code machine]],'CODE mchn'!$A$4:$C$170,2,0)),"",VLOOKUP(Tableau13[[#This Row],[Code machine]],'CODE mchn'!$A$4:$C$170,2,0))</f>
        <v>Ponts roulants</v>
      </c>
      <c r="D1915" s="241" t="str">
        <f>IF(ISNA(VLOOKUP(Tableau13[[#This Row],[Code machine]],'CODE mchn'!$A$4:$C$170,3,0)),"",VLOOKUP(Tableau13[[#This Row],[Code machine]],'CODE mchn'!$A$4:$C$170,3,0))</f>
        <v>Pont roulant Demag 5T (milieu)</v>
      </c>
      <c r="E1915" s="239">
        <v>25771</v>
      </c>
      <c r="F1915" s="241"/>
      <c r="G1915" s="241" t="s">
        <v>3450</v>
      </c>
      <c r="H1915" s="241" t="s">
        <v>3582</v>
      </c>
      <c r="I1915" s="241" t="s">
        <v>3287</v>
      </c>
      <c r="J1915" s="249" t="s">
        <v>3583</v>
      </c>
      <c r="K1915" s="242">
        <v>44536</v>
      </c>
      <c r="L1915" s="241"/>
      <c r="M1915" s="243">
        <v>60</v>
      </c>
      <c r="N1915" s="243">
        <f>MONTH(Tableau13[[#This Row],[Date fin intervention]])</f>
        <v>12</v>
      </c>
      <c r="O1915" s="243">
        <f>YEAR(Tableau13[[#This Row],[Date fin intervention]])</f>
        <v>2021</v>
      </c>
      <c r="P1915" s="241"/>
    </row>
    <row r="1916" spans="1:16">
      <c r="A1916" s="238">
        <v>44536</v>
      </c>
      <c r="B1916" s="239">
        <v>571</v>
      </c>
      <c r="C1916" s="240" t="str">
        <f>IF(ISNA(VLOOKUP(Tableau13[[#This Row],[Code machine]],'CODE mchn'!$A$4:$C$170,2,0)),"",VLOOKUP(Tableau13[[#This Row],[Code machine]],'CODE mchn'!$A$4:$C$170,2,0))</f>
        <v>Acier</v>
      </c>
      <c r="D1916" s="241" t="str">
        <f>IF(ISNA(VLOOKUP(Tableau13[[#This Row],[Code machine]],'CODE mchn'!$A$4:$C$170,3,0)),"",VLOOKUP(Tableau13[[#This Row],[Code machine]],'CODE mchn'!$A$4:$C$170,3,0))</f>
        <v>EVG PN 1</v>
      </c>
      <c r="E1916" s="239">
        <v>25828</v>
      </c>
      <c r="F1916" s="241"/>
      <c r="G1916" s="241" t="s">
        <v>3610</v>
      </c>
      <c r="H1916" s="241" t="s">
        <v>3674</v>
      </c>
      <c r="I1916" s="241" t="s">
        <v>3287</v>
      </c>
      <c r="J1916" s="249" t="s">
        <v>3675</v>
      </c>
      <c r="K1916" s="242">
        <v>44536</v>
      </c>
      <c r="L1916" s="241"/>
      <c r="M1916" s="243">
        <v>240</v>
      </c>
      <c r="N1916" s="243">
        <f>MONTH(Tableau13[[#This Row],[Date fin intervention]])</f>
        <v>12</v>
      </c>
      <c r="O1916" s="243">
        <f>YEAR(Tableau13[[#This Row],[Date fin intervention]])</f>
        <v>2021</v>
      </c>
      <c r="P1916" s="241"/>
    </row>
    <row r="1917" spans="1:16" ht="42.75">
      <c r="A1917" s="238">
        <v>44536</v>
      </c>
      <c r="B1917" s="239">
        <v>620</v>
      </c>
      <c r="C1917" s="240" t="str">
        <f>IF(ISNA(VLOOKUP(Tableau13[[#This Row],[Code machine]],'CODE mchn'!$A$4:$C$170,2,0)),"",VLOOKUP(Tableau13[[#This Row],[Code machine]],'CODE mchn'!$A$4:$C$170,2,0))</f>
        <v>Acier</v>
      </c>
      <c r="D1917" s="241" t="str">
        <f>IF(ISNA(VLOOKUP(Tableau13[[#This Row],[Code machine]],'CODE mchn'!$A$4:$C$170,3,0)),"",VLOOKUP(Tableau13[[#This Row],[Code machine]],'CODE mchn'!$A$4:$C$170,3,0))</f>
        <v>EVG PN 2</v>
      </c>
      <c r="E1917" s="239">
        <v>25829</v>
      </c>
      <c r="F1917" s="241"/>
      <c r="G1917" s="241" t="s">
        <v>3676</v>
      </c>
      <c r="H1917" s="241" t="s">
        <v>3677</v>
      </c>
      <c r="I1917" s="241" t="s">
        <v>3287</v>
      </c>
      <c r="J1917" s="249" t="s">
        <v>3678</v>
      </c>
      <c r="K1917" s="242">
        <v>44536</v>
      </c>
      <c r="L1917" s="241"/>
      <c r="M1917" s="243">
        <v>180</v>
      </c>
      <c r="N1917" s="243">
        <f>MONTH(Tableau13[[#This Row],[Date fin intervention]])</f>
        <v>12</v>
      </c>
      <c r="O1917" s="243">
        <f>YEAR(Tableau13[[#This Row],[Date fin intervention]])</f>
        <v>2021</v>
      </c>
      <c r="P1917" s="241"/>
    </row>
    <row r="1918" spans="1:16">
      <c r="A1918" s="238">
        <v>44537</v>
      </c>
      <c r="B1918" s="239">
        <v>800</v>
      </c>
      <c r="C1918" s="240" t="str">
        <f>IF(ISNA(VLOOKUP(Tableau13[[#This Row],[Code machine]],'CODE mchn'!$A$4:$C$170,2,0)),"",VLOOKUP(Tableau13[[#This Row],[Code machine]],'CODE mchn'!$A$4:$C$170,2,0))</f>
        <v>Béton</v>
      </c>
      <c r="D1918" s="241" t="str">
        <f>IF(ISNA(VLOOKUP(Tableau13[[#This Row],[Code machine]],'CODE mchn'!$A$4:$C$170,3,0)),"",VLOOKUP(Tableau13[[#This Row],[Code machine]],'CODE mchn'!$A$4:$C$170,3,0))</f>
        <v>Poyatos 2</v>
      </c>
      <c r="E1918" s="105">
        <v>25878</v>
      </c>
      <c r="F1918" s="36"/>
      <c r="G1918" s="241" t="s">
        <v>213</v>
      </c>
      <c r="H1918" s="241" t="s">
        <v>3261</v>
      </c>
      <c r="I1918" s="241" t="s">
        <v>3262</v>
      </c>
      <c r="J1918" s="249" t="s">
        <v>1938</v>
      </c>
      <c r="K1918" s="242">
        <v>44539</v>
      </c>
      <c r="L1918" s="241"/>
      <c r="M1918" s="243">
        <v>60</v>
      </c>
      <c r="N1918" s="243">
        <f>MONTH(Tableau13[[#This Row],[Date fin intervention]])</f>
        <v>12</v>
      </c>
      <c r="O1918" s="243">
        <f>YEAR(Tableau13[[#This Row],[Date fin intervention]])</f>
        <v>2021</v>
      </c>
      <c r="P1918" s="241"/>
    </row>
    <row r="1919" spans="1:16">
      <c r="A1919" s="238">
        <v>44537</v>
      </c>
      <c r="B1919" s="239">
        <v>700</v>
      </c>
      <c r="C1919" s="240" t="str">
        <f>IF(ISNA(VLOOKUP(Tableau13[[#This Row],[Code machine]],'CODE mchn'!$A$4:$C$170,2,0)),"",VLOOKUP(Tableau13[[#This Row],[Code machine]],'CODE mchn'!$A$4:$C$170,2,0))</f>
        <v>Béton</v>
      </c>
      <c r="D1919" s="241" t="str">
        <f>IF(ISNA(VLOOKUP(Tableau13[[#This Row],[Code machine]],'CODE mchn'!$A$4:$C$170,3,0)),"",VLOOKUP(Tableau13[[#This Row],[Code machine]],'CODE mchn'!$A$4:$C$170,3,0))</f>
        <v>Poyatos 1</v>
      </c>
      <c r="E1919" s="239">
        <v>25970</v>
      </c>
      <c r="F1919" s="241"/>
      <c r="G1919" s="241" t="s">
        <v>3450</v>
      </c>
      <c r="H1919" s="241" t="s">
        <v>3496</v>
      </c>
      <c r="I1919" s="241" t="s">
        <v>3291</v>
      </c>
      <c r="J1919" s="249" t="s">
        <v>3498</v>
      </c>
      <c r="K1919" s="242">
        <v>44537</v>
      </c>
      <c r="L1919" s="241"/>
      <c r="M1919" s="243">
        <v>50</v>
      </c>
      <c r="N1919" s="243">
        <f>MONTH(Tableau13[[#This Row],[Date fin intervention]])</f>
        <v>12</v>
      </c>
      <c r="O1919" s="243">
        <f>YEAR(Tableau13[[#This Row],[Date fin intervention]])</f>
        <v>2021</v>
      </c>
      <c r="P1919" s="241"/>
    </row>
    <row r="1920" spans="1:16" ht="28.5">
      <c r="A1920" s="238">
        <v>44537</v>
      </c>
      <c r="B1920" s="239">
        <v>562</v>
      </c>
      <c r="C1920" s="240" t="str">
        <f>IF(ISNA(VLOOKUP(Tableau13[[#This Row],[Code machine]],'CODE mchn'!$A$4:$C$170,2,0)),"",VLOOKUP(Tableau13[[#This Row],[Code machine]],'CODE mchn'!$A$4:$C$170,2,0))</f>
        <v>Ponts roulants</v>
      </c>
      <c r="D1920" s="241" t="str">
        <f>IF(ISNA(VLOOKUP(Tableau13[[#This Row],[Code machine]],'CODE mchn'!$A$4:$C$170,3,0)),"",VLOOKUP(Tableau13[[#This Row],[Code machine]],'CODE mchn'!$A$4:$C$170,3,0))</f>
        <v>Pont roulant GH Beasain 12T</v>
      </c>
      <c r="E1920" s="239">
        <v>25770</v>
      </c>
      <c r="F1920" s="241"/>
      <c r="G1920" s="241" t="s">
        <v>3579</v>
      </c>
      <c r="H1920" s="241" t="s">
        <v>3580</v>
      </c>
      <c r="I1920" s="241" t="s">
        <v>3287</v>
      </c>
      <c r="J1920" s="249" t="s">
        <v>3581</v>
      </c>
      <c r="K1920" s="242">
        <v>44537</v>
      </c>
      <c r="L1920" s="241"/>
      <c r="M1920" s="243">
        <v>30</v>
      </c>
      <c r="N1920" s="243">
        <f>MONTH(Tableau13[[#This Row],[Date fin intervention]])</f>
        <v>12</v>
      </c>
      <c r="O1920" s="243">
        <f>YEAR(Tableau13[[#This Row],[Date fin intervention]])</f>
        <v>2021</v>
      </c>
      <c r="P1920" s="241"/>
    </row>
    <row r="1921" spans="1:16" ht="28.5">
      <c r="A1921" s="238">
        <v>44537</v>
      </c>
      <c r="B1921" s="239">
        <v>562</v>
      </c>
      <c r="C1921" s="240" t="str">
        <f>IF(ISNA(VLOOKUP(Tableau13[[#This Row],[Code machine]],'CODE mchn'!$A$4:$C$170,2,0)),"",VLOOKUP(Tableau13[[#This Row],[Code machine]],'CODE mchn'!$A$4:$C$170,2,0))</f>
        <v>Ponts roulants</v>
      </c>
      <c r="D1921" s="241" t="str">
        <f>IF(ISNA(VLOOKUP(Tableau13[[#This Row],[Code machine]],'CODE mchn'!$A$4:$C$170,3,0)),"",VLOOKUP(Tableau13[[#This Row],[Code machine]],'CODE mchn'!$A$4:$C$170,3,0))</f>
        <v>Pont roulant GH Beasain 12T</v>
      </c>
      <c r="E1921" s="239">
        <v>25772</v>
      </c>
      <c r="F1921" s="241"/>
      <c r="G1921" s="241" t="s">
        <v>3584</v>
      </c>
      <c r="H1921" s="241" t="s">
        <v>3588</v>
      </c>
      <c r="I1921" s="241" t="s">
        <v>3287</v>
      </c>
      <c r="J1921" s="249" t="s">
        <v>3586</v>
      </c>
      <c r="K1921" s="242">
        <v>44537</v>
      </c>
      <c r="L1921" s="241"/>
      <c r="M1921" s="243">
        <v>30</v>
      </c>
      <c r="N1921" s="243">
        <f>MONTH(Tableau13[[#This Row],[Date fin intervention]])</f>
        <v>12</v>
      </c>
      <c r="O1921" s="243">
        <f>YEAR(Tableau13[[#This Row],[Date fin intervention]])</f>
        <v>2021</v>
      </c>
      <c r="P1921" s="241"/>
    </row>
    <row r="1922" spans="1:16" ht="28.5">
      <c r="A1922" s="238">
        <v>44538</v>
      </c>
      <c r="B1922" s="239">
        <v>560</v>
      </c>
      <c r="C1922" s="240" t="str">
        <f>IF(ISNA(VLOOKUP(Tableau13[[#This Row],[Code machine]],'CODE mchn'!$A$4:$C$170,2,0)),"",VLOOKUP(Tableau13[[#This Row],[Code machine]],'CODE mchn'!$A$4:$C$170,2,0))</f>
        <v>Acier</v>
      </c>
      <c r="D1922" s="241" t="str">
        <f>IF(ISNA(VLOOKUP(Tableau13[[#This Row],[Code machine]],'CODE mchn'!$A$4:$C$170,3,0)),"",VLOOKUP(Tableau13[[#This Row],[Code machine]],'CODE mchn'!$A$4:$C$170,3,0))</f>
        <v>Schlatter</v>
      </c>
      <c r="E1922" s="239">
        <v>25774</v>
      </c>
      <c r="F1922" s="241"/>
      <c r="G1922" s="241" t="s">
        <v>3591</v>
      </c>
      <c r="H1922" s="241" t="s">
        <v>3592</v>
      </c>
      <c r="I1922" s="241" t="s">
        <v>3287</v>
      </c>
      <c r="J1922" s="249" t="s">
        <v>3593</v>
      </c>
      <c r="K1922" s="242">
        <v>44538</v>
      </c>
      <c r="L1922" s="241"/>
      <c r="M1922" s="243">
        <v>30</v>
      </c>
      <c r="N1922" s="243">
        <f>MONTH(Tableau13[[#This Row],[Date fin intervention]])</f>
        <v>12</v>
      </c>
      <c r="O1922" s="243">
        <f>YEAR(Tableau13[[#This Row],[Date fin intervention]])</f>
        <v>2021</v>
      </c>
      <c r="P1922" s="241"/>
    </row>
    <row r="1923" spans="1:16" ht="28.5">
      <c r="A1923" s="238">
        <v>44539</v>
      </c>
      <c r="B1923" s="239">
        <v>800</v>
      </c>
      <c r="C1923" s="240" t="str">
        <f>IF(ISNA(VLOOKUP(Tableau13[[#This Row],[Code machine]],'CODE mchn'!$A$4:$C$170,2,0)),"",VLOOKUP(Tableau13[[#This Row],[Code machine]],'CODE mchn'!$A$4:$C$170,2,0))</f>
        <v>Béton</v>
      </c>
      <c r="D1923" s="241" t="str">
        <f>IF(ISNA(VLOOKUP(Tableau13[[#This Row],[Code machine]],'CODE mchn'!$A$4:$C$170,3,0)),"",VLOOKUP(Tableau13[[#This Row],[Code machine]],'CODE mchn'!$A$4:$C$170,3,0))</f>
        <v>Poyatos 2</v>
      </c>
      <c r="E1923" s="239">
        <v>25971</v>
      </c>
      <c r="F1923" s="241"/>
      <c r="G1923" s="241" t="s">
        <v>3450</v>
      </c>
      <c r="H1923" s="241" t="s">
        <v>3499</v>
      </c>
      <c r="I1923" s="241" t="s">
        <v>3287</v>
      </c>
      <c r="J1923" s="249" t="s">
        <v>3500</v>
      </c>
      <c r="K1923" s="242">
        <v>44539</v>
      </c>
      <c r="L1923" s="241"/>
      <c r="M1923" s="243">
        <v>90</v>
      </c>
      <c r="N1923" s="243">
        <f>MONTH(Tableau13[[#This Row],[Date fin intervention]])</f>
        <v>12</v>
      </c>
      <c r="O1923" s="243">
        <f>YEAR(Tableau13[[#This Row],[Date fin intervention]])</f>
        <v>2021</v>
      </c>
      <c r="P1923" s="241"/>
    </row>
    <row r="1924" spans="1:16">
      <c r="A1924" s="238">
        <v>44539</v>
      </c>
      <c r="B1924" s="239">
        <v>800</v>
      </c>
      <c r="C1924" s="240" t="str">
        <f>IF(ISNA(VLOOKUP(Tableau13[[#This Row],[Code machine]],'CODE mchn'!$A$4:$C$170,2,0)),"",VLOOKUP(Tableau13[[#This Row],[Code machine]],'CODE mchn'!$A$4:$C$170,2,0))</f>
        <v>Béton</v>
      </c>
      <c r="D1924" s="241" t="str">
        <f>IF(ISNA(VLOOKUP(Tableau13[[#This Row],[Code machine]],'CODE mchn'!$A$4:$C$170,3,0)),"",VLOOKUP(Tableau13[[#This Row],[Code machine]],'CODE mchn'!$A$4:$C$170,3,0))</f>
        <v>Poyatos 2</v>
      </c>
      <c r="E1924" s="239">
        <v>25972</v>
      </c>
      <c r="F1924" s="241"/>
      <c r="G1924" s="241" t="s">
        <v>3450</v>
      </c>
      <c r="H1924" s="241" t="s">
        <v>3501</v>
      </c>
      <c r="I1924" s="241" t="s">
        <v>3287</v>
      </c>
      <c r="J1924" s="249" t="s">
        <v>3502</v>
      </c>
      <c r="K1924" s="242">
        <v>44539</v>
      </c>
      <c r="L1924" s="241"/>
      <c r="M1924" s="243">
        <v>60</v>
      </c>
      <c r="N1924" s="243">
        <f>MONTH(Tableau13[[#This Row],[Date fin intervention]])</f>
        <v>12</v>
      </c>
      <c r="O1924" s="243">
        <f>YEAR(Tableau13[[#This Row],[Date fin intervention]])</f>
        <v>2021</v>
      </c>
      <c r="P1924" s="241"/>
    </row>
    <row r="1925" spans="1:16">
      <c r="A1925" s="238">
        <v>44539</v>
      </c>
      <c r="B1925" s="239">
        <v>800</v>
      </c>
      <c r="C1925" s="240" t="str">
        <f>IF(ISNA(VLOOKUP(Tableau13[[#This Row],[Code machine]],'CODE mchn'!$A$4:$C$170,2,0)),"",VLOOKUP(Tableau13[[#This Row],[Code machine]],'CODE mchn'!$A$4:$C$170,2,0))</f>
        <v>Béton</v>
      </c>
      <c r="D1925" s="241" t="str">
        <f>IF(ISNA(VLOOKUP(Tableau13[[#This Row],[Code machine]],'CODE mchn'!$A$4:$C$170,3,0)),"",VLOOKUP(Tableau13[[#This Row],[Code machine]],'CODE mchn'!$A$4:$C$170,3,0))</f>
        <v>Poyatos 2</v>
      </c>
      <c r="E1925" s="239">
        <v>25973</v>
      </c>
      <c r="F1925" s="241"/>
      <c r="G1925" s="241" t="s">
        <v>3450</v>
      </c>
      <c r="H1925" s="241" t="s">
        <v>3503</v>
      </c>
      <c r="I1925" s="241" t="s">
        <v>3287</v>
      </c>
      <c r="J1925" s="249" t="s">
        <v>3504</v>
      </c>
      <c r="K1925" s="242">
        <v>44539</v>
      </c>
      <c r="L1925" s="241"/>
      <c r="M1925" s="243">
        <v>120</v>
      </c>
      <c r="N1925" s="243">
        <f>MONTH(Tableau13[[#This Row],[Date fin intervention]])</f>
        <v>12</v>
      </c>
      <c r="O1925" s="243">
        <f>YEAR(Tableau13[[#This Row],[Date fin intervention]])</f>
        <v>2021</v>
      </c>
      <c r="P1925" s="241"/>
    </row>
    <row r="1926" spans="1:16">
      <c r="A1926" s="238">
        <v>44539</v>
      </c>
      <c r="B1926" s="239">
        <v>606</v>
      </c>
      <c r="C1926" s="240" t="str">
        <f>IF(ISNA(VLOOKUP(Tableau13[[#This Row],[Code machine]],'CODE mchn'!$A$4:$C$170,2,0)),"",VLOOKUP(Tableau13[[#This Row],[Code machine]],'CODE mchn'!$A$4:$C$170,2,0))</f>
        <v>Acier</v>
      </c>
      <c r="D1926" s="241" t="str">
        <f>IF(ISNA(VLOOKUP(Tableau13[[#This Row],[Code machine]],'CODE mchn'!$A$4:$C$170,3,0)),"",VLOOKUP(Tableau13[[#This Row],[Code machine]],'CODE mchn'!$A$4:$C$170,3,0))</f>
        <v>Vitari 2</v>
      </c>
      <c r="E1926" s="239">
        <v>25775</v>
      </c>
      <c r="F1926" s="241"/>
      <c r="G1926" s="241" t="s">
        <v>3548</v>
      </c>
      <c r="H1926" s="241" t="s">
        <v>3594</v>
      </c>
      <c r="I1926" s="241" t="s">
        <v>3291</v>
      </c>
      <c r="J1926" s="249" t="s">
        <v>3595</v>
      </c>
      <c r="K1926" s="242">
        <v>44539</v>
      </c>
      <c r="L1926" s="241"/>
      <c r="M1926" s="243">
        <v>30</v>
      </c>
      <c r="N1926" s="243">
        <f>MONTH(Tableau13[[#This Row],[Date fin intervention]])</f>
        <v>12</v>
      </c>
      <c r="O1926" s="243">
        <f>YEAR(Tableau13[[#This Row],[Date fin intervention]])</f>
        <v>2021</v>
      </c>
      <c r="P1926" s="241"/>
    </row>
    <row r="1927" spans="1:16">
      <c r="A1927" s="238">
        <v>44540</v>
      </c>
      <c r="B1927" s="239">
        <v>700</v>
      </c>
      <c r="C1927" s="240" t="str">
        <f>IF(ISNA(VLOOKUP(Tableau13[[#This Row],[Code machine]],'CODE mchn'!$A$4:$C$170,2,0)),"",VLOOKUP(Tableau13[[#This Row],[Code machine]],'CODE mchn'!$A$4:$C$170,2,0))</f>
        <v>Béton</v>
      </c>
      <c r="D1927" s="241" t="str">
        <f>IF(ISNA(VLOOKUP(Tableau13[[#This Row],[Code machine]],'CODE mchn'!$A$4:$C$170,3,0)),"",VLOOKUP(Tableau13[[#This Row],[Code machine]],'CODE mchn'!$A$4:$C$170,3,0))</f>
        <v>Poyatos 1</v>
      </c>
      <c r="E1927" s="105">
        <v>25880</v>
      </c>
      <c r="F1927" s="36"/>
      <c r="G1927" s="241" t="s">
        <v>1132</v>
      </c>
      <c r="H1927" s="241" t="s">
        <v>1419</v>
      </c>
      <c r="I1927" s="241" t="s">
        <v>13</v>
      </c>
      <c r="J1927" s="249" t="s">
        <v>3263</v>
      </c>
      <c r="K1927" s="242">
        <v>44540</v>
      </c>
      <c r="L1927" s="241"/>
      <c r="M1927" s="243">
        <v>60</v>
      </c>
      <c r="N1927" s="243">
        <f>MONTH(Tableau13[[#This Row],[Date fin intervention]])</f>
        <v>12</v>
      </c>
      <c r="O1927" s="243">
        <f>YEAR(Tableau13[[#This Row],[Date fin intervention]])</f>
        <v>2021</v>
      </c>
      <c r="P1927" s="241"/>
    </row>
    <row r="1928" spans="1:16">
      <c r="A1928" s="238">
        <v>44540</v>
      </c>
      <c r="B1928" s="239">
        <v>800</v>
      </c>
      <c r="C1928" s="240" t="str">
        <f>IF(ISNA(VLOOKUP(Tableau13[[#This Row],[Code machine]],'CODE mchn'!$A$4:$C$170,2,0)),"",VLOOKUP(Tableau13[[#This Row],[Code machine]],'CODE mchn'!$A$4:$C$170,2,0))</f>
        <v>Béton</v>
      </c>
      <c r="D1928" s="241" t="str">
        <f>IF(ISNA(VLOOKUP(Tableau13[[#This Row],[Code machine]],'CODE mchn'!$A$4:$C$170,3,0)),"",VLOOKUP(Tableau13[[#This Row],[Code machine]],'CODE mchn'!$A$4:$C$170,3,0))</f>
        <v>Poyatos 2</v>
      </c>
      <c r="E1928" s="105">
        <v>25881</v>
      </c>
      <c r="F1928" s="36"/>
      <c r="G1928" s="241" t="s">
        <v>394</v>
      </c>
      <c r="H1928" s="241" t="s">
        <v>3264</v>
      </c>
      <c r="I1928" s="241" t="s">
        <v>13</v>
      </c>
      <c r="J1928" s="249" t="s">
        <v>3266</v>
      </c>
      <c r="K1928" s="242">
        <v>44540</v>
      </c>
      <c r="L1928" s="241"/>
      <c r="M1928" s="243">
        <v>60</v>
      </c>
      <c r="N1928" s="243">
        <f>MONTH(Tableau13[[#This Row],[Date fin intervention]])</f>
        <v>12</v>
      </c>
      <c r="O1928" s="243">
        <f>YEAR(Tableau13[[#This Row],[Date fin intervention]])</f>
        <v>2021</v>
      </c>
      <c r="P1928" s="241"/>
    </row>
    <row r="1929" spans="1:16" ht="28.5">
      <c r="A1929" s="238">
        <v>44541</v>
      </c>
      <c r="B1929" s="239">
        <v>606</v>
      </c>
      <c r="C1929" s="240" t="str">
        <f>IF(ISNA(VLOOKUP(Tableau13[[#This Row],[Code machine]],'CODE mchn'!$A$4:$C$170,2,0)),"",VLOOKUP(Tableau13[[#This Row],[Code machine]],'CODE mchn'!$A$4:$C$170,2,0))</f>
        <v>Acier</v>
      </c>
      <c r="D1929" s="241" t="str">
        <f>IF(ISNA(VLOOKUP(Tableau13[[#This Row],[Code machine]],'CODE mchn'!$A$4:$C$170,3,0)),"",VLOOKUP(Tableau13[[#This Row],[Code machine]],'CODE mchn'!$A$4:$C$170,3,0))</f>
        <v>Vitari 2</v>
      </c>
      <c r="E1929" s="239">
        <v>25773</v>
      </c>
      <c r="F1929" s="241"/>
      <c r="G1929" s="241" t="s">
        <v>3587</v>
      </c>
      <c r="H1929" s="241" t="s">
        <v>3589</v>
      </c>
      <c r="I1929" s="241" t="s">
        <v>3287</v>
      </c>
      <c r="J1929" s="249" t="s">
        <v>3590</v>
      </c>
      <c r="K1929" s="242">
        <v>44541</v>
      </c>
      <c r="L1929" s="241"/>
      <c r="M1929" s="243">
        <v>30</v>
      </c>
      <c r="N1929" s="243">
        <f>MONTH(Tableau13[[#This Row],[Date fin intervention]])</f>
        <v>12</v>
      </c>
      <c r="O1929" s="243">
        <f>YEAR(Tableau13[[#This Row],[Date fin intervention]])</f>
        <v>2021</v>
      </c>
      <c r="P1929" s="241"/>
    </row>
    <row r="1930" spans="1:16">
      <c r="A1930" s="238">
        <v>44541</v>
      </c>
      <c r="B1930" s="239">
        <v>605</v>
      </c>
      <c r="C1930" s="240" t="str">
        <f>IF(ISNA(VLOOKUP(Tableau13[[#This Row],[Code machine]],'CODE mchn'!$A$4:$C$170,2,0)),"",VLOOKUP(Tableau13[[#This Row],[Code machine]],'CODE mchn'!$A$4:$C$170,2,0))</f>
        <v>Acier</v>
      </c>
      <c r="D1930" s="241" t="str">
        <f>IF(ISNA(VLOOKUP(Tableau13[[#This Row],[Code machine]],'CODE mchn'!$A$4:$C$170,3,0)),"",VLOOKUP(Tableau13[[#This Row],[Code machine]],'CODE mchn'!$A$4:$C$170,3,0))</f>
        <v>Vitari 1</v>
      </c>
      <c r="E1930" s="239">
        <v>25820</v>
      </c>
      <c r="F1930" s="241"/>
      <c r="G1930" s="241" t="s">
        <v>3650</v>
      </c>
      <c r="H1930" s="241" t="s">
        <v>3651</v>
      </c>
      <c r="I1930" s="241" t="s">
        <v>3287</v>
      </c>
      <c r="J1930" s="249" t="s">
        <v>3652</v>
      </c>
      <c r="K1930" s="242">
        <v>44541</v>
      </c>
      <c r="L1930" s="241"/>
      <c r="M1930" s="243">
        <v>180</v>
      </c>
      <c r="N1930" s="243">
        <f>MONTH(Tableau13[[#This Row],[Date fin intervention]])</f>
        <v>12</v>
      </c>
      <c r="O1930" s="243">
        <f>YEAR(Tableau13[[#This Row],[Date fin intervention]])</f>
        <v>2021</v>
      </c>
      <c r="P1930" s="241"/>
    </row>
    <row r="1931" spans="1:16" ht="28.5">
      <c r="A1931" s="238">
        <v>44541</v>
      </c>
      <c r="B1931" s="239">
        <v>565</v>
      </c>
      <c r="C1931" s="240" t="str">
        <f>IF(ISNA(VLOOKUP(Tableau13[[#This Row],[Code machine]],'CODE mchn'!$A$4:$C$170,2,0)),"",VLOOKUP(Tableau13[[#This Row],[Code machine]],'CODE mchn'!$A$4:$C$170,2,0))</f>
        <v>Acier</v>
      </c>
      <c r="D1931" s="241" t="str">
        <f>IF(ISNA(VLOOKUP(Tableau13[[#This Row],[Code machine]],'CODE mchn'!$A$4:$C$170,3,0)),"",VLOOKUP(Tableau13[[#This Row],[Code machine]],'CODE mchn'!$A$4:$C$170,3,0))</f>
        <v>EVG GE12</v>
      </c>
      <c r="E1931" s="239">
        <v>25821</v>
      </c>
      <c r="F1931" s="241"/>
      <c r="G1931" s="241" t="s">
        <v>3653</v>
      </c>
      <c r="H1931" s="241" t="s">
        <v>3654</v>
      </c>
      <c r="I1931" s="241" t="s">
        <v>3287</v>
      </c>
      <c r="J1931" s="249" t="s">
        <v>3655</v>
      </c>
      <c r="K1931" s="242">
        <v>44541</v>
      </c>
      <c r="L1931" s="241"/>
      <c r="M1931" s="243">
        <v>240</v>
      </c>
      <c r="N1931" s="243">
        <f>MONTH(Tableau13[[#This Row],[Date fin intervention]])</f>
        <v>12</v>
      </c>
      <c r="O1931" s="243">
        <f>YEAR(Tableau13[[#This Row],[Date fin intervention]])</f>
        <v>2021</v>
      </c>
      <c r="P1931" s="241"/>
    </row>
    <row r="1932" spans="1:16">
      <c r="A1932" s="238">
        <v>44543</v>
      </c>
      <c r="B1932" s="239">
        <v>800</v>
      </c>
      <c r="C1932" s="240" t="str">
        <f>IF(ISNA(VLOOKUP(Tableau13[[#This Row],[Code machine]],'CODE mchn'!$A$4:$C$170,2,0)),"",VLOOKUP(Tableau13[[#This Row],[Code machine]],'CODE mchn'!$A$4:$C$170,2,0))</f>
        <v>Béton</v>
      </c>
      <c r="D1932" s="241" t="str">
        <f>IF(ISNA(VLOOKUP(Tableau13[[#This Row],[Code machine]],'CODE mchn'!$A$4:$C$170,3,0)),"",VLOOKUP(Tableau13[[#This Row],[Code machine]],'CODE mchn'!$A$4:$C$170,3,0))</f>
        <v>Poyatos 2</v>
      </c>
      <c r="E1932" s="105">
        <v>25882</v>
      </c>
      <c r="F1932" s="36"/>
      <c r="G1932" s="241" t="s">
        <v>291</v>
      </c>
      <c r="H1932" s="241" t="s">
        <v>2520</v>
      </c>
      <c r="I1932" s="241" t="s">
        <v>13</v>
      </c>
      <c r="J1932" s="249" t="s">
        <v>3267</v>
      </c>
      <c r="K1932" s="242">
        <v>44543</v>
      </c>
      <c r="L1932" s="241"/>
      <c r="M1932" s="243">
        <f>3*60</f>
        <v>180</v>
      </c>
      <c r="N1932" s="243">
        <f>MONTH(Tableau13[[#This Row],[Date fin intervention]])</f>
        <v>12</v>
      </c>
      <c r="O1932" s="243">
        <f>YEAR(Tableau13[[#This Row],[Date fin intervention]])</f>
        <v>2021</v>
      </c>
      <c r="P1932" s="241"/>
    </row>
    <row r="1933" spans="1:16">
      <c r="A1933" s="238">
        <v>44543</v>
      </c>
      <c r="B1933" s="239">
        <v>800</v>
      </c>
      <c r="C1933" s="240" t="str">
        <f>IF(ISNA(VLOOKUP(Tableau13[[#This Row],[Code machine]],'CODE mchn'!$A$4:$C$170,2,0)),"",VLOOKUP(Tableau13[[#This Row],[Code machine]],'CODE mchn'!$A$4:$C$170,2,0))</f>
        <v>Béton</v>
      </c>
      <c r="D1933" s="241" t="str">
        <f>IF(ISNA(VLOOKUP(Tableau13[[#This Row],[Code machine]],'CODE mchn'!$A$4:$C$170,3,0)),"",VLOOKUP(Tableau13[[#This Row],[Code machine]],'CODE mchn'!$A$4:$C$170,3,0))</f>
        <v>Poyatos 2</v>
      </c>
      <c r="E1933" s="105">
        <v>25883</v>
      </c>
      <c r="F1933" s="36"/>
      <c r="G1933" s="241" t="s">
        <v>49</v>
      </c>
      <c r="H1933" s="241" t="s">
        <v>3268</v>
      </c>
      <c r="I1933" s="241" t="s">
        <v>13</v>
      </c>
      <c r="J1933" s="249" t="s">
        <v>3269</v>
      </c>
      <c r="K1933" s="242">
        <v>44543</v>
      </c>
      <c r="L1933" s="241"/>
      <c r="M1933" s="243">
        <v>60</v>
      </c>
      <c r="N1933" s="243">
        <f>MONTH(Tableau13[[#This Row],[Date fin intervention]])</f>
        <v>12</v>
      </c>
      <c r="O1933" s="243">
        <f>YEAR(Tableau13[[#This Row],[Date fin intervention]])</f>
        <v>2021</v>
      </c>
      <c r="P1933" s="241"/>
    </row>
    <row r="1934" spans="1:16" ht="28.5">
      <c r="A1934" s="238">
        <v>44543</v>
      </c>
      <c r="B1934" s="239">
        <v>607</v>
      </c>
      <c r="C1934" s="240" t="str">
        <f>IF(ISNA(VLOOKUP(Tableau13[[#This Row],[Code machine]],'CODE mchn'!$A$4:$C$170,2,0)),"",VLOOKUP(Tableau13[[#This Row],[Code machine]],'CODE mchn'!$A$4:$C$170,2,0))</f>
        <v>Acier</v>
      </c>
      <c r="D1934" s="241" t="str">
        <f>IF(ISNA(VLOOKUP(Tableau13[[#This Row],[Code machine]],'CODE mchn'!$A$4:$C$170,3,0)),"",VLOOKUP(Tableau13[[#This Row],[Code machine]],'CODE mchn'!$A$4:$C$170,3,0))</f>
        <v>Vitari 3</v>
      </c>
      <c r="E1934" s="239">
        <v>25778</v>
      </c>
      <c r="F1934" s="241"/>
      <c r="G1934" s="241" t="s">
        <v>3598</v>
      </c>
      <c r="H1934" s="241" t="s">
        <v>3599</v>
      </c>
      <c r="I1934" s="241" t="s">
        <v>3287</v>
      </c>
      <c r="J1934" s="249" t="s">
        <v>3600</v>
      </c>
      <c r="K1934" s="242">
        <v>44543</v>
      </c>
      <c r="L1934" s="241"/>
      <c r="M1934" s="243">
        <v>25</v>
      </c>
      <c r="N1934" s="243">
        <f>MONTH(Tableau13[[#This Row],[Date fin intervention]])</f>
        <v>12</v>
      </c>
      <c r="O1934" s="243">
        <f>YEAR(Tableau13[[#This Row],[Date fin intervention]])</f>
        <v>2021</v>
      </c>
      <c r="P1934" s="241"/>
    </row>
    <row r="1935" spans="1:16" ht="28.5">
      <c r="A1935" s="238">
        <v>44543</v>
      </c>
      <c r="B1935" s="239">
        <v>565</v>
      </c>
      <c r="C1935" s="240" t="str">
        <f>IF(ISNA(VLOOKUP(Tableau13[[#This Row],[Code machine]],'CODE mchn'!$A$4:$C$170,2,0)),"",VLOOKUP(Tableau13[[#This Row],[Code machine]],'CODE mchn'!$A$4:$C$170,2,0))</f>
        <v>Acier</v>
      </c>
      <c r="D1935" s="241" t="str">
        <f>IF(ISNA(VLOOKUP(Tableau13[[#This Row],[Code machine]],'CODE mchn'!$A$4:$C$170,3,0)),"",VLOOKUP(Tableau13[[#This Row],[Code machine]],'CODE mchn'!$A$4:$C$170,3,0))</f>
        <v>EVG GE12</v>
      </c>
      <c r="E1935" s="239">
        <v>25831</v>
      </c>
      <c r="F1935" s="241"/>
      <c r="G1935" s="241" t="s">
        <v>3682</v>
      </c>
      <c r="H1935" s="241" t="s">
        <v>3683</v>
      </c>
      <c r="I1935" s="241" t="s">
        <v>3287</v>
      </c>
      <c r="J1935" s="249" t="s">
        <v>3684</v>
      </c>
      <c r="K1935" s="242">
        <v>44543</v>
      </c>
      <c r="L1935" s="241"/>
      <c r="M1935" s="243">
        <v>240</v>
      </c>
      <c r="N1935" s="243">
        <f>MONTH(Tableau13[[#This Row],[Date fin intervention]])</f>
        <v>12</v>
      </c>
      <c r="O1935" s="243">
        <f>YEAR(Tableau13[[#This Row],[Date fin intervention]])</f>
        <v>2021</v>
      </c>
      <c r="P1935" s="241"/>
    </row>
    <row r="1936" spans="1:16">
      <c r="A1936" s="238">
        <v>44544</v>
      </c>
      <c r="B1936" s="239">
        <v>581</v>
      </c>
      <c r="C1936" s="240" t="str">
        <f>IF(ISNA(VLOOKUP(Tableau13[[#This Row],[Code machine]],'CODE mchn'!$A$4:$C$170,2,0)),"",VLOOKUP(Tableau13[[#This Row],[Code machine]],'CODE mchn'!$A$4:$C$170,2,0))</f>
        <v>Acier</v>
      </c>
      <c r="D1936" s="241" t="str">
        <f>IF(ISNA(VLOOKUP(Tableau13[[#This Row],[Code machine]],'CODE mchn'!$A$4:$C$170,3,0)),"",VLOOKUP(Tableau13[[#This Row],[Code machine]],'CODE mchn'!$A$4:$C$170,3,0))</f>
        <v>Teurema 1</v>
      </c>
      <c r="E1936" s="239">
        <v>25974</v>
      </c>
      <c r="F1936" s="241"/>
      <c r="G1936" s="241" t="s">
        <v>3505</v>
      </c>
      <c r="H1936" s="241" t="s">
        <v>3506</v>
      </c>
      <c r="I1936" s="241" t="s">
        <v>3287</v>
      </c>
      <c r="J1936" s="249" t="s">
        <v>3507</v>
      </c>
      <c r="K1936" s="242">
        <v>44544</v>
      </c>
      <c r="L1936" s="241"/>
      <c r="M1936" s="243">
        <v>45</v>
      </c>
      <c r="N1936" s="243">
        <f>MONTH(Tableau13[[#This Row],[Date fin intervention]])</f>
        <v>12</v>
      </c>
      <c r="O1936" s="243">
        <f>YEAR(Tableau13[[#This Row],[Date fin intervention]])</f>
        <v>2021</v>
      </c>
      <c r="P1936" s="241"/>
    </row>
    <row r="1937" spans="1:16" ht="28.5">
      <c r="A1937" s="238">
        <v>44544</v>
      </c>
      <c r="B1937" s="239">
        <v>584</v>
      </c>
      <c r="C1937" s="240" t="str">
        <f>IF(ISNA(VLOOKUP(Tableau13[[#This Row],[Code machine]],'CODE mchn'!$A$4:$C$170,2,0)),"",VLOOKUP(Tableau13[[#This Row],[Code machine]],'CODE mchn'!$A$4:$C$170,2,0))</f>
        <v>Ponts roulants</v>
      </c>
      <c r="D1937" s="241" t="str">
        <f>IF(ISNA(VLOOKUP(Tableau13[[#This Row],[Code machine]],'CODE mchn'!$A$4:$C$170,3,0)),"",VLOOKUP(Tableau13[[#This Row],[Code machine]],'CODE mchn'!$A$4:$C$170,3,0))</f>
        <v>Pont roulant Demag 3,2T (teurema2)</v>
      </c>
      <c r="E1937" s="239">
        <v>25777</v>
      </c>
      <c r="F1937" s="241"/>
      <c r="G1937" s="241" t="s">
        <v>3450</v>
      </c>
      <c r="H1937" s="241" t="s">
        <v>3596</v>
      </c>
      <c r="I1937" s="241" t="s">
        <v>3287</v>
      </c>
      <c r="J1937" s="249" t="s">
        <v>3597</v>
      </c>
      <c r="K1937" s="242">
        <v>44544</v>
      </c>
      <c r="L1937" s="241"/>
      <c r="M1937" s="243">
        <v>50</v>
      </c>
      <c r="N1937" s="243">
        <f>MONTH(Tableau13[[#This Row],[Date fin intervention]])</f>
        <v>12</v>
      </c>
      <c r="O1937" s="243">
        <f>YEAR(Tableau13[[#This Row],[Date fin intervention]])</f>
        <v>2021</v>
      </c>
      <c r="P1937" s="241"/>
    </row>
    <row r="1938" spans="1:16" ht="28.5">
      <c r="A1938" s="238">
        <v>44544</v>
      </c>
      <c r="B1938" s="239">
        <v>606</v>
      </c>
      <c r="C1938" s="240" t="str">
        <f>IF(ISNA(VLOOKUP(Tableau13[[#This Row],[Code machine]],'CODE mchn'!$A$4:$C$170,2,0)),"",VLOOKUP(Tableau13[[#This Row],[Code machine]],'CODE mchn'!$A$4:$C$170,2,0))</f>
        <v>Acier</v>
      </c>
      <c r="D1938" s="241" t="str">
        <f>IF(ISNA(VLOOKUP(Tableau13[[#This Row],[Code machine]],'CODE mchn'!$A$4:$C$170,3,0)),"",VLOOKUP(Tableau13[[#This Row],[Code machine]],'CODE mchn'!$A$4:$C$170,3,0))</f>
        <v>Vitari 2</v>
      </c>
      <c r="E1938" s="239">
        <v>25779</v>
      </c>
      <c r="F1938" s="241"/>
      <c r="G1938" s="241" t="s">
        <v>3601</v>
      </c>
      <c r="H1938" s="241" t="s">
        <v>3602</v>
      </c>
      <c r="I1938" s="241" t="s">
        <v>3287</v>
      </c>
      <c r="J1938" s="249" t="s">
        <v>3603</v>
      </c>
      <c r="K1938" s="242">
        <v>44544</v>
      </c>
      <c r="L1938" s="241"/>
      <c r="M1938" s="243">
        <v>30</v>
      </c>
      <c r="N1938" s="243">
        <f>MONTH(Tableau13[[#This Row],[Date fin intervention]])</f>
        <v>12</v>
      </c>
      <c r="O1938" s="243">
        <f>YEAR(Tableau13[[#This Row],[Date fin intervention]])</f>
        <v>2021</v>
      </c>
      <c r="P1938" s="241"/>
    </row>
    <row r="1939" spans="1:16" ht="28.5">
      <c r="A1939" s="238">
        <v>44544</v>
      </c>
      <c r="B1939" s="239">
        <v>560</v>
      </c>
      <c r="C1939" s="240" t="str">
        <f>IF(ISNA(VLOOKUP(Tableau13[[#This Row],[Code machine]],'CODE mchn'!$A$4:$C$170,2,0)),"",VLOOKUP(Tableau13[[#This Row],[Code machine]],'CODE mchn'!$A$4:$C$170,2,0))</f>
        <v>Acier</v>
      </c>
      <c r="D1939" s="241" t="str">
        <f>IF(ISNA(VLOOKUP(Tableau13[[#This Row],[Code machine]],'CODE mchn'!$A$4:$C$170,3,0)),"",VLOOKUP(Tableau13[[#This Row],[Code machine]],'CODE mchn'!$A$4:$C$170,3,0))</f>
        <v>Schlatter</v>
      </c>
      <c r="E1939" s="239">
        <v>25833</v>
      </c>
      <c r="F1939" s="241"/>
      <c r="G1939" s="241" t="s">
        <v>3687</v>
      </c>
      <c r="H1939" s="241" t="s">
        <v>3688</v>
      </c>
      <c r="I1939" s="241" t="s">
        <v>3287</v>
      </c>
      <c r="J1939" s="249" t="s">
        <v>3689</v>
      </c>
      <c r="K1939" s="242">
        <v>44544</v>
      </c>
      <c r="L1939" s="241"/>
      <c r="M1939" s="243">
        <v>120</v>
      </c>
      <c r="N1939" s="243">
        <f>MONTH(Tableau13[[#This Row],[Date fin intervention]])</f>
        <v>12</v>
      </c>
      <c r="O1939" s="243">
        <f>YEAR(Tableau13[[#This Row],[Date fin intervention]])</f>
        <v>2021</v>
      </c>
      <c r="P1939" s="241"/>
    </row>
    <row r="1940" spans="1:16">
      <c r="A1940" s="238">
        <v>44545</v>
      </c>
      <c r="B1940" s="239">
        <v>534</v>
      </c>
      <c r="C1940" s="240" t="str">
        <f>IF(ISNA(VLOOKUP(Tableau13[[#This Row],[Code machine]],'CODE mchn'!$A$4:$C$170,2,0)),"",VLOOKUP(Tableau13[[#This Row],[Code machine]],'CODE mchn'!$A$4:$C$170,2,0))</f>
        <v>Enrobage</v>
      </c>
      <c r="D1940" s="241" t="str">
        <f>IF(ISNA(VLOOKUP(Tableau13[[#This Row],[Code machine]],'CODE mchn'!$A$4:$C$170,3,0)),"",VLOOKUP(Tableau13[[#This Row],[Code machine]],'CODE mchn'!$A$4:$C$170,3,0))</f>
        <v>ELKON 2</v>
      </c>
      <c r="E1940" s="105">
        <v>25884</v>
      </c>
      <c r="F1940" s="36"/>
      <c r="G1940" s="241" t="s">
        <v>3270</v>
      </c>
      <c r="H1940" s="241" t="s">
        <v>3271</v>
      </c>
      <c r="I1940" s="241" t="s">
        <v>13</v>
      </c>
      <c r="J1940" s="249" t="s">
        <v>3272</v>
      </c>
      <c r="K1940" s="242">
        <v>44545</v>
      </c>
      <c r="L1940" s="241"/>
      <c r="M1940" s="243">
        <v>60</v>
      </c>
      <c r="N1940" s="243">
        <f>MONTH(Tableau13[[#This Row],[Date fin intervention]])</f>
        <v>12</v>
      </c>
      <c r="O1940" s="243">
        <f>YEAR(Tableau13[[#This Row],[Date fin intervention]])</f>
        <v>2021</v>
      </c>
      <c r="P1940" s="241"/>
    </row>
    <row r="1941" spans="1:16" ht="42.75">
      <c r="A1941" s="238">
        <v>44545</v>
      </c>
      <c r="B1941" s="239">
        <v>590</v>
      </c>
      <c r="C1941" s="240" t="str">
        <f>IF(ISNA(VLOOKUP(Tableau13[[#This Row],[Code machine]],'CODE mchn'!$A$4:$C$170,2,0)),"",VLOOKUP(Tableau13[[#This Row],[Code machine]],'CODE mchn'!$A$4:$C$170,2,0))</f>
        <v>Acier</v>
      </c>
      <c r="D1941" s="241" t="str">
        <f>IF(ISNA(VLOOKUP(Tableau13[[#This Row],[Code machine]],'CODE mchn'!$A$4:$C$170,3,0)),"",VLOOKUP(Tableau13[[#This Row],[Code machine]],'CODE mchn'!$A$4:$C$170,3,0))</f>
        <v>Teurema 3</v>
      </c>
      <c r="E1941" s="239">
        <v>25975</v>
      </c>
      <c r="F1941" s="241"/>
      <c r="G1941" s="241" t="s">
        <v>3508</v>
      </c>
      <c r="H1941" s="241" t="s">
        <v>3509</v>
      </c>
      <c r="I1941" s="241" t="s">
        <v>3287</v>
      </c>
      <c r="J1941" s="249" t="s">
        <v>3510</v>
      </c>
      <c r="K1941" s="242">
        <v>44545</v>
      </c>
      <c r="L1941" s="241"/>
      <c r="M1941" s="243">
        <v>240</v>
      </c>
      <c r="N1941" s="243">
        <f>MONTH(Tableau13[[#This Row],[Date fin intervention]])</f>
        <v>12</v>
      </c>
      <c r="O1941" s="243">
        <f>YEAR(Tableau13[[#This Row],[Date fin intervention]])</f>
        <v>2021</v>
      </c>
      <c r="P1941" s="241"/>
    </row>
    <row r="1942" spans="1:16" ht="28.5">
      <c r="A1942" s="238">
        <v>44545</v>
      </c>
      <c r="B1942" s="239">
        <v>800</v>
      </c>
      <c r="C1942" s="240" t="str">
        <f>IF(ISNA(VLOOKUP(Tableau13[[#This Row],[Code machine]],'CODE mchn'!$A$4:$C$170,2,0)),"",VLOOKUP(Tableau13[[#This Row],[Code machine]],'CODE mchn'!$A$4:$C$170,2,0))</f>
        <v>Béton</v>
      </c>
      <c r="D1942" s="241" t="str">
        <f>IF(ISNA(VLOOKUP(Tableau13[[#This Row],[Code machine]],'CODE mchn'!$A$4:$C$170,3,0)),"",VLOOKUP(Tableau13[[#This Row],[Code machine]],'CODE mchn'!$A$4:$C$170,3,0))</f>
        <v>Poyatos 2</v>
      </c>
      <c r="E1942" s="239">
        <v>25976</v>
      </c>
      <c r="F1942" s="241"/>
      <c r="G1942" s="241" t="s">
        <v>3511</v>
      </c>
      <c r="H1942" s="241" t="s">
        <v>3512</v>
      </c>
      <c r="I1942" s="241" t="s">
        <v>3287</v>
      </c>
      <c r="J1942" s="249" t="s">
        <v>3513</v>
      </c>
      <c r="K1942" s="242">
        <v>44545</v>
      </c>
      <c r="L1942" s="241"/>
      <c r="M1942" s="243">
        <v>45</v>
      </c>
      <c r="N1942" s="243">
        <f>MONTH(Tableau13[[#This Row],[Date fin intervention]])</f>
        <v>12</v>
      </c>
      <c r="O1942" s="243">
        <f>YEAR(Tableau13[[#This Row],[Date fin intervention]])</f>
        <v>2021</v>
      </c>
      <c r="P1942" s="241"/>
    </row>
    <row r="1943" spans="1:16">
      <c r="A1943" s="238">
        <v>44546</v>
      </c>
      <c r="B1943" s="239">
        <v>700</v>
      </c>
      <c r="C1943" s="240" t="str">
        <f>IF(ISNA(VLOOKUP(Tableau13[[#This Row],[Code machine]],'CODE mchn'!$A$4:$C$170,2,0)),"",VLOOKUP(Tableau13[[#This Row],[Code machine]],'CODE mchn'!$A$4:$C$170,2,0))</f>
        <v>Béton</v>
      </c>
      <c r="D1943" s="241" t="str">
        <f>IF(ISNA(VLOOKUP(Tableau13[[#This Row],[Code machine]],'CODE mchn'!$A$4:$C$170,3,0)),"",VLOOKUP(Tableau13[[#This Row],[Code machine]],'CODE mchn'!$A$4:$C$170,3,0))</f>
        <v>Poyatos 1</v>
      </c>
      <c r="E1943" s="105">
        <v>25885</v>
      </c>
      <c r="F1943" s="36"/>
      <c r="G1943" s="241" t="s">
        <v>110</v>
      </c>
      <c r="H1943" s="241" t="s">
        <v>3273</v>
      </c>
      <c r="I1943" s="241" t="s">
        <v>13</v>
      </c>
      <c r="J1943" s="249" t="s">
        <v>3274</v>
      </c>
      <c r="K1943" s="242">
        <v>44546</v>
      </c>
      <c r="L1943" s="241"/>
      <c r="M1943" s="243">
        <v>120</v>
      </c>
      <c r="N1943" s="243">
        <f>MONTH(Tableau13[[#This Row],[Date fin intervention]])</f>
        <v>12</v>
      </c>
      <c r="O1943" s="243">
        <f>YEAR(Tableau13[[#This Row],[Date fin intervention]])</f>
        <v>2021</v>
      </c>
      <c r="P1943" s="241"/>
    </row>
    <row r="1944" spans="1:16">
      <c r="A1944" s="238">
        <v>44546</v>
      </c>
      <c r="B1944" s="239">
        <v>700</v>
      </c>
      <c r="C1944" s="240" t="str">
        <f>IF(ISNA(VLOOKUP(Tableau13[[#This Row],[Code machine]],'CODE mchn'!$A$4:$C$170,2,0)),"",VLOOKUP(Tableau13[[#This Row],[Code machine]],'CODE mchn'!$A$4:$C$170,2,0))</f>
        <v>Béton</v>
      </c>
      <c r="D1944" s="241" t="str">
        <f>IF(ISNA(VLOOKUP(Tableau13[[#This Row],[Code machine]],'CODE mchn'!$A$4:$C$170,3,0)),"",VLOOKUP(Tableau13[[#This Row],[Code machine]],'CODE mchn'!$A$4:$C$170,3,0))</f>
        <v>Poyatos 1</v>
      </c>
      <c r="E1944" s="105">
        <v>25886</v>
      </c>
      <c r="F1944" s="36"/>
      <c r="G1944" s="241" t="s">
        <v>128</v>
      </c>
      <c r="H1944" s="241" t="s">
        <v>524</v>
      </c>
      <c r="I1944" s="241" t="s">
        <v>13</v>
      </c>
      <c r="J1944" s="249" t="s">
        <v>3275</v>
      </c>
      <c r="K1944" s="242">
        <v>44546</v>
      </c>
      <c r="L1944" s="241"/>
      <c r="M1944" s="243">
        <v>120</v>
      </c>
      <c r="N1944" s="243">
        <f>MONTH(Tableau13[[#This Row],[Date fin intervention]])</f>
        <v>12</v>
      </c>
      <c r="O1944" s="243">
        <f>YEAR(Tableau13[[#This Row],[Date fin intervention]])</f>
        <v>2021</v>
      </c>
      <c r="P1944" s="241"/>
    </row>
    <row r="1945" spans="1:16">
      <c r="A1945" s="238">
        <v>44546</v>
      </c>
      <c r="B1945" s="239">
        <v>605</v>
      </c>
      <c r="C1945" s="240" t="str">
        <f>IF(ISNA(VLOOKUP(Tableau13[[#This Row],[Code machine]],'CODE mchn'!$A$4:$C$170,2,0)),"",VLOOKUP(Tableau13[[#This Row],[Code machine]],'CODE mchn'!$A$4:$C$170,2,0))</f>
        <v>Acier</v>
      </c>
      <c r="D1945" s="241" t="str">
        <f>IF(ISNA(VLOOKUP(Tableau13[[#This Row],[Code machine]],'CODE mchn'!$A$4:$C$170,3,0)),"",VLOOKUP(Tableau13[[#This Row],[Code machine]],'CODE mchn'!$A$4:$C$170,3,0))</f>
        <v>Vitari 1</v>
      </c>
      <c r="E1945" s="239">
        <v>25832</v>
      </c>
      <c r="F1945" s="241"/>
      <c r="G1945" s="241" t="s">
        <v>3644</v>
      </c>
      <c r="H1945" s="241" t="s">
        <v>3685</v>
      </c>
      <c r="I1945" s="241" t="s">
        <v>3287</v>
      </c>
      <c r="J1945" s="249" t="s">
        <v>3686</v>
      </c>
      <c r="K1945" s="242">
        <v>44546</v>
      </c>
      <c r="L1945" s="241"/>
      <c r="M1945" s="243">
        <f>24*60</f>
        <v>1440</v>
      </c>
      <c r="N1945" s="243">
        <f>MONTH(Tableau13[[#This Row],[Date fin intervention]])</f>
        <v>12</v>
      </c>
      <c r="O1945" s="243">
        <f>YEAR(Tableau13[[#This Row],[Date fin intervention]])</f>
        <v>2021</v>
      </c>
      <c r="P1945" s="241"/>
    </row>
    <row r="1946" spans="1:16">
      <c r="A1946" s="238">
        <v>44548</v>
      </c>
      <c r="B1946" s="239">
        <v>534</v>
      </c>
      <c r="C1946" s="240" t="str">
        <f>IF(ISNA(VLOOKUP(Tableau13[[#This Row],[Code machine]],'CODE mchn'!$A$4:$C$170,2,0)),"",VLOOKUP(Tableau13[[#This Row],[Code machine]],'CODE mchn'!$A$4:$C$170,2,0))</f>
        <v>Enrobage</v>
      </c>
      <c r="D1946" s="241" t="str">
        <f>IF(ISNA(VLOOKUP(Tableau13[[#This Row],[Code machine]],'CODE mchn'!$A$4:$C$170,3,0)),"",VLOOKUP(Tableau13[[#This Row],[Code machine]],'CODE mchn'!$A$4:$C$170,3,0))</f>
        <v>ELKON 2</v>
      </c>
      <c r="E1946" s="239">
        <v>25977</v>
      </c>
      <c r="F1946" s="241"/>
      <c r="G1946" s="241" t="s">
        <v>3450</v>
      </c>
      <c r="H1946" s="241" t="s">
        <v>3477</v>
      </c>
      <c r="I1946" s="241" t="s">
        <v>3287</v>
      </c>
      <c r="J1946" s="249" t="s">
        <v>3485</v>
      </c>
      <c r="K1946" s="242">
        <v>44548</v>
      </c>
      <c r="L1946" s="241"/>
      <c r="M1946" s="243">
        <v>120</v>
      </c>
      <c r="N1946" s="243">
        <f>MONTH(Tableau13[[#This Row],[Date fin intervention]])</f>
        <v>12</v>
      </c>
      <c r="O1946" s="243">
        <f>YEAR(Tableau13[[#This Row],[Date fin intervention]])</f>
        <v>2021</v>
      </c>
      <c r="P1946" s="241"/>
    </row>
    <row r="1947" spans="1:16" ht="28.5">
      <c r="A1947" s="238">
        <v>44548</v>
      </c>
      <c r="B1947" s="239">
        <v>620</v>
      </c>
      <c r="C1947" s="240" t="str">
        <f>IF(ISNA(VLOOKUP(Tableau13[[#This Row],[Code machine]],'CODE mchn'!$A$4:$C$170,2,0)),"",VLOOKUP(Tableau13[[#This Row],[Code machine]],'CODE mchn'!$A$4:$C$170,2,0))</f>
        <v>Acier</v>
      </c>
      <c r="D1947" s="241" t="str">
        <f>IF(ISNA(VLOOKUP(Tableau13[[#This Row],[Code machine]],'CODE mchn'!$A$4:$C$170,3,0)),"",VLOOKUP(Tableau13[[#This Row],[Code machine]],'CODE mchn'!$A$4:$C$170,3,0))</f>
        <v>EVG PN 2</v>
      </c>
      <c r="E1947" s="239">
        <v>25827</v>
      </c>
      <c r="F1947" s="241"/>
      <c r="G1947" s="241" t="s">
        <v>3671</v>
      </c>
      <c r="H1947" s="241" t="s">
        <v>3672</v>
      </c>
      <c r="I1947" s="241" t="s">
        <v>3287</v>
      </c>
      <c r="J1947" s="249" t="s">
        <v>3673</v>
      </c>
      <c r="K1947" s="242">
        <v>44548</v>
      </c>
      <c r="L1947" s="241"/>
      <c r="M1947" s="243">
        <v>180</v>
      </c>
      <c r="N1947" s="243">
        <f>MONTH(Tableau13[[#This Row],[Date fin intervention]])</f>
        <v>12</v>
      </c>
      <c r="O1947" s="243">
        <f>YEAR(Tableau13[[#This Row],[Date fin intervention]])</f>
        <v>2021</v>
      </c>
      <c r="P1947" s="241"/>
    </row>
    <row r="1948" spans="1:16" ht="28.5">
      <c r="A1948" s="238">
        <v>44548</v>
      </c>
      <c r="B1948" s="239">
        <v>571</v>
      </c>
      <c r="C1948" s="240" t="str">
        <f>IF(ISNA(VLOOKUP(Tableau13[[#This Row],[Code machine]],'CODE mchn'!$A$4:$C$170,2,0)),"",VLOOKUP(Tableau13[[#This Row],[Code machine]],'CODE mchn'!$A$4:$C$170,2,0))</f>
        <v>Acier</v>
      </c>
      <c r="D1948" s="241" t="str">
        <f>IF(ISNA(VLOOKUP(Tableau13[[#This Row],[Code machine]],'CODE mchn'!$A$4:$C$170,3,0)),"",VLOOKUP(Tableau13[[#This Row],[Code machine]],'CODE mchn'!$A$4:$C$170,3,0))</f>
        <v>EVG PN 1</v>
      </c>
      <c r="E1948" s="239">
        <v>25830</v>
      </c>
      <c r="F1948" s="241"/>
      <c r="G1948" s="241" t="s">
        <v>3679</v>
      </c>
      <c r="H1948" s="241" t="s">
        <v>3680</v>
      </c>
      <c r="I1948" s="241" t="s">
        <v>3287</v>
      </c>
      <c r="J1948" s="249" t="s">
        <v>3681</v>
      </c>
      <c r="K1948" s="242">
        <v>44548</v>
      </c>
      <c r="L1948" s="241"/>
      <c r="M1948" s="243">
        <v>120</v>
      </c>
      <c r="N1948" s="243">
        <f>MONTH(Tableau13[[#This Row],[Date fin intervention]])</f>
        <v>12</v>
      </c>
      <c r="O1948" s="243">
        <f>YEAR(Tableau13[[#This Row],[Date fin intervention]])</f>
        <v>2021</v>
      </c>
      <c r="P1948" s="241"/>
    </row>
    <row r="1949" spans="1:16">
      <c r="A1949" s="238">
        <v>44550</v>
      </c>
      <c r="B1949" s="239">
        <v>700</v>
      </c>
      <c r="C1949" s="240" t="str">
        <f>IF(ISNA(VLOOKUP(Tableau13[[#This Row],[Code machine]],'CODE mchn'!$A$4:$C$170,2,0)),"",VLOOKUP(Tableau13[[#This Row],[Code machine]],'CODE mchn'!$A$4:$C$170,2,0))</f>
        <v>Béton</v>
      </c>
      <c r="D1949" s="241" t="str">
        <f>IF(ISNA(VLOOKUP(Tableau13[[#This Row],[Code machine]],'CODE mchn'!$A$4:$C$170,3,0)),"",VLOOKUP(Tableau13[[#This Row],[Code machine]],'CODE mchn'!$A$4:$C$170,3,0))</f>
        <v>Poyatos 1</v>
      </c>
      <c r="E1949" s="105">
        <v>25887</v>
      </c>
      <c r="F1949" s="36"/>
      <c r="G1949" s="241" t="s">
        <v>3276</v>
      </c>
      <c r="H1949" s="241" t="s">
        <v>3277</v>
      </c>
      <c r="I1949" s="241" t="s">
        <v>3278</v>
      </c>
      <c r="J1949" s="249" t="s">
        <v>3279</v>
      </c>
      <c r="K1949" s="242">
        <v>44550</v>
      </c>
      <c r="L1949" s="241"/>
      <c r="M1949" s="243">
        <v>120</v>
      </c>
      <c r="N1949" s="243">
        <f>MONTH(Tableau13[[#This Row],[Date fin intervention]])</f>
        <v>12</v>
      </c>
      <c r="O1949" s="243">
        <f>YEAR(Tableau13[[#This Row],[Date fin intervention]])</f>
        <v>2021</v>
      </c>
      <c r="P1949" s="241"/>
    </row>
    <row r="1950" spans="1:16">
      <c r="A1950" s="238">
        <v>44550</v>
      </c>
      <c r="B1950" s="239">
        <v>565</v>
      </c>
      <c r="C1950" s="240" t="str">
        <f>IF(ISNA(VLOOKUP(Tableau13[[#This Row],[Code machine]],'CODE mchn'!$A$4:$C$170,2,0)),"",VLOOKUP(Tableau13[[#This Row],[Code machine]],'CODE mchn'!$A$4:$C$170,2,0))</f>
        <v>Acier</v>
      </c>
      <c r="D1950" s="241" t="str">
        <f>IF(ISNA(VLOOKUP(Tableau13[[#This Row],[Code machine]],'CODE mchn'!$A$4:$C$170,3,0)),"",VLOOKUP(Tableau13[[#This Row],[Code machine]],'CODE mchn'!$A$4:$C$170,3,0))</f>
        <v>EVG GE12</v>
      </c>
      <c r="E1950" s="239">
        <v>25780</v>
      </c>
      <c r="F1950" s="241"/>
      <c r="G1950" s="241" t="s">
        <v>3604</v>
      </c>
      <c r="H1950" s="241" t="s">
        <v>3605</v>
      </c>
      <c r="I1950" s="241" t="s">
        <v>3287</v>
      </c>
      <c r="J1950" s="249" t="s">
        <v>3606</v>
      </c>
      <c r="K1950" s="242">
        <v>44550</v>
      </c>
      <c r="L1950" s="241"/>
      <c r="M1950" s="243">
        <v>40</v>
      </c>
      <c r="N1950" s="243">
        <f>MONTH(Tableau13[[#This Row],[Date fin intervention]])</f>
        <v>12</v>
      </c>
      <c r="O1950" s="243">
        <f>YEAR(Tableau13[[#This Row],[Date fin intervention]])</f>
        <v>2021</v>
      </c>
      <c r="P1950" s="241"/>
    </row>
    <row r="1951" spans="1:16">
      <c r="A1951" s="238">
        <v>44551</v>
      </c>
      <c r="B1951" s="239">
        <v>800</v>
      </c>
      <c r="C1951" s="240" t="str">
        <f>IF(ISNA(VLOOKUP(Tableau13[[#This Row],[Code machine]],'CODE mchn'!$A$4:$C$170,2,0)),"",VLOOKUP(Tableau13[[#This Row],[Code machine]],'CODE mchn'!$A$4:$C$170,2,0))</f>
        <v>Béton</v>
      </c>
      <c r="D1951" s="241" t="str">
        <f>IF(ISNA(VLOOKUP(Tableau13[[#This Row],[Code machine]],'CODE mchn'!$A$4:$C$170,3,0)),"",VLOOKUP(Tableau13[[#This Row],[Code machine]],'CODE mchn'!$A$4:$C$170,3,0))</f>
        <v>Poyatos 2</v>
      </c>
      <c r="E1951" s="105">
        <v>25888</v>
      </c>
      <c r="F1951" s="36"/>
      <c r="G1951" s="241" t="s">
        <v>1132</v>
      </c>
      <c r="H1951" s="241" t="s">
        <v>3280</v>
      </c>
      <c r="I1951" s="241" t="s">
        <v>13</v>
      </c>
      <c r="J1951" s="249" t="s">
        <v>3281</v>
      </c>
      <c r="K1951" s="242">
        <v>44551</v>
      </c>
      <c r="L1951" s="241"/>
      <c r="M1951" s="243">
        <v>60</v>
      </c>
      <c r="N1951" s="243">
        <f>MONTH(Tableau13[[#This Row],[Date fin intervention]])</f>
        <v>12</v>
      </c>
      <c r="O1951" s="243">
        <f>YEAR(Tableau13[[#This Row],[Date fin intervention]])</f>
        <v>2021</v>
      </c>
      <c r="P1951" s="241"/>
    </row>
    <row r="1952" spans="1:16">
      <c r="A1952" s="238">
        <v>44551</v>
      </c>
      <c r="B1952" s="239">
        <v>800</v>
      </c>
      <c r="C1952" s="240" t="str">
        <f>IF(ISNA(VLOOKUP(Tableau13[[#This Row],[Code machine]],'CODE mchn'!$A$4:$C$170,2,0)),"",VLOOKUP(Tableau13[[#This Row],[Code machine]],'CODE mchn'!$A$4:$C$170,2,0))</f>
        <v>Béton</v>
      </c>
      <c r="D1952" s="241" t="str">
        <f>IF(ISNA(VLOOKUP(Tableau13[[#This Row],[Code machine]],'CODE mchn'!$A$4:$C$170,3,0)),"",VLOOKUP(Tableau13[[#This Row],[Code machine]],'CODE mchn'!$A$4:$C$170,3,0))</f>
        <v>Poyatos 2</v>
      </c>
      <c r="E1952" s="105">
        <v>25889</v>
      </c>
      <c r="F1952" s="36"/>
      <c r="G1952" s="241" t="s">
        <v>291</v>
      </c>
      <c r="H1952" s="241" t="s">
        <v>3283</v>
      </c>
      <c r="I1952" s="241" t="s">
        <v>13</v>
      </c>
      <c r="J1952" s="249" t="s">
        <v>3284</v>
      </c>
      <c r="K1952" s="242">
        <v>44551</v>
      </c>
      <c r="L1952" s="241"/>
      <c r="M1952" s="243">
        <v>60</v>
      </c>
      <c r="N1952" s="243">
        <f>MONTH(Tableau13[[#This Row],[Date fin intervention]])</f>
        <v>12</v>
      </c>
      <c r="O1952" s="243">
        <f>YEAR(Tableau13[[#This Row],[Date fin intervention]])</f>
        <v>2021</v>
      </c>
      <c r="P1952" s="241"/>
    </row>
    <row r="1953" spans="1:16" ht="42.75">
      <c r="A1953" s="238">
        <v>44551</v>
      </c>
      <c r="B1953" s="239">
        <v>700</v>
      </c>
      <c r="C1953" s="240" t="str">
        <f>IF(ISNA(VLOOKUP(Tableau13[[#This Row],[Code machine]],'CODE mchn'!$A$4:$C$170,2,0)),"",VLOOKUP(Tableau13[[#This Row],[Code machine]],'CODE mchn'!$A$4:$C$170,2,0))</f>
        <v>Béton</v>
      </c>
      <c r="D1953" s="241" t="str">
        <f>IF(ISNA(VLOOKUP(Tableau13[[#This Row],[Code machine]],'CODE mchn'!$A$4:$C$170,3,0)),"",VLOOKUP(Tableau13[[#This Row],[Code machine]],'CODE mchn'!$A$4:$C$170,3,0))</f>
        <v>Poyatos 1</v>
      </c>
      <c r="E1953" s="239">
        <v>25890</v>
      </c>
      <c r="F1953" s="241"/>
      <c r="G1953" s="241" t="s">
        <v>3285</v>
      </c>
      <c r="H1953" s="241" t="s">
        <v>3286</v>
      </c>
      <c r="I1953" s="241" t="s">
        <v>3287</v>
      </c>
      <c r="J1953" s="249" t="s">
        <v>3288</v>
      </c>
      <c r="K1953" s="242">
        <v>44551</v>
      </c>
      <c r="L1953" s="241"/>
      <c r="M1953" s="243">
        <v>150</v>
      </c>
      <c r="N1953" s="243">
        <f>MONTH(Tableau13[[#This Row],[Date fin intervention]])</f>
        <v>12</v>
      </c>
      <c r="O1953" s="243">
        <f>YEAR(Tableau13[[#This Row],[Date fin intervention]])</f>
        <v>2021</v>
      </c>
      <c r="P1953" s="241"/>
    </row>
    <row r="1954" spans="1:16" ht="57">
      <c r="A1954" s="238">
        <v>44551</v>
      </c>
      <c r="B1954" s="239">
        <v>700</v>
      </c>
      <c r="C1954" s="240" t="str">
        <f>IF(ISNA(VLOOKUP(Tableau13[[#This Row],[Code machine]],'CODE mchn'!$A$4:$C$170,2,0)),"",VLOOKUP(Tableau13[[#This Row],[Code machine]],'CODE mchn'!$A$4:$C$170,2,0))</f>
        <v>Béton</v>
      </c>
      <c r="D1954" s="241" t="str">
        <f>IF(ISNA(VLOOKUP(Tableau13[[#This Row],[Code machine]],'CODE mchn'!$A$4:$C$170,3,0)),"",VLOOKUP(Tableau13[[#This Row],[Code machine]],'CODE mchn'!$A$4:$C$170,3,0))</f>
        <v>Poyatos 1</v>
      </c>
      <c r="E1954" s="239">
        <v>25891</v>
      </c>
      <c r="F1954" s="241"/>
      <c r="G1954" s="241" t="s">
        <v>3289</v>
      </c>
      <c r="H1954" s="241" t="s">
        <v>3290</v>
      </c>
      <c r="I1954" s="241" t="s">
        <v>3291</v>
      </c>
      <c r="J1954" s="249" t="s">
        <v>3292</v>
      </c>
      <c r="K1954" s="242">
        <v>44551</v>
      </c>
      <c r="L1954" s="241"/>
      <c r="M1954" s="243">
        <v>150</v>
      </c>
      <c r="N1954" s="243">
        <f>MONTH(Tableau13[[#This Row],[Date fin intervention]])</f>
        <v>12</v>
      </c>
      <c r="O1954" s="243">
        <f>YEAR(Tableau13[[#This Row],[Date fin intervention]])</f>
        <v>2021</v>
      </c>
      <c r="P1954" s="241"/>
    </row>
    <row r="1955" spans="1:16" ht="28.5">
      <c r="A1955" s="238">
        <v>44551</v>
      </c>
      <c r="B1955" s="239">
        <v>565</v>
      </c>
      <c r="C1955" s="240" t="str">
        <f>IF(ISNA(VLOOKUP(Tableau13[[#This Row],[Code machine]],'CODE mchn'!$A$4:$C$170,2,0)),"",VLOOKUP(Tableau13[[#This Row],[Code machine]],'CODE mchn'!$A$4:$C$170,2,0))</f>
        <v>Acier</v>
      </c>
      <c r="D1955" s="241" t="str">
        <f>IF(ISNA(VLOOKUP(Tableau13[[#This Row],[Code machine]],'CODE mchn'!$A$4:$C$170,3,0)),"",VLOOKUP(Tableau13[[#This Row],[Code machine]],'CODE mchn'!$A$4:$C$170,3,0))</f>
        <v>EVG GE12</v>
      </c>
      <c r="E1955" s="239">
        <v>26301</v>
      </c>
      <c r="F1955" s="241"/>
      <c r="G1955" s="241" t="s">
        <v>2243</v>
      </c>
      <c r="H1955" s="241" t="s">
        <v>3913</v>
      </c>
      <c r="I1955" s="241" t="s">
        <v>13</v>
      </c>
      <c r="J1955" s="249" t="s">
        <v>3914</v>
      </c>
      <c r="K1955" s="242">
        <v>44551</v>
      </c>
      <c r="L1955" s="241"/>
      <c r="M1955" s="243">
        <v>60</v>
      </c>
      <c r="N1955" s="243">
        <f>MONTH(Tableau13[[#This Row],[Date fin intervention]])</f>
        <v>12</v>
      </c>
      <c r="O1955" s="243">
        <f>YEAR(Tableau13[[#This Row],[Date fin intervention]])</f>
        <v>2021</v>
      </c>
      <c r="P1955" s="241"/>
    </row>
    <row r="1956" spans="1:16" ht="28.5">
      <c r="A1956" s="238">
        <v>44552</v>
      </c>
      <c r="B1956" s="239">
        <v>800</v>
      </c>
      <c r="C1956" s="240" t="str">
        <f>IF(ISNA(VLOOKUP(Tableau13[[#This Row],[Code machine]],'CODE mchn'!$A$4:$C$170,2,0)),"",VLOOKUP(Tableau13[[#This Row],[Code machine]],'CODE mchn'!$A$4:$C$170,2,0))</f>
        <v>Béton</v>
      </c>
      <c r="D1956" s="241" t="str">
        <f>IF(ISNA(VLOOKUP(Tableau13[[#This Row],[Code machine]],'CODE mchn'!$A$4:$C$170,3,0)),"",VLOOKUP(Tableau13[[#This Row],[Code machine]],'CODE mchn'!$A$4:$C$170,3,0))</f>
        <v>Poyatos 2</v>
      </c>
      <c r="E1956" s="239"/>
      <c r="F1956" s="241"/>
      <c r="G1956" s="241" t="s">
        <v>3293</v>
      </c>
      <c r="H1956" s="241"/>
      <c r="I1956" s="241" t="s">
        <v>3291</v>
      </c>
      <c r="J1956" s="249" t="s">
        <v>3294</v>
      </c>
      <c r="K1956" s="242">
        <v>44552</v>
      </c>
      <c r="L1956" s="241"/>
      <c r="M1956" s="243">
        <v>90</v>
      </c>
      <c r="N1956" s="243">
        <f>MONTH(Tableau13[[#This Row],[Date fin intervention]])</f>
        <v>12</v>
      </c>
      <c r="O1956" s="243">
        <f>YEAR(Tableau13[[#This Row],[Date fin intervention]])</f>
        <v>2021</v>
      </c>
      <c r="P1956" s="241"/>
    </row>
    <row r="1957" spans="1:16" ht="28.5">
      <c r="A1957" s="238">
        <v>44552</v>
      </c>
      <c r="B1957" s="239">
        <v>561</v>
      </c>
      <c r="C1957" s="240" t="str">
        <f>IF(ISNA(VLOOKUP(Tableau13[[#This Row],[Code machine]],'CODE mchn'!$A$4:$C$170,2,0)),"",VLOOKUP(Tableau13[[#This Row],[Code machine]],'CODE mchn'!$A$4:$C$170,2,0))</f>
        <v>Ponts roulants</v>
      </c>
      <c r="D1957" s="241" t="str">
        <f>IF(ISNA(VLOOKUP(Tableau13[[#This Row],[Code machine]],'CODE mchn'!$A$4:$C$170,3,0)),"",VLOOKUP(Tableau13[[#This Row],[Code machine]],'CODE mchn'!$A$4:$C$170,3,0))</f>
        <v>Pont roulant Demag 5T TS</v>
      </c>
      <c r="E1957" s="239">
        <v>25979</v>
      </c>
      <c r="F1957" s="241"/>
      <c r="G1957" s="241" t="s">
        <v>3514</v>
      </c>
      <c r="H1957" s="241" t="s">
        <v>3515</v>
      </c>
      <c r="I1957" s="241" t="s">
        <v>3287</v>
      </c>
      <c r="J1957" s="249" t="s">
        <v>3516</v>
      </c>
      <c r="K1957" s="242">
        <v>44552</v>
      </c>
      <c r="L1957" s="241"/>
      <c r="M1957" s="243">
        <v>50</v>
      </c>
      <c r="N1957" s="243">
        <f>MONTH(Tableau13[[#This Row],[Date fin intervention]])</f>
        <v>12</v>
      </c>
      <c r="O1957" s="243">
        <f>YEAR(Tableau13[[#This Row],[Date fin intervention]])</f>
        <v>2021</v>
      </c>
      <c r="P1957" s="241"/>
    </row>
    <row r="1958" spans="1:16" ht="28.5">
      <c r="A1958" s="238">
        <v>44552</v>
      </c>
      <c r="B1958" s="239">
        <v>590</v>
      </c>
      <c r="C1958" s="240" t="str">
        <f>IF(ISNA(VLOOKUP(Tableau13[[#This Row],[Code machine]],'CODE mchn'!$A$4:$C$170,2,0)),"",VLOOKUP(Tableau13[[#This Row],[Code machine]],'CODE mchn'!$A$4:$C$170,2,0))</f>
        <v>Acier</v>
      </c>
      <c r="D1958" s="241" t="str">
        <f>IF(ISNA(VLOOKUP(Tableau13[[#This Row],[Code machine]],'CODE mchn'!$A$4:$C$170,3,0)),"",VLOOKUP(Tableau13[[#This Row],[Code machine]],'CODE mchn'!$A$4:$C$170,3,0))</f>
        <v>Teurema 3</v>
      </c>
      <c r="E1958" s="239">
        <v>26201</v>
      </c>
      <c r="F1958" s="241"/>
      <c r="G1958" s="241" t="s">
        <v>3690</v>
      </c>
      <c r="H1958" s="241" t="s">
        <v>3691</v>
      </c>
      <c r="I1958" s="241" t="s">
        <v>3287</v>
      </c>
      <c r="J1958" s="249" t="s">
        <v>3692</v>
      </c>
      <c r="K1958" s="242">
        <v>44552</v>
      </c>
      <c r="L1958" s="241"/>
      <c r="M1958" s="243">
        <v>120</v>
      </c>
      <c r="N1958" s="243">
        <f>MONTH(Tableau13[[#This Row],[Date fin intervention]])</f>
        <v>12</v>
      </c>
      <c r="O1958" s="243">
        <f>YEAR(Tableau13[[#This Row],[Date fin intervention]])</f>
        <v>2021</v>
      </c>
      <c r="P1958" s="241"/>
    </row>
    <row r="1959" spans="1:16">
      <c r="A1959" s="238">
        <v>44552</v>
      </c>
      <c r="B1959" s="239">
        <v>607</v>
      </c>
      <c r="C1959" s="240" t="str">
        <f>IF(ISNA(VLOOKUP(Tableau13[[#This Row],[Code machine]],'CODE mchn'!$A$4:$C$170,2,0)),"",VLOOKUP(Tableau13[[#This Row],[Code machine]],'CODE mchn'!$A$4:$C$170,2,0))</f>
        <v>Acier</v>
      </c>
      <c r="D1959" s="241" t="str">
        <f>IF(ISNA(VLOOKUP(Tableau13[[#This Row],[Code machine]],'CODE mchn'!$A$4:$C$170,3,0)),"",VLOOKUP(Tableau13[[#This Row],[Code machine]],'CODE mchn'!$A$4:$C$170,3,0))</f>
        <v>Vitari 3</v>
      </c>
      <c r="E1959" s="239">
        <v>26302</v>
      </c>
      <c r="F1959" s="241"/>
      <c r="G1959" s="241" t="s">
        <v>10</v>
      </c>
      <c r="H1959" s="241" t="s">
        <v>3915</v>
      </c>
      <c r="I1959" s="241" t="s">
        <v>13</v>
      </c>
      <c r="J1959" s="249" t="s">
        <v>3916</v>
      </c>
      <c r="K1959" s="242">
        <v>44552</v>
      </c>
      <c r="L1959" s="241"/>
      <c r="M1959" s="243">
        <v>30</v>
      </c>
      <c r="N1959" s="243">
        <f>MONTH(Tableau13[[#This Row],[Date fin intervention]])</f>
        <v>12</v>
      </c>
      <c r="O1959" s="243">
        <f>YEAR(Tableau13[[#This Row],[Date fin intervention]])</f>
        <v>2021</v>
      </c>
      <c r="P1959" s="241"/>
    </row>
    <row r="1960" spans="1:16">
      <c r="A1960" s="238">
        <v>44553</v>
      </c>
      <c r="B1960" s="239">
        <v>700</v>
      </c>
      <c r="C1960" s="240" t="str">
        <f>IF(ISNA(VLOOKUP(Tableau13[[#This Row],[Code machine]],'CODE mchn'!$A$4:$C$170,2,0)),"",VLOOKUP(Tableau13[[#This Row],[Code machine]],'CODE mchn'!$A$4:$C$170,2,0))</f>
        <v>Béton</v>
      </c>
      <c r="D1960" s="241" t="str">
        <f>IF(ISNA(VLOOKUP(Tableau13[[#This Row],[Code machine]],'CODE mchn'!$A$4:$C$170,3,0)),"",VLOOKUP(Tableau13[[#This Row],[Code machine]],'CODE mchn'!$A$4:$C$170,3,0))</f>
        <v>Poyatos 1</v>
      </c>
      <c r="E1960" s="239">
        <v>25980</v>
      </c>
      <c r="F1960" s="241"/>
      <c r="G1960" s="241" t="s">
        <v>3450</v>
      </c>
      <c r="H1960" s="241" t="s">
        <v>3517</v>
      </c>
      <c r="I1960" s="241" t="s">
        <v>3287</v>
      </c>
      <c r="J1960" s="249" t="s">
        <v>3518</v>
      </c>
      <c r="K1960" s="242">
        <v>44553</v>
      </c>
      <c r="L1960" s="241"/>
      <c r="M1960" s="243">
        <v>30</v>
      </c>
      <c r="N1960" s="243">
        <f>MONTH(Tableau13[[#This Row],[Date fin intervention]])</f>
        <v>12</v>
      </c>
      <c r="O1960" s="243">
        <f>YEAR(Tableau13[[#This Row],[Date fin intervention]])</f>
        <v>2021</v>
      </c>
      <c r="P1960" s="241"/>
    </row>
    <row r="1961" spans="1:16" ht="28.5">
      <c r="A1961" s="238">
        <v>44554</v>
      </c>
      <c r="B1961" s="239">
        <v>590</v>
      </c>
      <c r="C1961" s="240" t="str">
        <f>IF(ISNA(VLOOKUP(Tableau13[[#This Row],[Code machine]],'CODE mchn'!$A$4:$C$170,2,0)),"",VLOOKUP(Tableau13[[#This Row],[Code machine]],'CODE mchn'!$A$4:$C$170,2,0))</f>
        <v>Acier</v>
      </c>
      <c r="D1961" s="241" t="str">
        <f>IF(ISNA(VLOOKUP(Tableau13[[#This Row],[Code machine]],'CODE mchn'!$A$4:$C$170,3,0)),"",VLOOKUP(Tableau13[[#This Row],[Code machine]],'CODE mchn'!$A$4:$C$170,3,0))</f>
        <v>Teurema 3</v>
      </c>
      <c r="E1961" s="239">
        <v>26202</v>
      </c>
      <c r="F1961" s="241"/>
      <c r="G1961" s="241" t="s">
        <v>3693</v>
      </c>
      <c r="H1961" s="241" t="s">
        <v>3694</v>
      </c>
      <c r="I1961" s="241" t="s">
        <v>3287</v>
      </c>
      <c r="J1961" s="249" t="s">
        <v>3695</v>
      </c>
      <c r="K1961" s="242">
        <v>44554</v>
      </c>
      <c r="L1961" s="241"/>
      <c r="M1961" s="243">
        <v>240</v>
      </c>
      <c r="N1961" s="243">
        <f>MONTH(Tableau13[[#This Row],[Date fin intervention]])</f>
        <v>12</v>
      </c>
      <c r="O1961" s="243">
        <f>YEAR(Tableau13[[#This Row],[Date fin intervention]])</f>
        <v>2021</v>
      </c>
      <c r="P1961" s="241"/>
    </row>
    <row r="1962" spans="1:16">
      <c r="A1962" s="238">
        <v>44554</v>
      </c>
      <c r="B1962" s="239">
        <v>607</v>
      </c>
      <c r="C1962" s="240" t="str">
        <f>IF(ISNA(VLOOKUP(Tableau13[[#This Row],[Code machine]],'CODE mchn'!$A$4:$C$170,2,0)),"",VLOOKUP(Tableau13[[#This Row],[Code machine]],'CODE mchn'!$A$4:$C$170,2,0))</f>
        <v>Acier</v>
      </c>
      <c r="D1962" s="241" t="str">
        <f>IF(ISNA(VLOOKUP(Tableau13[[#This Row],[Code machine]],'CODE mchn'!$A$4:$C$170,3,0)),"",VLOOKUP(Tableau13[[#This Row],[Code machine]],'CODE mchn'!$A$4:$C$170,3,0))</f>
        <v>Vitari 3</v>
      </c>
      <c r="E1962" s="239">
        <v>26303</v>
      </c>
      <c r="F1962" s="241"/>
      <c r="G1962" s="241" t="s">
        <v>3917</v>
      </c>
      <c r="H1962" s="241" t="s">
        <v>3918</v>
      </c>
      <c r="I1962" s="241" t="s">
        <v>13</v>
      </c>
      <c r="J1962" s="249" t="s">
        <v>3919</v>
      </c>
      <c r="K1962" s="242">
        <v>44554</v>
      </c>
      <c r="L1962" s="241"/>
      <c r="M1962" s="243">
        <v>30</v>
      </c>
      <c r="N1962" s="243">
        <f>MONTH(Tableau13[[#This Row],[Date fin intervention]])</f>
        <v>12</v>
      </c>
      <c r="O1962" s="243">
        <f>YEAR(Tableau13[[#This Row],[Date fin intervention]])</f>
        <v>2021</v>
      </c>
      <c r="P1962" s="241"/>
    </row>
    <row r="1963" spans="1:16" ht="28.5">
      <c r="A1963" s="238">
        <v>44555</v>
      </c>
      <c r="B1963" s="239">
        <v>581</v>
      </c>
      <c r="C1963" s="240" t="str">
        <f>IF(ISNA(VLOOKUP(Tableau13[[#This Row],[Code machine]],'CODE mchn'!$A$4:$C$170,2,0)),"",VLOOKUP(Tableau13[[#This Row],[Code machine]],'CODE mchn'!$A$4:$C$170,2,0))</f>
        <v>Acier</v>
      </c>
      <c r="D1963" s="241" t="str">
        <f>IF(ISNA(VLOOKUP(Tableau13[[#This Row],[Code machine]],'CODE mchn'!$A$4:$C$170,3,0)),"",VLOOKUP(Tableau13[[#This Row],[Code machine]],'CODE mchn'!$A$4:$C$170,3,0))</f>
        <v>Teurema 1</v>
      </c>
      <c r="E1963" s="239">
        <v>26203</v>
      </c>
      <c r="F1963" s="241"/>
      <c r="G1963" s="241" t="s">
        <v>3696</v>
      </c>
      <c r="H1963" s="241" t="s">
        <v>3697</v>
      </c>
      <c r="I1963" s="241" t="s">
        <v>3287</v>
      </c>
      <c r="J1963" s="249" t="s">
        <v>3698</v>
      </c>
      <c r="K1963" s="242">
        <v>44555</v>
      </c>
      <c r="L1963" s="241"/>
      <c r="M1963" s="243">
        <v>150</v>
      </c>
      <c r="N1963" s="243">
        <f>MONTH(Tableau13[[#This Row],[Date fin intervention]])</f>
        <v>12</v>
      </c>
      <c r="O1963" s="243">
        <f>YEAR(Tableau13[[#This Row],[Date fin intervention]])</f>
        <v>2021</v>
      </c>
      <c r="P1963" s="241"/>
    </row>
    <row r="1964" spans="1:16" ht="28.5">
      <c r="A1964" s="238">
        <v>44555</v>
      </c>
      <c r="B1964" s="239">
        <v>581</v>
      </c>
      <c r="C1964" s="240" t="str">
        <f>IF(ISNA(VLOOKUP(Tableau13[[#This Row],[Code machine]],'CODE mchn'!$A$4:$C$170,2,0)),"",VLOOKUP(Tableau13[[#This Row],[Code machine]],'CODE mchn'!$A$4:$C$170,2,0))</f>
        <v>Acier</v>
      </c>
      <c r="D1964" s="241" t="str">
        <f>IF(ISNA(VLOOKUP(Tableau13[[#This Row],[Code machine]],'CODE mchn'!$A$4:$C$170,3,0)),"",VLOOKUP(Tableau13[[#This Row],[Code machine]],'CODE mchn'!$A$4:$C$170,3,0))</f>
        <v>Teurema 1</v>
      </c>
      <c r="E1964" s="239">
        <v>26204</v>
      </c>
      <c r="F1964" s="241"/>
      <c r="G1964" s="241" t="s">
        <v>3699</v>
      </c>
      <c r="H1964" s="241" t="s">
        <v>3700</v>
      </c>
      <c r="I1964" s="241" t="s">
        <v>3287</v>
      </c>
      <c r="J1964" s="249" t="s">
        <v>3701</v>
      </c>
      <c r="K1964" s="242">
        <v>44555</v>
      </c>
      <c r="L1964" s="241"/>
      <c r="M1964" s="243">
        <v>90</v>
      </c>
      <c r="N1964" s="243">
        <f>MONTH(Tableau13[[#This Row],[Date fin intervention]])</f>
        <v>12</v>
      </c>
      <c r="O1964" s="243">
        <f>YEAR(Tableau13[[#This Row],[Date fin intervention]])</f>
        <v>2021</v>
      </c>
      <c r="P1964" s="241"/>
    </row>
    <row r="1965" spans="1:16">
      <c r="A1965" s="238">
        <v>44555</v>
      </c>
      <c r="B1965" s="239">
        <v>590</v>
      </c>
      <c r="C1965" s="240" t="str">
        <f>IF(ISNA(VLOOKUP(Tableau13[[#This Row],[Code machine]],'CODE mchn'!$A$4:$C$170,2,0)),"",VLOOKUP(Tableau13[[#This Row],[Code machine]],'CODE mchn'!$A$4:$C$170,2,0))</f>
        <v>Acier</v>
      </c>
      <c r="D1965" s="241" t="str">
        <f>IF(ISNA(VLOOKUP(Tableau13[[#This Row],[Code machine]],'CODE mchn'!$A$4:$C$170,3,0)),"",VLOOKUP(Tableau13[[#This Row],[Code machine]],'CODE mchn'!$A$4:$C$170,3,0))</f>
        <v>Teurema 3</v>
      </c>
      <c r="E1965" s="239">
        <v>26207</v>
      </c>
      <c r="F1965" s="241"/>
      <c r="G1965" s="241" t="s">
        <v>3708</v>
      </c>
      <c r="H1965" s="241" t="s">
        <v>3709</v>
      </c>
      <c r="I1965" s="241" t="s">
        <v>3287</v>
      </c>
      <c r="J1965" s="249" t="s">
        <v>3710</v>
      </c>
      <c r="K1965" s="242">
        <v>44555</v>
      </c>
      <c r="L1965" s="241"/>
      <c r="M1965" s="243">
        <v>60</v>
      </c>
      <c r="N1965" s="243">
        <f>MONTH(Tableau13[[#This Row],[Date fin intervention]])</f>
        <v>12</v>
      </c>
      <c r="O1965" s="243">
        <f>YEAR(Tableau13[[#This Row],[Date fin intervention]])</f>
        <v>2021</v>
      </c>
      <c r="P1965" s="241"/>
    </row>
    <row r="1966" spans="1:16" ht="42.75">
      <c r="A1966" s="238">
        <v>44557</v>
      </c>
      <c r="B1966" s="239">
        <v>700</v>
      </c>
      <c r="C1966" s="240" t="str">
        <f>IF(ISNA(VLOOKUP(Tableau13[[#This Row],[Code machine]],'CODE mchn'!$A$4:$C$170,2,0)),"",VLOOKUP(Tableau13[[#This Row],[Code machine]],'CODE mchn'!$A$4:$C$170,2,0))</f>
        <v>Béton</v>
      </c>
      <c r="D1966" s="241" t="str">
        <f>IF(ISNA(VLOOKUP(Tableau13[[#This Row],[Code machine]],'CODE mchn'!$A$4:$C$170,3,0)),"",VLOOKUP(Tableau13[[#This Row],[Code machine]],'CODE mchn'!$A$4:$C$170,3,0))</f>
        <v>Poyatos 1</v>
      </c>
      <c r="E1966" s="239">
        <v>26151</v>
      </c>
      <c r="F1966" s="241"/>
      <c r="G1966" s="241" t="s">
        <v>3295</v>
      </c>
      <c r="H1966" s="241" t="s">
        <v>3296</v>
      </c>
      <c r="I1966" s="241" t="s">
        <v>3291</v>
      </c>
      <c r="J1966" s="249" t="s">
        <v>3297</v>
      </c>
      <c r="K1966" s="242">
        <v>44557</v>
      </c>
      <c r="L1966" s="241"/>
      <c r="M1966" s="243">
        <v>150</v>
      </c>
      <c r="N1966" s="243">
        <f>MONTH(Tableau13[[#This Row],[Date fin intervention]])</f>
        <v>12</v>
      </c>
      <c r="O1966" s="243">
        <f>YEAR(Tableau13[[#This Row],[Date fin intervention]])</f>
        <v>2021</v>
      </c>
      <c r="P1966" s="241"/>
    </row>
    <row r="1967" spans="1:16" ht="28.5">
      <c r="A1967" s="238">
        <v>44558</v>
      </c>
      <c r="B1967" s="239">
        <v>700</v>
      </c>
      <c r="C1967" s="240" t="str">
        <f>IF(ISNA(VLOOKUP(Tableau13[[#This Row],[Code machine]],'CODE mchn'!$A$4:$C$170,2,0)),"",VLOOKUP(Tableau13[[#This Row],[Code machine]],'CODE mchn'!$A$4:$C$170,2,0))</f>
        <v>Béton</v>
      </c>
      <c r="D1967" s="241" t="str">
        <f>IF(ISNA(VLOOKUP(Tableau13[[#This Row],[Code machine]],'CODE mchn'!$A$4:$C$170,3,0)),"",VLOOKUP(Tableau13[[#This Row],[Code machine]],'CODE mchn'!$A$4:$C$170,3,0))</f>
        <v>Poyatos 1</v>
      </c>
      <c r="E1967" s="239">
        <v>26152</v>
      </c>
      <c r="F1967" s="241"/>
      <c r="G1967" s="241" t="s">
        <v>3298</v>
      </c>
      <c r="H1967" s="241" t="s">
        <v>3299</v>
      </c>
      <c r="I1967" s="241" t="s">
        <v>3291</v>
      </c>
      <c r="J1967" s="249" t="s">
        <v>3300</v>
      </c>
      <c r="K1967" s="242">
        <v>44558</v>
      </c>
      <c r="L1967" s="241"/>
      <c r="M1967" s="243">
        <v>180</v>
      </c>
      <c r="N1967" s="243">
        <f>MONTH(Tableau13[[#This Row],[Date fin intervention]])</f>
        <v>12</v>
      </c>
      <c r="O1967" s="243">
        <f>YEAR(Tableau13[[#This Row],[Date fin intervention]])</f>
        <v>2021</v>
      </c>
      <c r="P1967" s="241"/>
    </row>
    <row r="1968" spans="1:16">
      <c r="A1968" s="238">
        <v>44558</v>
      </c>
      <c r="B1968" s="239">
        <v>561</v>
      </c>
      <c r="C1968" s="240" t="str">
        <f>IF(ISNA(VLOOKUP(Tableau13[[#This Row],[Code machine]],'CODE mchn'!$A$4:$C$170,2,0)),"",VLOOKUP(Tableau13[[#This Row],[Code machine]],'CODE mchn'!$A$4:$C$170,2,0))</f>
        <v>Ponts roulants</v>
      </c>
      <c r="D1968" s="241" t="str">
        <f>IF(ISNA(VLOOKUP(Tableau13[[#This Row],[Code machine]],'CODE mchn'!$A$4:$C$170,3,0)),"",VLOOKUP(Tableau13[[#This Row],[Code machine]],'CODE mchn'!$A$4:$C$170,3,0))</f>
        <v>Pont roulant Demag 5T TS</v>
      </c>
      <c r="E1968" s="239">
        <v>25982</v>
      </c>
      <c r="F1968" s="241"/>
      <c r="G1968" s="241" t="s">
        <v>3450</v>
      </c>
      <c r="H1968" s="241" t="s">
        <v>3521</v>
      </c>
      <c r="I1968" s="241" t="s">
        <v>3287</v>
      </c>
      <c r="J1968" s="249" t="s">
        <v>3522</v>
      </c>
      <c r="K1968" s="242">
        <v>44558</v>
      </c>
      <c r="L1968" s="241"/>
      <c r="M1968" s="243">
        <v>30</v>
      </c>
      <c r="N1968" s="243">
        <f>MONTH(Tableau13[[#This Row],[Date fin intervention]])</f>
        <v>12</v>
      </c>
      <c r="O1968" s="243">
        <f>YEAR(Tableau13[[#This Row],[Date fin intervention]])</f>
        <v>2021</v>
      </c>
      <c r="P1968" s="241"/>
    </row>
    <row r="1969" spans="1:16" ht="28.5">
      <c r="A1969" s="238">
        <v>44558</v>
      </c>
      <c r="B1969" s="239">
        <v>590</v>
      </c>
      <c r="C1969" s="240" t="str">
        <f>IF(ISNA(VLOOKUP(Tableau13[[#This Row],[Code machine]],'CODE mchn'!$A$4:$C$170,2,0)),"",VLOOKUP(Tableau13[[#This Row],[Code machine]],'CODE mchn'!$A$4:$C$170,2,0))</f>
        <v>Acier</v>
      </c>
      <c r="D1969" s="241" t="str">
        <f>IF(ISNA(VLOOKUP(Tableau13[[#This Row],[Code machine]],'CODE mchn'!$A$4:$C$170,3,0)),"",VLOOKUP(Tableau13[[#This Row],[Code machine]],'CODE mchn'!$A$4:$C$170,3,0))</f>
        <v>Teurema 3</v>
      </c>
      <c r="E1969" s="239">
        <v>25983</v>
      </c>
      <c r="F1969" s="241"/>
      <c r="G1969" s="241" t="s">
        <v>3523</v>
      </c>
      <c r="H1969" s="241" t="s">
        <v>3524</v>
      </c>
      <c r="I1969" s="241" t="s">
        <v>3287</v>
      </c>
      <c r="J1969" s="249" t="s">
        <v>3525</v>
      </c>
      <c r="K1969" s="242">
        <v>44558</v>
      </c>
      <c r="L1969" s="241"/>
      <c r="M1969" s="243">
        <v>20</v>
      </c>
      <c r="N1969" s="243">
        <f>MONTH(Tableau13[[#This Row],[Date fin intervention]])</f>
        <v>12</v>
      </c>
      <c r="O1969" s="243">
        <f>YEAR(Tableau13[[#This Row],[Date fin intervention]])</f>
        <v>2021</v>
      </c>
      <c r="P1969" s="241"/>
    </row>
    <row r="1970" spans="1:16">
      <c r="A1970" s="238">
        <v>44558</v>
      </c>
      <c r="B1970" s="239">
        <v>606</v>
      </c>
      <c r="C1970" s="240" t="str">
        <f>IF(ISNA(VLOOKUP(Tableau13[[#This Row],[Code machine]],'CODE mchn'!$A$4:$C$170,2,0)),"",VLOOKUP(Tableau13[[#This Row],[Code machine]],'CODE mchn'!$A$4:$C$170,2,0))</f>
        <v>Acier</v>
      </c>
      <c r="D1970" s="241" t="str">
        <f>IF(ISNA(VLOOKUP(Tableau13[[#This Row],[Code machine]],'CODE mchn'!$A$4:$C$170,3,0)),"",VLOOKUP(Tableau13[[#This Row],[Code machine]],'CODE mchn'!$A$4:$C$170,3,0))</f>
        <v>Vitari 2</v>
      </c>
      <c r="E1970" s="239">
        <v>25985</v>
      </c>
      <c r="F1970" s="241"/>
      <c r="G1970" s="241" t="s">
        <v>3450</v>
      </c>
      <c r="H1970" s="241" t="s">
        <v>3528</v>
      </c>
      <c r="I1970" s="241" t="s">
        <v>3287</v>
      </c>
      <c r="J1970" s="249" t="s">
        <v>3529</v>
      </c>
      <c r="K1970" s="242">
        <v>44558</v>
      </c>
      <c r="L1970" s="241"/>
      <c r="M1970" s="243">
        <v>50</v>
      </c>
      <c r="N1970" s="243">
        <f>MONTH(Tableau13[[#This Row],[Date fin intervention]])</f>
        <v>12</v>
      </c>
      <c r="O1970" s="243">
        <f>YEAR(Tableau13[[#This Row],[Date fin intervention]])</f>
        <v>2021</v>
      </c>
      <c r="P1970" s="241"/>
    </row>
    <row r="1971" spans="1:16">
      <c r="A1971" s="238">
        <v>44558</v>
      </c>
      <c r="B1971" s="239">
        <v>700</v>
      </c>
      <c r="C1971" s="240" t="str">
        <f>IF(ISNA(VLOOKUP(Tableau13[[#This Row],[Code machine]],'CODE mchn'!$A$4:$C$170,2,0)),"",VLOOKUP(Tableau13[[#This Row],[Code machine]],'CODE mchn'!$A$4:$C$170,2,0))</f>
        <v>Béton</v>
      </c>
      <c r="D1971" s="241" t="str">
        <f>IF(ISNA(VLOOKUP(Tableau13[[#This Row],[Code machine]],'CODE mchn'!$A$4:$C$170,3,0)),"",VLOOKUP(Tableau13[[#This Row],[Code machine]],'CODE mchn'!$A$4:$C$170,3,0))</f>
        <v>Poyatos 1</v>
      </c>
      <c r="E1971" s="239">
        <v>25981</v>
      </c>
      <c r="F1971" s="241"/>
      <c r="G1971" s="241" t="s">
        <v>3519</v>
      </c>
      <c r="H1971" s="241" t="s">
        <v>3802</v>
      </c>
      <c r="I1971" s="241" t="s">
        <v>3287</v>
      </c>
      <c r="J1971" s="249" t="s">
        <v>3520</v>
      </c>
      <c r="K1971" s="242">
        <v>44558</v>
      </c>
      <c r="L1971" s="241"/>
      <c r="M1971" s="243">
        <v>40</v>
      </c>
      <c r="N1971" s="243">
        <f>MONTH(Tableau13[[#This Row],[Date fin intervention]])</f>
        <v>12</v>
      </c>
      <c r="O1971" s="243">
        <f>YEAR(Tableau13[[#This Row],[Date fin intervention]])</f>
        <v>2021</v>
      </c>
      <c r="P1971" s="241"/>
    </row>
    <row r="1972" spans="1:16" ht="28.5">
      <c r="A1972" s="238">
        <v>44559</v>
      </c>
      <c r="B1972" s="239">
        <v>590</v>
      </c>
      <c r="C1972" s="240" t="str">
        <f>IF(ISNA(VLOOKUP(Tableau13[[#This Row],[Code machine]],'CODE mchn'!$A$4:$C$170,2,0)),"",VLOOKUP(Tableau13[[#This Row],[Code machine]],'CODE mchn'!$A$4:$C$170,2,0))</f>
        <v>Acier</v>
      </c>
      <c r="D1972" s="241" t="str">
        <f>IF(ISNA(VLOOKUP(Tableau13[[#This Row],[Code machine]],'CODE mchn'!$A$4:$C$170,3,0)),"",VLOOKUP(Tableau13[[#This Row],[Code machine]],'CODE mchn'!$A$4:$C$170,3,0))</f>
        <v>Teurema 3</v>
      </c>
      <c r="E1972" s="239">
        <v>26205</v>
      </c>
      <c r="F1972" s="241"/>
      <c r="G1972" s="241" t="s">
        <v>3702</v>
      </c>
      <c r="H1972" s="241" t="s">
        <v>3703</v>
      </c>
      <c r="I1972" s="241" t="s">
        <v>3287</v>
      </c>
      <c r="J1972" s="249" t="s">
        <v>3704</v>
      </c>
      <c r="K1972" s="242">
        <v>44559</v>
      </c>
      <c r="L1972" s="241"/>
      <c r="M1972" s="243">
        <v>60</v>
      </c>
      <c r="N1972" s="243">
        <f>MONTH(Tableau13[[#This Row],[Date fin intervention]])</f>
        <v>12</v>
      </c>
      <c r="O1972" s="243">
        <f>YEAR(Tableau13[[#This Row],[Date fin intervention]])</f>
        <v>2021</v>
      </c>
      <c r="P1972" s="241"/>
    </row>
    <row r="1973" spans="1:16">
      <c r="A1973" s="238">
        <v>44559</v>
      </c>
      <c r="B1973" s="239">
        <v>565</v>
      </c>
      <c r="C1973" s="240" t="str">
        <f>IF(ISNA(VLOOKUP(Tableau13[[#This Row],[Code machine]],'CODE mchn'!$A$4:$C$170,2,0)),"",VLOOKUP(Tableau13[[#This Row],[Code machine]],'CODE mchn'!$A$4:$C$170,2,0))</f>
        <v>Acier</v>
      </c>
      <c r="D1973" s="241" t="str">
        <f>IF(ISNA(VLOOKUP(Tableau13[[#This Row],[Code machine]],'CODE mchn'!$A$4:$C$170,3,0)),"",VLOOKUP(Tableau13[[#This Row],[Code machine]],'CODE mchn'!$A$4:$C$170,3,0))</f>
        <v>EVG GE12</v>
      </c>
      <c r="E1973" s="239">
        <v>26305</v>
      </c>
      <c r="F1973" s="241"/>
      <c r="G1973" s="241" t="s">
        <v>463</v>
      </c>
      <c r="H1973" s="241" t="s">
        <v>3920</v>
      </c>
      <c r="I1973" s="241" t="s">
        <v>13</v>
      </c>
      <c r="J1973" s="249" t="s">
        <v>3921</v>
      </c>
      <c r="K1973" s="242">
        <v>44559</v>
      </c>
      <c r="L1973" s="241"/>
      <c r="M1973" s="243">
        <f>60*4</f>
        <v>240</v>
      </c>
      <c r="N1973" s="243">
        <f>MONTH(Tableau13[[#This Row],[Date fin intervention]])</f>
        <v>12</v>
      </c>
      <c r="O1973" s="243">
        <f>YEAR(Tableau13[[#This Row],[Date fin intervention]])</f>
        <v>2021</v>
      </c>
      <c r="P1973" s="241"/>
    </row>
    <row r="1974" spans="1:16" ht="71.25">
      <c r="A1974" s="238">
        <v>44560</v>
      </c>
      <c r="B1974" s="239">
        <v>700</v>
      </c>
      <c r="C1974" s="240" t="str">
        <f>IF(ISNA(VLOOKUP(Tableau13[[#This Row],[Code machine]],'CODE mchn'!$A$4:$C$170,2,0)),"",VLOOKUP(Tableau13[[#This Row],[Code machine]],'CODE mchn'!$A$4:$C$170,2,0))</f>
        <v>Béton</v>
      </c>
      <c r="D1974" s="241" t="str">
        <f>IF(ISNA(VLOOKUP(Tableau13[[#This Row],[Code machine]],'CODE mchn'!$A$4:$C$170,3,0)),"",VLOOKUP(Tableau13[[#This Row],[Code machine]],'CODE mchn'!$A$4:$C$170,3,0))</f>
        <v>Poyatos 1</v>
      </c>
      <c r="E1974" s="239">
        <v>26153</v>
      </c>
      <c r="F1974" s="241"/>
      <c r="G1974" s="241" t="s">
        <v>3301</v>
      </c>
      <c r="H1974" s="241" t="s">
        <v>3302</v>
      </c>
      <c r="I1974" s="241" t="s">
        <v>3287</v>
      </c>
      <c r="J1974" s="249" t="s">
        <v>3303</v>
      </c>
      <c r="K1974" s="242">
        <v>44561</v>
      </c>
      <c r="L1974" s="241"/>
      <c r="M1974" s="243">
        <v>600</v>
      </c>
      <c r="N1974" s="243">
        <f>MONTH(Tableau13[[#This Row],[Date fin intervention]])</f>
        <v>12</v>
      </c>
      <c r="O1974" s="243">
        <f>YEAR(Tableau13[[#This Row],[Date fin intervention]])</f>
        <v>2021</v>
      </c>
      <c r="P1974" s="241"/>
    </row>
    <row r="1975" spans="1:16" ht="71.25">
      <c r="A1975" s="238">
        <v>44560</v>
      </c>
      <c r="B1975" s="239">
        <v>565</v>
      </c>
      <c r="C1975" s="240" t="str">
        <f>IF(ISNA(VLOOKUP(Tableau13[[#This Row],[Code machine]],'CODE mchn'!$A$4:$C$170,2,0)),"",VLOOKUP(Tableau13[[#This Row],[Code machine]],'CODE mchn'!$A$4:$C$170,2,0))</f>
        <v>Acier</v>
      </c>
      <c r="D1975" s="241" t="str">
        <f>IF(ISNA(VLOOKUP(Tableau13[[#This Row],[Code machine]],'CODE mchn'!$A$4:$C$170,3,0)),"",VLOOKUP(Tableau13[[#This Row],[Code machine]],'CODE mchn'!$A$4:$C$170,3,0))</f>
        <v>EVG GE12</v>
      </c>
      <c r="E1975" s="239">
        <v>26206</v>
      </c>
      <c r="F1975" s="241"/>
      <c r="G1975" s="241" t="s">
        <v>3705</v>
      </c>
      <c r="H1975" s="241" t="s">
        <v>3706</v>
      </c>
      <c r="I1975" s="241" t="s">
        <v>3287</v>
      </c>
      <c r="J1975" s="249" t="s">
        <v>3707</v>
      </c>
      <c r="K1975" s="242">
        <v>44561</v>
      </c>
      <c r="L1975" s="241"/>
      <c r="M1975" s="243">
        <f>6*60</f>
        <v>360</v>
      </c>
      <c r="N1975" s="243">
        <f>MONTH(Tableau13[[#This Row],[Date fin intervention]])</f>
        <v>12</v>
      </c>
      <c r="O1975" s="243">
        <f>YEAR(Tableau13[[#This Row],[Date fin intervention]])</f>
        <v>2021</v>
      </c>
      <c r="P1975" s="241"/>
    </row>
    <row r="1976" spans="1:16" ht="28.5">
      <c r="A1976" s="238">
        <v>44560</v>
      </c>
      <c r="B1976" s="239">
        <v>590</v>
      </c>
      <c r="C1976" s="240" t="str">
        <f>IF(ISNA(VLOOKUP(Tableau13[[#This Row],[Code machine]],'CODE mchn'!$A$4:$C$170,2,0)),"",VLOOKUP(Tableau13[[#This Row],[Code machine]],'CODE mchn'!$A$4:$C$170,2,0))</f>
        <v>Acier</v>
      </c>
      <c r="D1976" s="241" t="str">
        <f>IF(ISNA(VLOOKUP(Tableau13[[#This Row],[Code machine]],'CODE mchn'!$A$4:$C$170,3,0)),"",VLOOKUP(Tableau13[[#This Row],[Code machine]],'CODE mchn'!$A$4:$C$170,3,0))</f>
        <v>Teurema 3</v>
      </c>
      <c r="E1976" s="239">
        <v>26213</v>
      </c>
      <c r="F1976" s="241"/>
      <c r="G1976" s="241" t="s">
        <v>3723</v>
      </c>
      <c r="H1976" s="241" t="s">
        <v>3724</v>
      </c>
      <c r="I1976" s="241" t="s">
        <v>3287</v>
      </c>
      <c r="J1976" s="249" t="s">
        <v>3725</v>
      </c>
      <c r="K1976" s="242">
        <v>44560</v>
      </c>
      <c r="L1976" s="241"/>
      <c r="M1976" s="243">
        <v>240</v>
      </c>
      <c r="N1976" s="243">
        <f>MONTH(Tableau13[[#This Row],[Date fin intervention]])</f>
        <v>12</v>
      </c>
      <c r="O1976" s="243">
        <f>YEAR(Tableau13[[#This Row],[Date fin intervention]])</f>
        <v>2021</v>
      </c>
      <c r="P1976" s="241"/>
    </row>
    <row r="1977" spans="1:16" ht="28.5">
      <c r="A1977" s="238">
        <v>44560</v>
      </c>
      <c r="B1977" s="239">
        <v>581</v>
      </c>
      <c r="C1977" s="240" t="str">
        <f>IF(ISNA(VLOOKUP(Tableau13[[#This Row],[Code machine]],'CODE mchn'!$A$4:$C$170,2,0)),"",VLOOKUP(Tableau13[[#This Row],[Code machine]],'CODE mchn'!$A$4:$C$170,2,0))</f>
        <v>Acier</v>
      </c>
      <c r="D1977" s="241" t="str">
        <f>IF(ISNA(VLOOKUP(Tableau13[[#This Row],[Code machine]],'CODE mchn'!$A$4:$C$170,3,0)),"",VLOOKUP(Tableau13[[#This Row],[Code machine]],'CODE mchn'!$A$4:$C$170,3,0))</f>
        <v>Teurema 1</v>
      </c>
      <c r="E1977" s="239">
        <v>26214</v>
      </c>
      <c r="F1977" s="241"/>
      <c r="G1977" s="241" t="s">
        <v>3726</v>
      </c>
      <c r="H1977" s="241" t="s">
        <v>3727</v>
      </c>
      <c r="I1977" s="241" t="s">
        <v>3287</v>
      </c>
      <c r="J1977" s="249" t="s">
        <v>3728</v>
      </c>
      <c r="K1977" s="242">
        <v>44560</v>
      </c>
      <c r="L1977" s="241"/>
      <c r="M1977" s="243">
        <v>180</v>
      </c>
      <c r="N1977" s="243">
        <f>MONTH(Tableau13[[#This Row],[Date fin intervention]])</f>
        <v>12</v>
      </c>
      <c r="O1977" s="243">
        <f>YEAR(Tableau13[[#This Row],[Date fin intervention]])</f>
        <v>2021</v>
      </c>
      <c r="P1977" s="241"/>
    </row>
    <row r="1978" spans="1:16" ht="28.5">
      <c r="A1978" s="238">
        <v>44560</v>
      </c>
      <c r="B1978" s="239">
        <v>581</v>
      </c>
      <c r="C1978" s="240" t="str">
        <f>IF(ISNA(VLOOKUP(Tableau13[[#This Row],[Code machine]],'CODE mchn'!$A$4:$C$170,2,0)),"",VLOOKUP(Tableau13[[#This Row],[Code machine]],'CODE mchn'!$A$4:$C$170,2,0))</f>
        <v>Acier</v>
      </c>
      <c r="D1978" s="241" t="str">
        <f>IF(ISNA(VLOOKUP(Tableau13[[#This Row],[Code machine]],'CODE mchn'!$A$4:$C$170,3,0)),"",VLOOKUP(Tableau13[[#This Row],[Code machine]],'CODE mchn'!$A$4:$C$170,3,0))</f>
        <v>Teurema 1</v>
      </c>
      <c r="E1978" s="239">
        <v>26215</v>
      </c>
      <c r="F1978" s="241"/>
      <c r="G1978" s="241" t="s">
        <v>3729</v>
      </c>
      <c r="H1978" s="241" t="s">
        <v>3730</v>
      </c>
      <c r="I1978" s="241" t="s">
        <v>3287</v>
      </c>
      <c r="J1978" s="249" t="s">
        <v>3695</v>
      </c>
      <c r="K1978" s="242">
        <v>44563</v>
      </c>
      <c r="L1978" s="241"/>
      <c r="M1978" s="243">
        <v>0</v>
      </c>
      <c r="N1978" s="243">
        <f>MONTH(Tableau13[[#This Row],[Date fin intervention]])</f>
        <v>1</v>
      </c>
      <c r="O1978" s="243">
        <f>YEAR(Tableau13[[#This Row],[Date fin intervention]])</f>
        <v>2022</v>
      </c>
      <c r="P1978" s="241"/>
    </row>
    <row r="1979" spans="1:16">
      <c r="A1979" s="238">
        <v>44561</v>
      </c>
      <c r="B1979" s="239">
        <v>700</v>
      </c>
      <c r="C1979" s="240" t="str">
        <f>IF(ISNA(VLOOKUP(Tableau13[[#This Row],[Code machine]],'CODE mchn'!$A$4:$C$170,2,0)),"",VLOOKUP(Tableau13[[#This Row],[Code machine]],'CODE mchn'!$A$4:$C$170,2,0))</f>
        <v>Béton</v>
      </c>
      <c r="D1979" s="241" t="str">
        <f>IF(ISNA(VLOOKUP(Tableau13[[#This Row],[Code machine]],'CODE mchn'!$A$4:$C$170,3,0)),"",VLOOKUP(Tableau13[[#This Row],[Code machine]],'CODE mchn'!$A$4:$C$170,3,0))</f>
        <v>Poyatos 1</v>
      </c>
      <c r="E1979" s="239">
        <v>26154</v>
      </c>
      <c r="F1979" s="241"/>
      <c r="G1979" s="241" t="s">
        <v>3304</v>
      </c>
      <c r="H1979" s="241" t="s">
        <v>3305</v>
      </c>
      <c r="I1979" s="241" t="s">
        <v>3291</v>
      </c>
      <c r="J1979" s="249" t="s">
        <v>3306</v>
      </c>
      <c r="K1979" s="242">
        <v>44561</v>
      </c>
      <c r="L1979" s="241"/>
      <c r="M1979" s="243">
        <v>120</v>
      </c>
      <c r="N1979" s="243">
        <f>MONTH(Tableau13[[#This Row],[Date fin intervention]])</f>
        <v>12</v>
      </c>
      <c r="O1979" s="243">
        <f>YEAR(Tableau13[[#This Row],[Date fin intervention]])</f>
        <v>2021</v>
      </c>
      <c r="P1979" s="241"/>
    </row>
    <row r="1980" spans="1:16" ht="28.5">
      <c r="A1980" s="238">
        <v>44561</v>
      </c>
      <c r="B1980" s="239">
        <v>700</v>
      </c>
      <c r="C1980" s="240" t="str">
        <f>IF(ISNA(VLOOKUP(Tableau13[[#This Row],[Code machine]],'CODE mchn'!$A$4:$C$170,2,0)),"",VLOOKUP(Tableau13[[#This Row],[Code machine]],'CODE mchn'!$A$4:$C$170,2,0))</f>
        <v>Béton</v>
      </c>
      <c r="D1980" s="241" t="str">
        <f>IF(ISNA(VLOOKUP(Tableau13[[#This Row],[Code machine]],'CODE mchn'!$A$4:$C$170,3,0)),"",VLOOKUP(Tableau13[[#This Row],[Code machine]],'CODE mchn'!$A$4:$C$170,3,0))</f>
        <v>Poyatos 1</v>
      </c>
      <c r="E1980" s="239">
        <v>26155</v>
      </c>
      <c r="F1980" s="241"/>
      <c r="G1980" s="241" t="s">
        <v>3307</v>
      </c>
      <c r="H1980" s="241"/>
      <c r="I1980" s="241" t="s">
        <v>3291</v>
      </c>
      <c r="J1980" s="249" t="s">
        <v>3308</v>
      </c>
      <c r="K1980" s="242">
        <v>44561</v>
      </c>
      <c r="L1980" s="241"/>
      <c r="M1980" s="243">
        <v>90</v>
      </c>
      <c r="N1980" s="243">
        <f>MONTH(Tableau13[[#This Row],[Date fin intervention]])</f>
        <v>12</v>
      </c>
      <c r="O1980" s="243">
        <f>YEAR(Tableau13[[#This Row],[Date fin intervention]])</f>
        <v>2021</v>
      </c>
      <c r="P1980" s="241"/>
    </row>
    <row r="1981" spans="1:16">
      <c r="A1981" s="238">
        <v>44561</v>
      </c>
      <c r="B1981" s="239">
        <v>601</v>
      </c>
      <c r="C1981" s="240" t="str">
        <f>IF(ISNA(VLOOKUP(Tableau13[[#This Row],[Code machine]],'CODE mchn'!$A$4:$C$170,2,0)),"",VLOOKUP(Tableau13[[#This Row],[Code machine]],'CODE mchn'!$A$4:$C$170,2,0))</f>
        <v>Acier</v>
      </c>
      <c r="D1981" s="241" t="str">
        <f>IF(ISNA(VLOOKUP(Tableau13[[#This Row],[Code machine]],'CODE mchn'!$A$4:$C$170,3,0)),"",VLOOKUP(Tableau13[[#This Row],[Code machine]],'CODE mchn'!$A$4:$C$170,3,0))</f>
        <v>TI 9505/9</v>
      </c>
      <c r="E1981" s="239">
        <v>26306</v>
      </c>
      <c r="F1981" s="241"/>
      <c r="G1981" s="241" t="s">
        <v>1363</v>
      </c>
      <c r="H1981" s="241" t="s">
        <v>3922</v>
      </c>
      <c r="I1981" s="241" t="s">
        <v>13</v>
      </c>
      <c r="J1981" s="249" t="s">
        <v>3923</v>
      </c>
      <c r="K1981" s="242">
        <v>44561</v>
      </c>
      <c r="L1981" s="241"/>
      <c r="M1981" s="243">
        <f>5*60</f>
        <v>300</v>
      </c>
      <c r="N1981" s="243">
        <f>MONTH(Tableau13[[#This Row],[Date fin intervention]])</f>
        <v>12</v>
      </c>
      <c r="O1981" s="243">
        <f>YEAR(Tableau13[[#This Row],[Date fin intervention]])</f>
        <v>2021</v>
      </c>
      <c r="P1981" s="241"/>
    </row>
    <row r="1982" spans="1:16">
      <c r="A1982" s="238">
        <v>44561</v>
      </c>
      <c r="B1982" s="239">
        <v>560</v>
      </c>
      <c r="C1982" s="240" t="str">
        <f>IF(ISNA(VLOOKUP(Tableau13[[#This Row],[Code machine]],'CODE mchn'!$A$4:$C$170,2,0)),"",VLOOKUP(Tableau13[[#This Row],[Code machine]],'CODE mchn'!$A$4:$C$170,2,0))</f>
        <v>Acier</v>
      </c>
      <c r="D1982" s="241" t="str">
        <f>IF(ISNA(VLOOKUP(Tableau13[[#This Row],[Code machine]],'CODE mchn'!$A$4:$C$170,3,0)),"",VLOOKUP(Tableau13[[#This Row],[Code machine]],'CODE mchn'!$A$4:$C$170,3,0))</f>
        <v>Schlatter</v>
      </c>
      <c r="E1982" s="239">
        <v>26307</v>
      </c>
      <c r="F1982" s="241"/>
      <c r="G1982" s="241" t="s">
        <v>161</v>
      </c>
      <c r="H1982" s="241" t="s">
        <v>3924</v>
      </c>
      <c r="I1982" s="241" t="s">
        <v>13</v>
      </c>
      <c r="J1982" s="249" t="s">
        <v>3925</v>
      </c>
      <c r="K1982" s="242">
        <v>44561</v>
      </c>
      <c r="L1982" s="241"/>
      <c r="M1982" s="243">
        <v>120</v>
      </c>
      <c r="N1982" s="243">
        <f>MONTH(Tableau13[[#This Row],[Date fin intervention]])</f>
        <v>12</v>
      </c>
      <c r="O1982" s="243">
        <f>YEAR(Tableau13[[#This Row],[Date fin intervention]])</f>
        <v>2021</v>
      </c>
      <c r="P1982" s="241"/>
    </row>
    <row r="1983" spans="1:16" ht="42.75">
      <c r="A1983" s="238">
        <v>44562</v>
      </c>
      <c r="B1983" s="239">
        <v>581</v>
      </c>
      <c r="C1983" s="240" t="str">
        <f>IF(ISNA(VLOOKUP(Tableau13[[#This Row],[Code machine]],'CODE mchn'!$A$4:$C$170,2,0)),"",VLOOKUP(Tableau13[[#This Row],[Code machine]],'CODE mchn'!$A$4:$C$170,2,0))</f>
        <v>Acier</v>
      </c>
      <c r="D1983" s="241" t="str">
        <f>IF(ISNA(VLOOKUP(Tableau13[[#This Row],[Code machine]],'CODE mchn'!$A$4:$C$170,3,0)),"",VLOOKUP(Tableau13[[#This Row],[Code machine]],'CODE mchn'!$A$4:$C$170,3,0))</f>
        <v>Teurema 1</v>
      </c>
      <c r="E1983" s="239">
        <v>26216</v>
      </c>
      <c r="F1983" s="241"/>
      <c r="G1983" s="241" t="s">
        <v>3790</v>
      </c>
      <c r="H1983" s="241" t="s">
        <v>3789</v>
      </c>
      <c r="I1983" s="241" t="s">
        <v>3287</v>
      </c>
      <c r="J1983" s="249" t="s">
        <v>3731</v>
      </c>
      <c r="K1983" s="242">
        <v>44562</v>
      </c>
      <c r="L1983" s="241"/>
      <c r="M1983" s="243">
        <v>120</v>
      </c>
      <c r="N1983" s="243">
        <f>MONTH(Tableau13[[#This Row],[Date fin intervention]])</f>
        <v>1</v>
      </c>
      <c r="O1983" s="243">
        <f>YEAR(Tableau13[[#This Row],[Date fin intervention]])</f>
        <v>2022</v>
      </c>
      <c r="P1983" s="241"/>
    </row>
    <row r="1984" spans="1:16" ht="42.75">
      <c r="A1984" s="238">
        <v>44562</v>
      </c>
      <c r="B1984" s="239">
        <v>590</v>
      </c>
      <c r="C1984" s="240" t="str">
        <f>IF(ISNA(VLOOKUP(Tableau13[[#This Row],[Code machine]],'CODE mchn'!$A$4:$C$170,2,0)),"",VLOOKUP(Tableau13[[#This Row],[Code machine]],'CODE mchn'!$A$4:$C$170,2,0))</f>
        <v>Acier</v>
      </c>
      <c r="D1984" s="241" t="str">
        <f>IF(ISNA(VLOOKUP(Tableau13[[#This Row],[Code machine]],'CODE mchn'!$A$4:$C$170,3,0)),"",VLOOKUP(Tableau13[[#This Row],[Code machine]],'CODE mchn'!$A$4:$C$170,3,0))</f>
        <v>Teurema 3</v>
      </c>
      <c r="E1984" s="239">
        <v>26217</v>
      </c>
      <c r="F1984" s="241"/>
      <c r="G1984" s="241" t="s">
        <v>3732</v>
      </c>
      <c r="H1984" s="241" t="s">
        <v>3733</v>
      </c>
      <c r="I1984" s="241" t="s">
        <v>3287</v>
      </c>
      <c r="J1984" s="249" t="s">
        <v>3734</v>
      </c>
      <c r="K1984" s="242">
        <v>44562</v>
      </c>
      <c r="L1984" s="241"/>
      <c r="M1984" s="243">
        <v>290</v>
      </c>
      <c r="N1984" s="243">
        <f>MONTH(Tableau13[[#This Row],[Date fin intervention]])</f>
        <v>1</v>
      </c>
      <c r="O1984" s="243">
        <f>YEAR(Tableau13[[#This Row],[Date fin intervention]])</f>
        <v>2022</v>
      </c>
      <c r="P1984" s="241"/>
    </row>
    <row r="1985" spans="1:16" ht="28.5">
      <c r="A1985" s="238">
        <v>44562</v>
      </c>
      <c r="B1985" s="239">
        <v>590</v>
      </c>
      <c r="C1985" s="240" t="str">
        <f>IF(ISNA(VLOOKUP(Tableau13[[#This Row],[Code machine]],'CODE mchn'!$A$4:$C$170,2,0)),"",VLOOKUP(Tableau13[[#This Row],[Code machine]],'CODE mchn'!$A$4:$C$170,2,0))</f>
        <v>Acier</v>
      </c>
      <c r="D1985" s="241" t="str">
        <f>IF(ISNA(VLOOKUP(Tableau13[[#This Row],[Code machine]],'CODE mchn'!$A$4:$C$170,3,0)),"",VLOOKUP(Tableau13[[#This Row],[Code machine]],'CODE mchn'!$A$4:$C$170,3,0))</f>
        <v>Teurema 3</v>
      </c>
      <c r="E1985" s="239">
        <v>26218</v>
      </c>
      <c r="F1985" s="241"/>
      <c r="G1985" s="241" t="s">
        <v>3735</v>
      </c>
      <c r="H1985" s="241" t="s">
        <v>3736</v>
      </c>
      <c r="I1985" s="241" t="s">
        <v>3287</v>
      </c>
      <c r="J1985" s="249" t="s">
        <v>3737</v>
      </c>
      <c r="K1985" s="242">
        <v>44562</v>
      </c>
      <c r="L1985" s="241"/>
      <c r="M1985" s="243">
        <v>120</v>
      </c>
      <c r="N1985" s="243">
        <f>MONTH(Tableau13[[#This Row],[Date fin intervention]])</f>
        <v>1</v>
      </c>
      <c r="O1985" s="243">
        <f>YEAR(Tableau13[[#This Row],[Date fin intervention]])</f>
        <v>2022</v>
      </c>
      <c r="P1985" s="241"/>
    </row>
    <row r="1986" spans="1:16" ht="28.5">
      <c r="A1986" s="238">
        <v>44562</v>
      </c>
      <c r="B1986" s="239">
        <v>590</v>
      </c>
      <c r="C1986" s="240" t="str">
        <f>IF(ISNA(VLOOKUP(Tableau13[[#This Row],[Code machine]],'CODE mchn'!$A$4:$C$170,2,0)),"",VLOOKUP(Tableau13[[#This Row],[Code machine]],'CODE mchn'!$A$4:$C$170,2,0))</f>
        <v>Acier</v>
      </c>
      <c r="D1986" s="241" t="str">
        <f>IF(ISNA(VLOOKUP(Tableau13[[#This Row],[Code machine]],'CODE mchn'!$A$4:$C$170,3,0)),"",VLOOKUP(Tableau13[[#This Row],[Code machine]],'CODE mchn'!$A$4:$C$170,3,0))</f>
        <v>Teurema 3</v>
      </c>
      <c r="E1986" s="239">
        <v>26219</v>
      </c>
      <c r="F1986" s="241"/>
      <c r="G1986" s="241" t="s">
        <v>3738</v>
      </c>
      <c r="H1986" s="241" t="s">
        <v>3739</v>
      </c>
      <c r="I1986" s="241" t="s">
        <v>3287</v>
      </c>
      <c r="J1986" s="249" t="s">
        <v>3740</v>
      </c>
      <c r="K1986" s="242">
        <v>44562</v>
      </c>
      <c r="L1986" s="241"/>
      <c r="M1986" s="243">
        <v>0</v>
      </c>
      <c r="N1986" s="243">
        <f>MONTH(Tableau13[[#This Row],[Date fin intervention]])</f>
        <v>1</v>
      </c>
      <c r="O1986" s="243">
        <f>YEAR(Tableau13[[#This Row],[Date fin intervention]])</f>
        <v>2022</v>
      </c>
      <c r="P1986" s="241"/>
    </row>
    <row r="1987" spans="1:16">
      <c r="A1987" s="238">
        <v>44562</v>
      </c>
      <c r="B1987" s="239">
        <v>565</v>
      </c>
      <c r="C1987" s="240" t="str">
        <f>IF(ISNA(VLOOKUP(Tableau13[[#This Row],[Code machine]],'CODE mchn'!$A$4:$C$170,2,0)),"",VLOOKUP(Tableau13[[#This Row],[Code machine]],'CODE mchn'!$A$4:$C$170,2,0))</f>
        <v>Acier</v>
      </c>
      <c r="D1987" s="241" t="str">
        <f>IF(ISNA(VLOOKUP(Tableau13[[#This Row],[Code machine]],'CODE mchn'!$A$4:$C$170,3,0)),"",VLOOKUP(Tableau13[[#This Row],[Code machine]],'CODE mchn'!$A$4:$C$170,3,0))</f>
        <v>EVG GE12</v>
      </c>
      <c r="E1987" s="239">
        <v>26308</v>
      </c>
      <c r="F1987" s="241"/>
      <c r="G1987" s="241" t="s">
        <v>1720</v>
      </c>
      <c r="H1987" s="241" t="s">
        <v>764</v>
      </c>
      <c r="I1987" s="241" t="s">
        <v>13</v>
      </c>
      <c r="J1987" s="249" t="s">
        <v>585</v>
      </c>
      <c r="K1987" s="242">
        <v>44562</v>
      </c>
      <c r="L1987" s="241"/>
      <c r="M1987" s="243">
        <v>60</v>
      </c>
      <c r="N1987" s="243">
        <f>MONTH(Tableau13[[#This Row],[Date fin intervention]])</f>
        <v>1</v>
      </c>
      <c r="O1987" s="243">
        <f>YEAR(Tableau13[[#This Row],[Date fin intervention]])</f>
        <v>2022</v>
      </c>
      <c r="P1987" s="241"/>
    </row>
    <row r="1988" spans="1:16">
      <c r="A1988" s="238">
        <v>44562</v>
      </c>
      <c r="B1988" s="239">
        <v>700</v>
      </c>
      <c r="C1988" s="240" t="str">
        <f>IF(ISNA(VLOOKUP(Tableau13[[#This Row],[Code machine]],'CODE mchn'!$A$4:$C$170,2,0)),"",VLOOKUP(Tableau13[[#This Row],[Code machine]],'CODE mchn'!$A$4:$C$170,2,0))</f>
        <v>Béton</v>
      </c>
      <c r="D1988" s="241" t="str">
        <f>IF(ISNA(VLOOKUP(Tableau13[[#This Row],[Code machine]],'CODE mchn'!$A$4:$C$170,3,0)),"",VLOOKUP(Tableau13[[#This Row],[Code machine]],'CODE mchn'!$A$4:$C$170,3,0))</f>
        <v>Poyatos 1</v>
      </c>
      <c r="E1988" s="239"/>
      <c r="F1988" s="241"/>
      <c r="G1988" s="241" t="s">
        <v>118</v>
      </c>
      <c r="H1988" s="241" t="s">
        <v>4120</v>
      </c>
      <c r="I1988" s="241" t="s">
        <v>30</v>
      </c>
      <c r="J1988" s="249" t="s">
        <v>4126</v>
      </c>
      <c r="K1988" s="242">
        <v>44562</v>
      </c>
      <c r="L1988" s="241"/>
      <c r="M1988" s="243">
        <v>30</v>
      </c>
      <c r="N1988" s="243">
        <f>MONTH(Tableau13[[#This Row],[Date fin intervention]])</f>
        <v>1</v>
      </c>
      <c r="O1988" s="243">
        <f>YEAR(Tableau13[[#This Row],[Date fin intervention]])</f>
        <v>2022</v>
      </c>
      <c r="P1988" s="241"/>
    </row>
    <row r="1989" spans="1:16" ht="28.5">
      <c r="A1989" s="238">
        <v>44563</v>
      </c>
      <c r="B1989" s="239">
        <v>590</v>
      </c>
      <c r="C1989" s="240" t="str">
        <f>IF(ISNA(VLOOKUP(Tableau13[[#This Row],[Code machine]],'CODE mchn'!$A$4:$C$170,2,0)),"",VLOOKUP(Tableau13[[#This Row],[Code machine]],'CODE mchn'!$A$4:$C$170,2,0))</f>
        <v>Acier</v>
      </c>
      <c r="D1989" s="241" t="str">
        <f>IF(ISNA(VLOOKUP(Tableau13[[#This Row],[Code machine]],'CODE mchn'!$A$4:$C$170,3,0)),"",VLOOKUP(Tableau13[[#This Row],[Code machine]],'CODE mchn'!$A$4:$C$170,3,0))</f>
        <v>Teurema 3</v>
      </c>
      <c r="E1989" s="239">
        <v>26212</v>
      </c>
      <c r="F1989" s="241"/>
      <c r="G1989" s="241" t="s">
        <v>3720</v>
      </c>
      <c r="H1989" s="241" t="s">
        <v>3721</v>
      </c>
      <c r="I1989" s="241" t="s">
        <v>3287</v>
      </c>
      <c r="J1989" s="249" t="s">
        <v>3722</v>
      </c>
      <c r="K1989" s="242">
        <v>44563</v>
      </c>
      <c r="L1989" s="241"/>
      <c r="M1989" s="243">
        <v>0</v>
      </c>
      <c r="N1989" s="243">
        <f>MONTH(Tableau13[[#This Row],[Date fin intervention]])</f>
        <v>1</v>
      </c>
      <c r="O1989" s="243">
        <f>YEAR(Tableau13[[#This Row],[Date fin intervention]])</f>
        <v>2022</v>
      </c>
      <c r="P1989" s="241"/>
    </row>
    <row r="1990" spans="1:16" ht="28.5">
      <c r="A1990" s="238">
        <v>44564</v>
      </c>
      <c r="B1990" s="239">
        <v>590</v>
      </c>
      <c r="C1990" s="240" t="str">
        <f>IF(ISNA(VLOOKUP(Tableau13[[#This Row],[Code machine]],'CODE mchn'!$A$4:$C$170,2,0)),"",VLOOKUP(Tableau13[[#This Row],[Code machine]],'CODE mchn'!$A$4:$C$170,2,0))</f>
        <v>Acier</v>
      </c>
      <c r="D1990" s="241" t="str">
        <f>IF(ISNA(VLOOKUP(Tableau13[[#This Row],[Code machine]],'CODE mchn'!$A$4:$C$170,3,0)),"",VLOOKUP(Tableau13[[#This Row],[Code machine]],'CODE mchn'!$A$4:$C$170,3,0))</f>
        <v>Teurema 3</v>
      </c>
      <c r="E1990" s="239">
        <v>26211</v>
      </c>
      <c r="F1990" s="241"/>
      <c r="G1990" s="241" t="s">
        <v>3717</v>
      </c>
      <c r="H1990" s="241" t="s">
        <v>3718</v>
      </c>
      <c r="I1990" s="241" t="s">
        <v>3287</v>
      </c>
      <c r="J1990" s="249" t="s">
        <v>3719</v>
      </c>
      <c r="K1990" s="242">
        <v>44564</v>
      </c>
      <c r="L1990" s="241"/>
      <c r="M1990" s="243">
        <v>45</v>
      </c>
      <c r="N1990" s="243">
        <f>MONTH(Tableau13[[#This Row],[Date fin intervention]])</f>
        <v>1</v>
      </c>
      <c r="O1990" s="243">
        <f>YEAR(Tableau13[[#This Row],[Date fin intervention]])</f>
        <v>2022</v>
      </c>
      <c r="P1990" s="241"/>
    </row>
    <row r="1991" spans="1:16">
      <c r="A1991" s="238">
        <v>44564</v>
      </c>
      <c r="B1991" s="239">
        <v>800</v>
      </c>
      <c r="C1991" s="240" t="str">
        <f>IF(ISNA(VLOOKUP(Tableau13[[#This Row],[Code machine]],'CODE mchn'!$A$4:$C$170,2,0)),"",VLOOKUP(Tableau13[[#This Row],[Code machine]],'CODE mchn'!$A$4:$C$170,2,0))</f>
        <v>Béton</v>
      </c>
      <c r="D1991" s="241" t="str">
        <f>IF(ISNA(VLOOKUP(Tableau13[[#This Row],[Code machine]],'CODE mchn'!$A$4:$C$170,3,0)),"",VLOOKUP(Tableau13[[#This Row],[Code machine]],'CODE mchn'!$A$4:$C$170,3,0))</f>
        <v>Poyatos 2</v>
      </c>
      <c r="E1991" s="239">
        <v>26163</v>
      </c>
      <c r="F1991" s="241"/>
      <c r="G1991" s="241" t="s">
        <v>3844</v>
      </c>
      <c r="H1991" s="241" t="s">
        <v>3845</v>
      </c>
      <c r="I1991" s="241" t="s">
        <v>13</v>
      </c>
      <c r="J1991" s="249" t="s">
        <v>3846</v>
      </c>
      <c r="K1991" s="242">
        <v>44564</v>
      </c>
      <c r="L1991" s="241"/>
      <c r="M1991" s="243">
        <v>120</v>
      </c>
      <c r="N1991" s="243">
        <f>MONTH(Tableau13[[#This Row],[Date fin intervention]])</f>
        <v>1</v>
      </c>
      <c r="O1991" s="243">
        <f>YEAR(Tableau13[[#This Row],[Date fin intervention]])</f>
        <v>2022</v>
      </c>
      <c r="P1991" s="241"/>
    </row>
    <row r="1992" spans="1:16">
      <c r="A1992" s="238">
        <v>44564</v>
      </c>
      <c r="B1992" s="239">
        <v>700</v>
      </c>
      <c r="C1992" s="240" t="str">
        <f>IF(ISNA(VLOOKUP(Tableau13[[#This Row],[Code machine]],'CODE mchn'!$A$4:$C$170,2,0)),"",VLOOKUP(Tableau13[[#This Row],[Code machine]],'CODE mchn'!$A$4:$C$170,2,0))</f>
        <v>Béton</v>
      </c>
      <c r="D1992" s="241" t="str">
        <f>IF(ISNA(VLOOKUP(Tableau13[[#This Row],[Code machine]],'CODE mchn'!$A$4:$C$170,3,0)),"",VLOOKUP(Tableau13[[#This Row],[Code machine]],'CODE mchn'!$A$4:$C$170,3,0))</f>
        <v>Poyatos 1</v>
      </c>
      <c r="E1992" s="239"/>
      <c r="F1992" s="241"/>
      <c r="G1992" s="241" t="s">
        <v>185</v>
      </c>
      <c r="H1992" s="241" t="s">
        <v>4120</v>
      </c>
      <c r="I1992" s="241" t="s">
        <v>30</v>
      </c>
      <c r="J1992" s="249" t="s">
        <v>4125</v>
      </c>
      <c r="K1992" s="242">
        <v>44564</v>
      </c>
      <c r="L1992" s="241"/>
      <c r="M1992" s="243">
        <v>30</v>
      </c>
      <c r="N1992" s="243">
        <f>MONTH(Tableau13[[#This Row],[Date fin intervention]])</f>
        <v>1</v>
      </c>
      <c r="O1992" s="243">
        <f>YEAR(Tableau13[[#This Row],[Date fin intervention]])</f>
        <v>2022</v>
      </c>
      <c r="P1992" s="241"/>
    </row>
    <row r="1993" spans="1:16" ht="28.5">
      <c r="A1993" s="238">
        <v>44565</v>
      </c>
      <c r="B1993" s="239">
        <v>581</v>
      </c>
      <c r="C1993" s="240" t="str">
        <f>IF(ISNA(VLOOKUP(Tableau13[[#This Row],[Code machine]],'CODE mchn'!$A$4:$C$170,2,0)),"",VLOOKUP(Tableau13[[#This Row],[Code machine]],'CODE mchn'!$A$4:$C$170,2,0))</f>
        <v>Acier</v>
      </c>
      <c r="D1993" s="241" t="str">
        <f>IF(ISNA(VLOOKUP(Tableau13[[#This Row],[Code machine]],'CODE mchn'!$A$4:$C$170,3,0)),"",VLOOKUP(Tableau13[[#This Row],[Code machine]],'CODE mchn'!$A$4:$C$170,3,0))</f>
        <v>Teurema 1</v>
      </c>
      <c r="E1993" s="239">
        <v>26209</v>
      </c>
      <c r="F1993" s="241"/>
      <c r="G1993" s="241" t="s">
        <v>3711</v>
      </c>
      <c r="H1993" s="241" t="s">
        <v>3712</v>
      </c>
      <c r="I1993" s="241" t="s">
        <v>3287</v>
      </c>
      <c r="J1993" s="249" t="s">
        <v>3713</v>
      </c>
      <c r="K1993" s="242">
        <v>44565</v>
      </c>
      <c r="L1993" s="241"/>
      <c r="M1993" s="243">
        <v>0</v>
      </c>
      <c r="N1993" s="243">
        <f>MONTH(Tableau13[[#This Row],[Date fin intervention]])</f>
        <v>1</v>
      </c>
      <c r="O1993" s="243">
        <f>YEAR(Tableau13[[#This Row],[Date fin intervention]])</f>
        <v>2022</v>
      </c>
      <c r="P1993" s="241"/>
    </row>
    <row r="1994" spans="1:16">
      <c r="A1994" s="238">
        <v>44565</v>
      </c>
      <c r="B1994" s="239">
        <v>800</v>
      </c>
      <c r="C1994" s="240" t="str">
        <f>IF(ISNA(VLOOKUP(Tableau13[[#This Row],[Code machine]],'CODE mchn'!$A$4:$C$170,2,0)),"",VLOOKUP(Tableau13[[#This Row],[Code machine]],'CODE mchn'!$A$4:$C$170,2,0))</f>
        <v>Béton</v>
      </c>
      <c r="D1994" s="241" t="str">
        <f>IF(ISNA(VLOOKUP(Tableau13[[#This Row],[Code machine]],'CODE mchn'!$A$4:$C$170,3,0)),"",VLOOKUP(Tableau13[[#This Row],[Code machine]],'CODE mchn'!$A$4:$C$170,3,0))</f>
        <v>Poyatos 2</v>
      </c>
      <c r="E1994" s="239">
        <v>26251</v>
      </c>
      <c r="F1994" s="241"/>
      <c r="G1994" s="241" t="s">
        <v>128</v>
      </c>
      <c r="H1994" s="241" t="s">
        <v>3830</v>
      </c>
      <c r="I1994" s="241" t="s">
        <v>101</v>
      </c>
      <c r="J1994" s="249" t="s">
        <v>3831</v>
      </c>
      <c r="K1994" s="242">
        <v>44565</v>
      </c>
      <c r="L1994" s="241"/>
      <c r="M1994" s="243">
        <f>3*60</f>
        <v>180</v>
      </c>
      <c r="N1994" s="243">
        <f>MONTH(Tableau13[[#This Row],[Date fin intervention]])</f>
        <v>1</v>
      </c>
      <c r="O1994" s="243">
        <f>YEAR(Tableau13[[#This Row],[Date fin intervention]])</f>
        <v>2022</v>
      </c>
      <c r="P1994" s="241"/>
    </row>
    <row r="1995" spans="1:16" ht="57">
      <c r="A1995" s="238">
        <v>44566</v>
      </c>
      <c r="B1995" s="239">
        <v>700</v>
      </c>
      <c r="C1995" s="240" t="str">
        <f>IF(ISNA(VLOOKUP(Tableau13[[#This Row],[Code machine]],'CODE mchn'!$A$4:$C$170,2,0)),"",VLOOKUP(Tableau13[[#This Row],[Code machine]],'CODE mchn'!$A$4:$C$170,2,0))</f>
        <v>Béton</v>
      </c>
      <c r="D1995" s="241" t="str">
        <f>IF(ISNA(VLOOKUP(Tableau13[[#This Row],[Code machine]],'CODE mchn'!$A$4:$C$170,3,0)),"",VLOOKUP(Tableau13[[#This Row],[Code machine]],'CODE mchn'!$A$4:$C$170,3,0))</f>
        <v>Poyatos 1</v>
      </c>
      <c r="E1995" s="239">
        <v>26157</v>
      </c>
      <c r="F1995" s="241"/>
      <c r="G1995" s="241" t="s">
        <v>3309</v>
      </c>
      <c r="H1995" s="241" t="s">
        <v>3310</v>
      </c>
      <c r="I1995" s="241" t="s">
        <v>3291</v>
      </c>
      <c r="J1995" s="249" t="s">
        <v>3311</v>
      </c>
      <c r="K1995" s="242">
        <v>44566</v>
      </c>
      <c r="L1995" s="241"/>
      <c r="M1995" s="243">
        <v>240</v>
      </c>
      <c r="N1995" s="243">
        <f>MONTH(Tableau13[[#This Row],[Date fin intervention]])</f>
        <v>1</v>
      </c>
      <c r="O1995" s="243">
        <f>YEAR(Tableau13[[#This Row],[Date fin intervention]])</f>
        <v>2022</v>
      </c>
      <c r="P1995" s="241"/>
    </row>
    <row r="1996" spans="1:16">
      <c r="A1996" s="238">
        <v>44566</v>
      </c>
      <c r="B1996" s="239">
        <v>606</v>
      </c>
      <c r="C1996" s="240" t="str">
        <f>IF(ISNA(VLOOKUP(Tableau13[[#This Row],[Code machine]],'CODE mchn'!$A$4:$C$170,2,0)),"",VLOOKUP(Tableau13[[#This Row],[Code machine]],'CODE mchn'!$A$4:$C$170,2,0))</f>
        <v>Acier</v>
      </c>
      <c r="D1996" s="241" t="str">
        <f>IF(ISNA(VLOOKUP(Tableau13[[#This Row],[Code machine]],'CODE mchn'!$A$4:$C$170,3,0)),"",VLOOKUP(Tableau13[[#This Row],[Code machine]],'CODE mchn'!$A$4:$C$170,3,0))</f>
        <v>Vitari 2</v>
      </c>
      <c r="E1996" s="239">
        <v>26252</v>
      </c>
      <c r="F1996" s="241"/>
      <c r="G1996" s="241" t="s">
        <v>3832</v>
      </c>
      <c r="H1996" s="241" t="s">
        <v>3833</v>
      </c>
      <c r="I1996" s="241" t="s">
        <v>13</v>
      </c>
      <c r="J1996" s="249" t="s">
        <v>3834</v>
      </c>
      <c r="K1996" s="242">
        <v>44566</v>
      </c>
      <c r="L1996" s="241"/>
      <c r="M1996" s="243">
        <v>30</v>
      </c>
      <c r="N1996" s="243">
        <f>MONTH(Tableau13[[#This Row],[Date fin intervention]])</f>
        <v>1</v>
      </c>
      <c r="O1996" s="243">
        <f>YEAR(Tableau13[[#This Row],[Date fin intervention]])</f>
        <v>2022</v>
      </c>
      <c r="P1996" s="241"/>
    </row>
    <row r="1997" spans="1:16">
      <c r="A1997" s="238">
        <v>44567</v>
      </c>
      <c r="B1997" s="239">
        <v>590</v>
      </c>
      <c r="C1997" s="240" t="str">
        <f>IF(ISNA(VLOOKUP(Tableau13[[#This Row],[Code machine]],'CODE mchn'!$A$4:$C$170,2,0)),"",VLOOKUP(Tableau13[[#This Row],[Code machine]],'CODE mchn'!$A$4:$C$170,2,0))</f>
        <v>Acier</v>
      </c>
      <c r="D1997" s="241" t="str">
        <f>IF(ISNA(VLOOKUP(Tableau13[[#This Row],[Code machine]],'CODE mchn'!$A$4:$C$170,3,0)),"",VLOOKUP(Tableau13[[#This Row],[Code machine]],'CODE mchn'!$A$4:$C$170,3,0))</f>
        <v>Teurema 3</v>
      </c>
      <c r="E1997" s="239">
        <v>26220</v>
      </c>
      <c r="F1997" s="241"/>
      <c r="G1997" s="241" t="s">
        <v>3741</v>
      </c>
      <c r="H1997" s="241" t="s">
        <v>3742</v>
      </c>
      <c r="I1997" s="241" t="s">
        <v>3287</v>
      </c>
      <c r="J1997" s="249" t="s">
        <v>3743</v>
      </c>
      <c r="K1997" s="242">
        <v>44567</v>
      </c>
      <c r="L1997" s="241"/>
      <c r="M1997" s="243">
        <v>60</v>
      </c>
      <c r="N1997" s="243">
        <f>MONTH(Tableau13[[#This Row],[Date fin intervention]])</f>
        <v>1</v>
      </c>
      <c r="O1997" s="243">
        <f>YEAR(Tableau13[[#This Row],[Date fin intervention]])</f>
        <v>2022</v>
      </c>
      <c r="P1997" s="241"/>
    </row>
    <row r="1998" spans="1:16" ht="57">
      <c r="A1998" s="238">
        <v>44567</v>
      </c>
      <c r="B1998" s="239">
        <v>590</v>
      </c>
      <c r="C1998" s="240" t="str">
        <f>IF(ISNA(VLOOKUP(Tableau13[[#This Row],[Code machine]],'CODE mchn'!$A$4:$C$170,2,0)),"",VLOOKUP(Tableau13[[#This Row],[Code machine]],'CODE mchn'!$A$4:$C$170,2,0))</f>
        <v>Acier</v>
      </c>
      <c r="D1998" s="241" t="str">
        <f>IF(ISNA(VLOOKUP(Tableau13[[#This Row],[Code machine]],'CODE mchn'!$A$4:$C$170,3,0)),"",VLOOKUP(Tableau13[[#This Row],[Code machine]],'CODE mchn'!$A$4:$C$170,3,0))</f>
        <v>Teurema 3</v>
      </c>
      <c r="E1998" s="239">
        <v>26221</v>
      </c>
      <c r="F1998" s="241"/>
      <c r="G1998" s="241" t="s">
        <v>3744</v>
      </c>
      <c r="H1998" s="241" t="s">
        <v>3745</v>
      </c>
      <c r="I1998" s="241" t="s">
        <v>3287</v>
      </c>
      <c r="J1998" s="249" t="s">
        <v>3746</v>
      </c>
      <c r="K1998" s="242">
        <v>44567</v>
      </c>
      <c r="L1998" s="241"/>
      <c r="M1998" s="243">
        <v>0</v>
      </c>
      <c r="N1998" s="243">
        <f>MONTH(Tableau13[[#This Row],[Date fin intervention]])</f>
        <v>1</v>
      </c>
      <c r="O1998" s="243">
        <f>YEAR(Tableau13[[#This Row],[Date fin intervention]])</f>
        <v>2022</v>
      </c>
      <c r="P1998" s="241"/>
    </row>
    <row r="1999" spans="1:16">
      <c r="A1999" s="238">
        <v>44567</v>
      </c>
      <c r="B1999" s="239">
        <v>565</v>
      </c>
      <c r="C1999" s="240" t="str">
        <f>IF(ISNA(VLOOKUP(Tableau13[[#This Row],[Code machine]],'CODE mchn'!$A$4:$C$170,2,0)),"",VLOOKUP(Tableau13[[#This Row],[Code machine]],'CODE mchn'!$A$4:$C$170,2,0))</f>
        <v>Acier</v>
      </c>
      <c r="D1999" s="241" t="str">
        <f>IF(ISNA(VLOOKUP(Tableau13[[#This Row],[Code machine]],'CODE mchn'!$A$4:$C$170,3,0)),"",VLOOKUP(Tableau13[[#This Row],[Code machine]],'CODE mchn'!$A$4:$C$170,3,0))</f>
        <v>EVG GE12</v>
      </c>
      <c r="E1999" s="239">
        <v>26312</v>
      </c>
      <c r="F1999" s="241"/>
      <c r="G1999" s="241" t="s">
        <v>463</v>
      </c>
      <c r="H1999" s="241" t="s">
        <v>3922</v>
      </c>
      <c r="I1999" s="241" t="s">
        <v>101</v>
      </c>
      <c r="J1999" s="249" t="s">
        <v>4043</v>
      </c>
      <c r="K1999" s="242">
        <v>44571</v>
      </c>
      <c r="L1999" s="241"/>
      <c r="M1999" s="243">
        <f>3*60</f>
        <v>180</v>
      </c>
      <c r="N1999" s="243">
        <f>MONTH(Tableau13[[#This Row],[Date fin intervention]])</f>
        <v>1</v>
      </c>
      <c r="O1999" s="243">
        <f>YEAR(Tableau13[[#This Row],[Date fin intervention]])</f>
        <v>2022</v>
      </c>
      <c r="P1999" s="241"/>
    </row>
    <row r="2000" spans="1:16">
      <c r="A2000" s="238">
        <v>44568</v>
      </c>
      <c r="B2000" s="239">
        <v>601</v>
      </c>
      <c r="C2000" s="240" t="str">
        <f>IF(ISNA(VLOOKUP(Tableau13[[#This Row],[Code machine]],'CODE mchn'!$A$4:$C$170,2,0)),"",VLOOKUP(Tableau13[[#This Row],[Code machine]],'CODE mchn'!$A$4:$C$170,2,0))</f>
        <v>Acier</v>
      </c>
      <c r="D2000" s="241" t="str">
        <f>IF(ISNA(VLOOKUP(Tableau13[[#This Row],[Code machine]],'CODE mchn'!$A$4:$C$170,3,0)),"",VLOOKUP(Tableau13[[#This Row],[Code machine]],'CODE mchn'!$A$4:$C$170,3,0))</f>
        <v>TI 9505/9</v>
      </c>
      <c r="E2000" s="239">
        <v>26309</v>
      </c>
      <c r="F2000" s="241"/>
      <c r="G2000" s="241" t="s">
        <v>10</v>
      </c>
      <c r="H2000" s="241" t="s">
        <v>4039</v>
      </c>
      <c r="I2000" s="241" t="s">
        <v>13</v>
      </c>
      <c r="J2000" s="249" t="s">
        <v>4040</v>
      </c>
      <c r="K2000" s="242">
        <v>44568</v>
      </c>
      <c r="L2000" s="241"/>
      <c r="M2000" s="243">
        <v>55</v>
      </c>
      <c r="N2000" s="243">
        <f>MONTH(Tableau13[[#This Row],[Date fin intervention]])</f>
        <v>1</v>
      </c>
      <c r="O2000" s="243">
        <f>YEAR(Tableau13[[#This Row],[Date fin intervention]])</f>
        <v>2022</v>
      </c>
      <c r="P2000" s="241"/>
    </row>
    <row r="2001" spans="1:16" ht="42.75">
      <c r="A2001" s="238">
        <v>44569</v>
      </c>
      <c r="B2001" s="239">
        <v>581</v>
      </c>
      <c r="C2001" s="240" t="str">
        <f>IF(ISNA(VLOOKUP(Tableau13[[#This Row],[Code machine]],'CODE mchn'!$A$4:$C$170,2,0)),"",VLOOKUP(Tableau13[[#This Row],[Code machine]],'CODE mchn'!$A$4:$C$170,2,0))</f>
        <v>Acier</v>
      </c>
      <c r="D2001" s="241" t="str">
        <f>IF(ISNA(VLOOKUP(Tableau13[[#This Row],[Code machine]],'CODE mchn'!$A$4:$C$170,3,0)),"",VLOOKUP(Tableau13[[#This Row],[Code machine]],'CODE mchn'!$A$4:$C$170,3,0))</f>
        <v>Teurema 1</v>
      </c>
      <c r="E2001" s="239">
        <v>26222</v>
      </c>
      <c r="F2001" s="241"/>
      <c r="G2001" s="241" t="s">
        <v>3747</v>
      </c>
      <c r="H2001" s="241" t="s">
        <v>3748</v>
      </c>
      <c r="I2001" s="241" t="s">
        <v>3287</v>
      </c>
      <c r="J2001" s="249" t="s">
        <v>3749</v>
      </c>
      <c r="K2001" s="242">
        <v>44569</v>
      </c>
      <c r="L2001" s="241"/>
      <c r="M2001" s="243">
        <f>8*60</f>
        <v>480</v>
      </c>
      <c r="N2001" s="243">
        <f>MONTH(Tableau13[[#This Row],[Date fin intervention]])</f>
        <v>1</v>
      </c>
      <c r="O2001" s="243">
        <f>YEAR(Tableau13[[#This Row],[Date fin intervention]])</f>
        <v>2022</v>
      </c>
      <c r="P2001" s="241"/>
    </row>
    <row r="2002" spans="1:16" ht="28.5">
      <c r="A2002" s="238">
        <v>44569</v>
      </c>
      <c r="B2002" s="239">
        <v>590</v>
      </c>
      <c r="C2002" s="240" t="str">
        <f>IF(ISNA(VLOOKUP(Tableau13[[#This Row],[Code machine]],'CODE mchn'!$A$4:$C$170,2,0)),"",VLOOKUP(Tableau13[[#This Row],[Code machine]],'CODE mchn'!$A$4:$C$170,2,0))</f>
        <v>Acier</v>
      </c>
      <c r="D2002" s="241" t="str">
        <f>IF(ISNA(VLOOKUP(Tableau13[[#This Row],[Code machine]],'CODE mchn'!$A$4:$C$170,3,0)),"",VLOOKUP(Tableau13[[#This Row],[Code machine]],'CODE mchn'!$A$4:$C$170,3,0))</f>
        <v>Teurema 3</v>
      </c>
      <c r="E2002" s="239">
        <v>26223</v>
      </c>
      <c r="F2002" s="241"/>
      <c r="G2002" s="241" t="s">
        <v>3750</v>
      </c>
      <c r="H2002" s="241" t="s">
        <v>3751</v>
      </c>
      <c r="I2002" s="241" t="s">
        <v>3287</v>
      </c>
      <c r="J2002" s="249" t="s">
        <v>3752</v>
      </c>
      <c r="K2002" s="242">
        <v>44569</v>
      </c>
      <c r="L2002" s="241"/>
      <c r="M2002" s="243">
        <v>120</v>
      </c>
      <c r="N2002" s="243">
        <f>MONTH(Tableau13[[#This Row],[Date fin intervention]])</f>
        <v>1</v>
      </c>
      <c r="O2002" s="243">
        <f>YEAR(Tableau13[[#This Row],[Date fin intervention]])</f>
        <v>2022</v>
      </c>
      <c r="P2002" s="241"/>
    </row>
    <row r="2003" spans="1:16" ht="28.5">
      <c r="A2003" s="238">
        <v>44569</v>
      </c>
      <c r="B2003" s="239">
        <v>581</v>
      </c>
      <c r="C2003" s="240" t="str">
        <f>IF(ISNA(VLOOKUP(Tableau13[[#This Row],[Code machine]],'CODE mchn'!$A$4:$C$170,2,0)),"",VLOOKUP(Tableau13[[#This Row],[Code machine]],'CODE mchn'!$A$4:$C$170,2,0))</f>
        <v>Acier</v>
      </c>
      <c r="D2003" s="241" t="str">
        <f>IF(ISNA(VLOOKUP(Tableau13[[#This Row],[Code machine]],'CODE mchn'!$A$4:$C$170,3,0)),"",VLOOKUP(Tableau13[[#This Row],[Code machine]],'CODE mchn'!$A$4:$C$170,3,0))</f>
        <v>Teurema 1</v>
      </c>
      <c r="E2003" s="239">
        <v>26224</v>
      </c>
      <c r="F2003" s="241"/>
      <c r="G2003" s="241" t="s">
        <v>3753</v>
      </c>
      <c r="H2003" s="241" t="s">
        <v>3754</v>
      </c>
      <c r="I2003" s="241" t="s">
        <v>3755</v>
      </c>
      <c r="J2003" s="249" t="s">
        <v>3756</v>
      </c>
      <c r="K2003" s="242">
        <v>44569</v>
      </c>
      <c r="L2003" s="241"/>
      <c r="M2003" s="243">
        <v>0</v>
      </c>
      <c r="N2003" s="243">
        <f>MONTH(Tableau13[[#This Row],[Date fin intervention]])</f>
        <v>1</v>
      </c>
      <c r="O2003" s="243">
        <f>YEAR(Tableau13[[#This Row],[Date fin intervention]])</f>
        <v>2022</v>
      </c>
      <c r="P2003" s="241"/>
    </row>
    <row r="2004" spans="1:16">
      <c r="A2004" s="238">
        <v>44569</v>
      </c>
      <c r="B2004" s="239">
        <v>581</v>
      </c>
      <c r="C2004" s="240" t="str">
        <f>IF(ISNA(VLOOKUP(Tableau13[[#This Row],[Code machine]],'CODE mchn'!$A$4:$C$170,2,0)),"",VLOOKUP(Tableau13[[#This Row],[Code machine]],'CODE mchn'!$A$4:$C$170,2,0))</f>
        <v>Acier</v>
      </c>
      <c r="D2004" s="241" t="str">
        <f>IF(ISNA(VLOOKUP(Tableau13[[#This Row],[Code machine]],'CODE mchn'!$A$4:$C$170,3,0)),"",VLOOKUP(Tableau13[[#This Row],[Code machine]],'CODE mchn'!$A$4:$C$170,3,0))</f>
        <v>Teurema 1</v>
      </c>
      <c r="E2004" s="239">
        <v>26523</v>
      </c>
      <c r="F2004" s="241"/>
      <c r="G2004" s="241" t="s">
        <v>2599</v>
      </c>
      <c r="H2004" s="241" t="s">
        <v>408</v>
      </c>
      <c r="I2004" s="241" t="s">
        <v>13</v>
      </c>
      <c r="J2004" s="249" t="s">
        <v>1669</v>
      </c>
      <c r="K2004" s="242">
        <v>44569</v>
      </c>
      <c r="L2004" s="241"/>
      <c r="M2004" s="243">
        <v>60</v>
      </c>
      <c r="N2004" s="243">
        <f>MONTH(Tableau13[[#This Row],[Date fin intervention]])</f>
        <v>1</v>
      </c>
      <c r="O2004" s="243">
        <f>YEAR(Tableau13[[#This Row],[Date fin intervention]])</f>
        <v>2022</v>
      </c>
      <c r="P2004" s="241"/>
    </row>
    <row r="2005" spans="1:16">
      <c r="A2005" s="238">
        <v>44569</v>
      </c>
      <c r="B2005" s="239">
        <v>573</v>
      </c>
      <c r="C2005" s="240" t="str">
        <f>IF(ISNA(VLOOKUP(Tableau13[[#This Row],[Code machine]],'CODE mchn'!$A$4:$C$170,2,0)),"",VLOOKUP(Tableau13[[#This Row],[Code machine]],'CODE mchn'!$A$4:$C$170,2,0))</f>
        <v>Ponts roulants</v>
      </c>
      <c r="D2005" s="241" t="str">
        <f>IF(ISNA(VLOOKUP(Tableau13[[#This Row],[Code machine]],'CODE mchn'!$A$4:$C$170,3,0)),"",VLOOKUP(Tableau13[[#This Row],[Code machine]],'CODE mchn'!$A$4:$C$170,3,0))</f>
        <v xml:space="preserve">Pont roulant Demag 1 3,5T </v>
      </c>
      <c r="E2005" s="239">
        <v>26310</v>
      </c>
      <c r="F2005" s="241"/>
      <c r="G2005" s="241" t="s">
        <v>35</v>
      </c>
      <c r="H2005" s="241" t="s">
        <v>4041</v>
      </c>
      <c r="I2005" s="241" t="s">
        <v>13</v>
      </c>
      <c r="J2005" s="249" t="s">
        <v>4042</v>
      </c>
      <c r="K2005" s="242">
        <v>44569</v>
      </c>
      <c r="L2005" s="241"/>
      <c r="M2005" s="243">
        <v>120</v>
      </c>
      <c r="N2005" s="243">
        <f>MONTH(Tableau13[[#This Row],[Date fin intervention]])</f>
        <v>1</v>
      </c>
      <c r="O2005" s="243">
        <f>YEAR(Tableau13[[#This Row],[Date fin intervention]])</f>
        <v>2022</v>
      </c>
      <c r="P2005" s="241"/>
    </row>
    <row r="2006" spans="1:16" ht="57">
      <c r="A2006" s="238">
        <v>44570</v>
      </c>
      <c r="B2006" s="239">
        <v>590</v>
      </c>
      <c r="C2006" s="240" t="str">
        <f>IF(ISNA(VLOOKUP(Tableau13[[#This Row],[Code machine]],'CODE mchn'!$A$4:$C$170,2,0)),"",VLOOKUP(Tableau13[[#This Row],[Code machine]],'CODE mchn'!$A$4:$C$170,2,0))</f>
        <v>Acier</v>
      </c>
      <c r="D2006" s="241" t="str">
        <f>IF(ISNA(VLOOKUP(Tableau13[[#This Row],[Code machine]],'CODE mchn'!$A$4:$C$170,3,0)),"",VLOOKUP(Tableau13[[#This Row],[Code machine]],'CODE mchn'!$A$4:$C$170,3,0))</f>
        <v>Teurema 3</v>
      </c>
      <c r="E2006" s="239">
        <v>26225</v>
      </c>
      <c r="F2006" s="241"/>
      <c r="G2006" s="241" t="s">
        <v>3757</v>
      </c>
      <c r="H2006" s="241" t="s">
        <v>3758</v>
      </c>
      <c r="I2006" s="241" t="s">
        <v>3287</v>
      </c>
      <c r="J2006" s="249" t="s">
        <v>3759</v>
      </c>
      <c r="K2006" s="242">
        <v>44570</v>
      </c>
      <c r="L2006" s="241"/>
      <c r="M2006" s="243">
        <v>0</v>
      </c>
      <c r="N2006" s="243">
        <f>MONTH(Tableau13[[#This Row],[Date fin intervention]])</f>
        <v>1</v>
      </c>
      <c r="O2006" s="243">
        <f>YEAR(Tableau13[[#This Row],[Date fin intervention]])</f>
        <v>2022</v>
      </c>
      <c r="P2006" s="241"/>
    </row>
    <row r="2007" spans="1:16" ht="28.5">
      <c r="A2007" s="238">
        <v>44571</v>
      </c>
      <c r="B2007" s="239">
        <v>581</v>
      </c>
      <c r="C2007" s="240" t="str">
        <f>IF(ISNA(VLOOKUP(Tableau13[[#This Row],[Code machine]],'CODE mchn'!$A$4:$C$170,2,0)),"",VLOOKUP(Tableau13[[#This Row],[Code machine]],'CODE mchn'!$A$4:$C$170,2,0))</f>
        <v>Acier</v>
      </c>
      <c r="D2007" s="241" t="str">
        <f>IF(ISNA(VLOOKUP(Tableau13[[#This Row],[Code machine]],'CODE mchn'!$A$4:$C$170,3,0)),"",VLOOKUP(Tableau13[[#This Row],[Code machine]],'CODE mchn'!$A$4:$C$170,3,0))</f>
        <v>Teurema 1</v>
      </c>
      <c r="E2007" s="239">
        <v>26226</v>
      </c>
      <c r="F2007" s="241"/>
      <c r="G2007" s="241" t="s">
        <v>3760</v>
      </c>
      <c r="H2007" s="241" t="s">
        <v>3761</v>
      </c>
      <c r="I2007" s="241" t="s">
        <v>3287</v>
      </c>
      <c r="J2007" s="249" t="s">
        <v>3762</v>
      </c>
      <c r="K2007" s="242">
        <v>44571</v>
      </c>
      <c r="L2007" s="241"/>
      <c r="M2007" s="243">
        <v>0</v>
      </c>
      <c r="N2007" s="243">
        <f>MONTH(Tableau13[[#This Row],[Date fin intervention]])</f>
        <v>1</v>
      </c>
      <c r="O2007" s="243">
        <f>YEAR(Tableau13[[#This Row],[Date fin intervention]])</f>
        <v>2022</v>
      </c>
      <c r="P2007" s="241"/>
    </row>
    <row r="2008" spans="1:16" ht="28.5">
      <c r="A2008" s="238">
        <v>44571</v>
      </c>
      <c r="B2008" s="239">
        <v>590</v>
      </c>
      <c r="C2008" s="240" t="str">
        <f>IF(ISNA(VLOOKUP(Tableau13[[#This Row],[Code machine]],'CODE mchn'!$A$4:$C$170,2,0)),"",VLOOKUP(Tableau13[[#This Row],[Code machine]],'CODE mchn'!$A$4:$C$170,2,0))</f>
        <v>Acier</v>
      </c>
      <c r="D2008" s="241" t="str">
        <f>IF(ISNA(VLOOKUP(Tableau13[[#This Row],[Code machine]],'CODE mchn'!$A$4:$C$170,3,0)),"",VLOOKUP(Tableau13[[#This Row],[Code machine]],'CODE mchn'!$A$4:$C$170,3,0))</f>
        <v>Teurema 3</v>
      </c>
      <c r="E2008" s="239">
        <v>26227</v>
      </c>
      <c r="F2008" s="241"/>
      <c r="G2008" s="241" t="s">
        <v>3757</v>
      </c>
      <c r="H2008" s="241" t="s">
        <v>3763</v>
      </c>
      <c r="I2008" s="241" t="s">
        <v>3764</v>
      </c>
      <c r="J2008" s="249" t="s">
        <v>3765</v>
      </c>
      <c r="K2008" s="242">
        <v>44571</v>
      </c>
      <c r="L2008" s="241"/>
      <c r="M2008" s="243">
        <v>60</v>
      </c>
      <c r="N2008" s="243">
        <f>MONTH(Tableau13[[#This Row],[Date fin intervention]])</f>
        <v>1</v>
      </c>
      <c r="O2008" s="243">
        <f>YEAR(Tableau13[[#This Row],[Date fin intervention]])</f>
        <v>2022</v>
      </c>
      <c r="P2008" s="241"/>
    </row>
    <row r="2009" spans="1:16">
      <c r="A2009" s="238">
        <v>44571</v>
      </c>
      <c r="B2009" s="239">
        <v>590</v>
      </c>
      <c r="C2009" s="240" t="str">
        <f>IF(ISNA(VLOOKUP(Tableau13[[#This Row],[Code machine]],'CODE mchn'!$A$4:$C$170,2,0)),"",VLOOKUP(Tableau13[[#This Row],[Code machine]],'CODE mchn'!$A$4:$C$170,2,0))</f>
        <v>Acier</v>
      </c>
      <c r="D2009" s="241" t="str">
        <f>IF(ISNA(VLOOKUP(Tableau13[[#This Row],[Code machine]],'CODE mchn'!$A$4:$C$170,3,0)),"",VLOOKUP(Tableau13[[#This Row],[Code machine]],'CODE mchn'!$A$4:$C$170,3,0))</f>
        <v>Teurema 3</v>
      </c>
      <c r="E2009" s="239">
        <v>26254</v>
      </c>
      <c r="F2009" s="241"/>
      <c r="G2009" s="241" t="s">
        <v>70</v>
      </c>
      <c r="H2009" s="241" t="s">
        <v>3835</v>
      </c>
      <c r="I2009" s="241" t="s">
        <v>13</v>
      </c>
      <c r="J2009" s="249" t="s">
        <v>3836</v>
      </c>
      <c r="K2009" s="242">
        <v>44571</v>
      </c>
      <c r="L2009" s="241"/>
      <c r="M2009" s="243">
        <v>60</v>
      </c>
      <c r="N2009" s="243">
        <f>MONTH(Tableau13[[#This Row],[Date fin intervention]])</f>
        <v>1</v>
      </c>
      <c r="O2009" s="243">
        <f>YEAR(Tableau13[[#This Row],[Date fin intervention]])</f>
        <v>2022</v>
      </c>
      <c r="P2009" s="241"/>
    </row>
    <row r="2010" spans="1:16">
      <c r="A2010" s="238">
        <v>44571</v>
      </c>
      <c r="B2010" s="239">
        <v>561</v>
      </c>
      <c r="C2010" s="240" t="str">
        <f>IF(ISNA(VLOOKUP(Tableau13[[#This Row],[Code machine]],'CODE mchn'!$A$4:$C$170,2,0)),"",VLOOKUP(Tableau13[[#This Row],[Code machine]],'CODE mchn'!$A$4:$C$170,2,0))</f>
        <v>Ponts roulants</v>
      </c>
      <c r="D2010" s="241" t="str">
        <f>IF(ISNA(VLOOKUP(Tableau13[[#This Row],[Code machine]],'CODE mchn'!$A$4:$C$170,3,0)),"",VLOOKUP(Tableau13[[#This Row],[Code machine]],'CODE mchn'!$A$4:$C$170,3,0))</f>
        <v>Pont roulant Demag 5T TS</v>
      </c>
      <c r="E2010" s="239">
        <v>26255</v>
      </c>
      <c r="F2010" s="241"/>
      <c r="G2010" s="241" t="s">
        <v>778</v>
      </c>
      <c r="H2010" s="241" t="s">
        <v>3837</v>
      </c>
      <c r="I2010" s="241" t="s">
        <v>13</v>
      </c>
      <c r="J2010" s="249" t="s">
        <v>3796</v>
      </c>
      <c r="K2010" s="242">
        <v>44571</v>
      </c>
      <c r="L2010" s="241"/>
      <c r="M2010" s="243">
        <v>45</v>
      </c>
      <c r="N2010" s="243">
        <f>MONTH(Tableau13[[#This Row],[Date fin intervention]])</f>
        <v>1</v>
      </c>
      <c r="O2010" s="243">
        <f>YEAR(Tableau13[[#This Row],[Date fin intervention]])</f>
        <v>2022</v>
      </c>
      <c r="P2010" s="241"/>
    </row>
    <row r="2011" spans="1:16" ht="28.5">
      <c r="A2011" s="238">
        <v>44571</v>
      </c>
      <c r="B2011" s="239">
        <v>560</v>
      </c>
      <c r="C2011" s="240" t="str">
        <f>IF(ISNA(VLOOKUP(Tableau13[[#This Row],[Code machine]],'CODE mchn'!$A$4:$C$170,2,0)),"",VLOOKUP(Tableau13[[#This Row],[Code machine]],'CODE mchn'!$A$4:$C$170,2,0))</f>
        <v>Acier</v>
      </c>
      <c r="D2011" s="241" t="str">
        <f>IF(ISNA(VLOOKUP(Tableau13[[#This Row],[Code machine]],'CODE mchn'!$A$4:$C$170,3,0)),"",VLOOKUP(Tableau13[[#This Row],[Code machine]],'CODE mchn'!$A$4:$C$170,3,0))</f>
        <v>Schlatter</v>
      </c>
      <c r="E2011" s="239">
        <v>26315</v>
      </c>
      <c r="F2011" s="241"/>
      <c r="G2011" s="241" t="s">
        <v>463</v>
      </c>
      <c r="H2011" s="241" t="s">
        <v>3926</v>
      </c>
      <c r="I2011" s="241" t="s">
        <v>101</v>
      </c>
      <c r="J2011" s="249" t="s">
        <v>3927</v>
      </c>
      <c r="K2011" s="242">
        <v>44571</v>
      </c>
      <c r="L2011" s="241"/>
      <c r="M2011" s="243">
        <f>3*60</f>
        <v>180</v>
      </c>
      <c r="N2011" s="243">
        <f>MONTH(Tableau13[[#This Row],[Date fin intervention]])</f>
        <v>1</v>
      </c>
      <c r="O2011" s="243">
        <f>YEAR(Tableau13[[#This Row],[Date fin intervention]])</f>
        <v>2022</v>
      </c>
      <c r="P2011" s="241"/>
    </row>
    <row r="2012" spans="1:16">
      <c r="A2012" s="238">
        <v>44571</v>
      </c>
      <c r="B2012" s="239">
        <v>565</v>
      </c>
      <c r="C2012" s="240" t="str">
        <f>IF(ISNA(VLOOKUP(Tableau13[[#This Row],[Code machine]],'CODE mchn'!$A$4:$C$170,2,0)),"",VLOOKUP(Tableau13[[#This Row],[Code machine]],'CODE mchn'!$A$4:$C$170,2,0))</f>
        <v>Acier</v>
      </c>
      <c r="D2012" s="241" t="str">
        <f>IF(ISNA(VLOOKUP(Tableau13[[#This Row],[Code machine]],'CODE mchn'!$A$4:$C$170,3,0)),"",VLOOKUP(Tableau13[[#This Row],[Code machine]],'CODE mchn'!$A$4:$C$170,3,0))</f>
        <v>EVG GE12</v>
      </c>
      <c r="E2012" s="239">
        <v>26316</v>
      </c>
      <c r="F2012" s="241"/>
      <c r="G2012" s="241" t="s">
        <v>35</v>
      </c>
      <c r="H2012" s="241" t="s">
        <v>3928</v>
      </c>
      <c r="I2012" s="241" t="s">
        <v>13</v>
      </c>
      <c r="J2012" s="249" t="s">
        <v>1177</v>
      </c>
      <c r="K2012" s="242">
        <v>44571</v>
      </c>
      <c r="L2012" s="241"/>
      <c r="M2012" s="243">
        <v>60</v>
      </c>
      <c r="N2012" s="243">
        <f>MONTH(Tableau13[[#This Row],[Date fin intervention]])</f>
        <v>1</v>
      </c>
      <c r="O2012" s="243">
        <f>YEAR(Tableau13[[#This Row],[Date fin intervention]])</f>
        <v>2022</v>
      </c>
      <c r="P2012" s="241"/>
    </row>
    <row r="2013" spans="1:16" ht="28.5">
      <c r="A2013" s="238">
        <v>44571</v>
      </c>
      <c r="B2013" s="239">
        <v>568</v>
      </c>
      <c r="C2013" s="240" t="str">
        <f>IF(ISNA(VLOOKUP(Tableau13[[#This Row],[Code machine]],'CODE mchn'!$A$4:$C$170,2,0)),"",VLOOKUP(Tableau13[[#This Row],[Code machine]],'CODE mchn'!$A$4:$C$170,2,0))</f>
        <v>Ponts roulants</v>
      </c>
      <c r="D2013" s="241" t="str">
        <f>IF(ISNA(VLOOKUP(Tableau13[[#This Row],[Code machine]],'CODE mchn'!$A$4:$C$170,3,0)),"",VLOOKUP(Tableau13[[#This Row],[Code machine]],'CODE mchn'!$A$4:$C$170,3,0))</f>
        <v>Pont roulant Demag 5T (milieu)</v>
      </c>
      <c r="E2013" s="239">
        <v>26316</v>
      </c>
      <c r="F2013" s="241"/>
      <c r="G2013" s="241" t="s">
        <v>35</v>
      </c>
      <c r="H2013" s="241" t="s">
        <v>1891</v>
      </c>
      <c r="I2013" s="241" t="s">
        <v>13</v>
      </c>
      <c r="J2013" s="249" t="s">
        <v>1177</v>
      </c>
      <c r="K2013" s="242">
        <v>44571</v>
      </c>
      <c r="L2013" s="241"/>
      <c r="M2013" s="243">
        <v>60</v>
      </c>
      <c r="N2013" s="243">
        <f>MONTH(Tableau13[[#This Row],[Date fin intervention]])</f>
        <v>1</v>
      </c>
      <c r="O2013" s="243">
        <f>YEAR(Tableau13[[#This Row],[Date fin intervention]])</f>
        <v>2022</v>
      </c>
      <c r="P2013" s="241"/>
    </row>
    <row r="2014" spans="1:16" ht="42.75">
      <c r="A2014" s="238">
        <v>44573</v>
      </c>
      <c r="B2014" s="239">
        <v>800</v>
      </c>
      <c r="C2014" s="240" t="str">
        <f>IF(ISNA(VLOOKUP(Tableau13[[#This Row],[Code machine]],'CODE mchn'!$A$4:$C$170,2,0)),"",VLOOKUP(Tableau13[[#This Row],[Code machine]],'CODE mchn'!$A$4:$C$170,2,0))</f>
        <v>Béton</v>
      </c>
      <c r="D2014" s="241" t="str">
        <f>IF(ISNA(VLOOKUP(Tableau13[[#This Row],[Code machine]],'CODE mchn'!$A$4:$C$170,3,0)),"",VLOOKUP(Tableau13[[#This Row],[Code machine]],'CODE mchn'!$A$4:$C$170,3,0))</f>
        <v>Poyatos 2</v>
      </c>
      <c r="E2014" s="239">
        <v>26158</v>
      </c>
      <c r="F2014" s="241"/>
      <c r="G2014" s="241" t="s">
        <v>3312</v>
      </c>
      <c r="H2014" s="241"/>
      <c r="I2014" s="241" t="s">
        <v>3287</v>
      </c>
      <c r="J2014" s="249" t="s">
        <v>3313</v>
      </c>
      <c r="K2014" s="242">
        <v>44573</v>
      </c>
      <c r="L2014" s="241"/>
      <c r="M2014" s="243">
        <v>180</v>
      </c>
      <c r="N2014" s="243">
        <f>MONTH(Tableau13[[#This Row],[Date fin intervention]])</f>
        <v>1</v>
      </c>
      <c r="O2014" s="243">
        <f>YEAR(Tableau13[[#This Row],[Date fin intervention]])</f>
        <v>2022</v>
      </c>
      <c r="P2014" s="241"/>
    </row>
    <row r="2015" spans="1:16" ht="57">
      <c r="A2015" s="238">
        <v>44573</v>
      </c>
      <c r="B2015" s="239">
        <v>800</v>
      </c>
      <c r="C2015" s="240" t="str">
        <f>IF(ISNA(VLOOKUP(Tableau13[[#This Row],[Code machine]],'CODE mchn'!$A$4:$C$170,2,0)),"",VLOOKUP(Tableau13[[#This Row],[Code machine]],'CODE mchn'!$A$4:$C$170,2,0))</f>
        <v>Béton</v>
      </c>
      <c r="D2015" s="241" t="str">
        <f>IF(ISNA(VLOOKUP(Tableau13[[#This Row],[Code machine]],'CODE mchn'!$A$4:$C$170,3,0)),"",VLOOKUP(Tableau13[[#This Row],[Code machine]],'CODE mchn'!$A$4:$C$170,3,0))</f>
        <v>Poyatos 2</v>
      </c>
      <c r="E2015" s="239">
        <v>26159</v>
      </c>
      <c r="F2015" s="241"/>
      <c r="G2015" s="241" t="s">
        <v>3314</v>
      </c>
      <c r="H2015" s="241" t="s">
        <v>3315</v>
      </c>
      <c r="I2015" s="241" t="s">
        <v>3287</v>
      </c>
      <c r="J2015" s="249" t="s">
        <v>3316</v>
      </c>
      <c r="K2015" s="242">
        <v>44573</v>
      </c>
      <c r="L2015" s="241"/>
      <c r="M2015" s="243">
        <v>120</v>
      </c>
      <c r="N2015" s="243">
        <f>MONTH(Tableau13[[#This Row],[Date fin intervention]])</f>
        <v>1</v>
      </c>
      <c r="O2015" s="243">
        <f>YEAR(Tableau13[[#This Row],[Date fin intervention]])</f>
        <v>2022</v>
      </c>
      <c r="P2015" s="241"/>
    </row>
    <row r="2016" spans="1:16" ht="28.5">
      <c r="A2016" s="238">
        <v>44573</v>
      </c>
      <c r="B2016" s="239">
        <v>590</v>
      </c>
      <c r="C2016" s="240" t="str">
        <f>IF(ISNA(VLOOKUP(Tableau13[[#This Row],[Code machine]],'CODE mchn'!$A$4:$C$170,2,0)),"",VLOOKUP(Tableau13[[#This Row],[Code machine]],'CODE mchn'!$A$4:$C$170,2,0))</f>
        <v>Acier</v>
      </c>
      <c r="D2016" s="241" t="str">
        <f>IF(ISNA(VLOOKUP(Tableau13[[#This Row],[Code machine]],'CODE mchn'!$A$4:$C$170,3,0)),"",VLOOKUP(Tableau13[[#This Row],[Code machine]],'CODE mchn'!$A$4:$C$170,3,0))</f>
        <v>Teurema 3</v>
      </c>
      <c r="E2016" s="239">
        <v>26228</v>
      </c>
      <c r="F2016" s="241"/>
      <c r="G2016" s="241" t="s">
        <v>3768</v>
      </c>
      <c r="H2016" s="241" t="s">
        <v>3766</v>
      </c>
      <c r="I2016" s="241" t="s">
        <v>3287</v>
      </c>
      <c r="J2016" s="249" t="s">
        <v>3767</v>
      </c>
      <c r="K2016" s="242">
        <v>44573</v>
      </c>
      <c r="L2016" s="241"/>
      <c r="M2016" s="243">
        <v>90</v>
      </c>
      <c r="N2016" s="243">
        <f>MONTH(Tableau13[[#This Row],[Date fin intervention]])</f>
        <v>1</v>
      </c>
      <c r="O2016" s="243">
        <f>YEAR(Tableau13[[#This Row],[Date fin intervention]])</f>
        <v>2022</v>
      </c>
      <c r="P2016" s="241"/>
    </row>
    <row r="2017" spans="1:16" ht="28.5">
      <c r="A2017" s="238">
        <v>44573</v>
      </c>
      <c r="B2017" s="239">
        <v>590</v>
      </c>
      <c r="C2017" s="240" t="str">
        <f>IF(ISNA(VLOOKUP(Tableau13[[#This Row],[Code machine]],'CODE mchn'!$A$4:$C$170,2,0)),"",VLOOKUP(Tableau13[[#This Row],[Code machine]],'CODE mchn'!$A$4:$C$170,2,0))</f>
        <v>Acier</v>
      </c>
      <c r="D2017" s="241" t="str">
        <f>IF(ISNA(VLOOKUP(Tableau13[[#This Row],[Code machine]],'CODE mchn'!$A$4:$C$170,3,0)),"",VLOOKUP(Tableau13[[#This Row],[Code machine]],'CODE mchn'!$A$4:$C$170,3,0))</f>
        <v>Teurema 3</v>
      </c>
      <c r="E2017" s="239">
        <v>26229</v>
      </c>
      <c r="F2017" s="241"/>
      <c r="G2017" s="241" t="s">
        <v>3769</v>
      </c>
      <c r="H2017" s="241" t="s">
        <v>3770</v>
      </c>
      <c r="I2017" s="241" t="s">
        <v>3287</v>
      </c>
      <c r="J2017" s="249" t="s">
        <v>3771</v>
      </c>
      <c r="K2017" s="242">
        <v>44573</v>
      </c>
      <c r="L2017" s="241"/>
      <c r="M2017" s="243">
        <v>90</v>
      </c>
      <c r="N2017" s="243">
        <f>MONTH(Tableau13[[#This Row],[Date fin intervention]])</f>
        <v>1</v>
      </c>
      <c r="O2017" s="243">
        <f>YEAR(Tableau13[[#This Row],[Date fin intervention]])</f>
        <v>2022</v>
      </c>
      <c r="P2017" s="241"/>
    </row>
    <row r="2018" spans="1:16" ht="28.5">
      <c r="A2018" s="238">
        <v>44573</v>
      </c>
      <c r="B2018" s="239">
        <v>584</v>
      </c>
      <c r="C2018" s="240" t="str">
        <f>IF(ISNA(VLOOKUP(Tableau13[[#This Row],[Code machine]],'CODE mchn'!$A$4:$C$170,2,0)),"",VLOOKUP(Tableau13[[#This Row],[Code machine]],'CODE mchn'!$A$4:$C$170,2,0))</f>
        <v>Ponts roulants</v>
      </c>
      <c r="D2018" s="241" t="str">
        <f>IF(ISNA(VLOOKUP(Tableau13[[#This Row],[Code machine]],'CODE mchn'!$A$4:$C$170,3,0)),"",VLOOKUP(Tableau13[[#This Row],[Code machine]],'CODE mchn'!$A$4:$C$170,3,0))</f>
        <v>Pont roulant Demag 3,2T (teurema2)</v>
      </c>
      <c r="E2018" s="239">
        <v>26257</v>
      </c>
      <c r="F2018" s="241"/>
      <c r="G2018" s="241" t="s">
        <v>3838</v>
      </c>
      <c r="H2018" s="241" t="s">
        <v>3839</v>
      </c>
      <c r="I2018" s="241" t="s">
        <v>13</v>
      </c>
      <c r="J2018" s="249" t="s">
        <v>3840</v>
      </c>
      <c r="K2018" s="242">
        <v>44573</v>
      </c>
      <c r="L2018" s="241"/>
      <c r="M2018" s="243">
        <v>30</v>
      </c>
      <c r="N2018" s="243">
        <f>MONTH(Tableau13[[#This Row],[Date fin intervention]])</f>
        <v>1</v>
      </c>
      <c r="O2018" s="243">
        <f>YEAR(Tableau13[[#This Row],[Date fin intervention]])</f>
        <v>2022</v>
      </c>
      <c r="P2018" s="241"/>
    </row>
    <row r="2019" spans="1:16" ht="28.5">
      <c r="A2019" s="238">
        <v>44574</v>
      </c>
      <c r="B2019" s="239">
        <v>700</v>
      </c>
      <c r="C2019" s="240" t="str">
        <f>IF(ISNA(VLOOKUP(Tableau13[[#This Row],[Code machine]],'CODE mchn'!$A$4:$C$170,2,0)),"",VLOOKUP(Tableau13[[#This Row],[Code machine]],'CODE mchn'!$A$4:$C$170,2,0))</f>
        <v>Béton</v>
      </c>
      <c r="D2019" s="241" t="str">
        <f>IF(ISNA(VLOOKUP(Tableau13[[#This Row],[Code machine]],'CODE mchn'!$A$4:$C$170,3,0)),"",VLOOKUP(Tableau13[[#This Row],[Code machine]],'CODE mchn'!$A$4:$C$170,3,0))</f>
        <v>Poyatos 1</v>
      </c>
      <c r="E2019" s="239">
        <v>26160</v>
      </c>
      <c r="F2019" s="241"/>
      <c r="G2019" s="241" t="s">
        <v>3317</v>
      </c>
      <c r="H2019" s="241" t="s">
        <v>3318</v>
      </c>
      <c r="I2019" s="241" t="s">
        <v>3287</v>
      </c>
      <c r="J2019" s="249" t="s">
        <v>3319</v>
      </c>
      <c r="K2019" s="242">
        <v>44574</v>
      </c>
      <c r="L2019" s="241"/>
      <c r="M2019" s="243">
        <v>180</v>
      </c>
      <c r="N2019" s="243">
        <f>MONTH(Tableau13[[#This Row],[Date fin intervention]])</f>
        <v>1</v>
      </c>
      <c r="O2019" s="243">
        <f>YEAR(Tableau13[[#This Row],[Date fin intervention]])</f>
        <v>2022</v>
      </c>
      <c r="P2019" s="241"/>
    </row>
    <row r="2020" spans="1:16">
      <c r="A2020" s="238">
        <v>44574</v>
      </c>
      <c r="B2020" s="239">
        <v>565</v>
      </c>
      <c r="C2020" s="240" t="str">
        <f>IF(ISNA(VLOOKUP(Tableau13[[#This Row],[Code machine]],'CODE mchn'!$A$4:$C$170,2,0)),"",VLOOKUP(Tableau13[[#This Row],[Code machine]],'CODE mchn'!$A$4:$C$170,2,0))</f>
        <v>Acier</v>
      </c>
      <c r="D2020" s="241" t="str">
        <f>IF(ISNA(VLOOKUP(Tableau13[[#This Row],[Code machine]],'CODE mchn'!$A$4:$C$170,3,0)),"",VLOOKUP(Tableau13[[#This Row],[Code machine]],'CODE mchn'!$A$4:$C$170,3,0))</f>
        <v>EVG GE12</v>
      </c>
      <c r="E2020" s="239">
        <v>26317</v>
      </c>
      <c r="F2020" s="241"/>
      <c r="G2020" s="241" t="s">
        <v>75</v>
      </c>
      <c r="H2020" s="241" t="s">
        <v>4044</v>
      </c>
      <c r="I2020" s="241" t="s">
        <v>13</v>
      </c>
      <c r="J2020" s="249" t="s">
        <v>4045</v>
      </c>
      <c r="K2020" s="242">
        <v>44574</v>
      </c>
      <c r="L2020" s="241"/>
      <c r="M2020" s="243">
        <v>15</v>
      </c>
      <c r="N2020" s="243">
        <f>MONTH(Tableau13[[#This Row],[Date fin intervention]])</f>
        <v>1</v>
      </c>
      <c r="O2020" s="243">
        <f>YEAR(Tableau13[[#This Row],[Date fin intervention]])</f>
        <v>2022</v>
      </c>
      <c r="P2020" s="241"/>
    </row>
    <row r="2021" spans="1:16">
      <c r="A2021" s="238">
        <v>44575</v>
      </c>
      <c r="B2021" s="239">
        <v>590</v>
      </c>
      <c r="C2021" s="240" t="str">
        <f>IF(ISNA(VLOOKUP(Tableau13[[#This Row],[Code machine]],'CODE mchn'!$A$4:$C$170,2,0)),"",VLOOKUP(Tableau13[[#This Row],[Code machine]],'CODE mchn'!$A$4:$C$170,2,0))</f>
        <v>Acier</v>
      </c>
      <c r="D2021" s="241" t="str">
        <f>IF(ISNA(VLOOKUP(Tableau13[[#This Row],[Code machine]],'CODE mchn'!$A$4:$C$170,3,0)),"",VLOOKUP(Tableau13[[#This Row],[Code machine]],'CODE mchn'!$A$4:$C$170,3,0))</f>
        <v>Teurema 3</v>
      </c>
      <c r="E2021" s="239">
        <v>26230</v>
      </c>
      <c r="F2021" s="241"/>
      <c r="G2021" s="241" t="s">
        <v>3772</v>
      </c>
      <c r="H2021" s="241" t="s">
        <v>3773</v>
      </c>
      <c r="I2021" s="241" t="s">
        <v>3755</v>
      </c>
      <c r="J2021" s="249" t="s">
        <v>3774</v>
      </c>
      <c r="K2021" s="242">
        <v>44575</v>
      </c>
      <c r="L2021" s="241"/>
      <c r="M2021" s="243">
        <v>0</v>
      </c>
      <c r="N2021" s="243">
        <f>MONTH(Tableau13[[#This Row],[Date fin intervention]])</f>
        <v>1</v>
      </c>
      <c r="O2021" s="243">
        <f>YEAR(Tableau13[[#This Row],[Date fin intervention]])</f>
        <v>2022</v>
      </c>
      <c r="P2021" s="241"/>
    </row>
    <row r="2022" spans="1:16">
      <c r="A2022" s="238">
        <v>44575</v>
      </c>
      <c r="B2022" s="239">
        <v>700</v>
      </c>
      <c r="C2022" s="240" t="str">
        <f>IF(ISNA(VLOOKUP(Tableau13[[#This Row],[Code machine]],'CODE mchn'!$A$4:$C$170,2,0)),"",VLOOKUP(Tableau13[[#This Row],[Code machine]],'CODE mchn'!$A$4:$C$170,2,0))</f>
        <v>Béton</v>
      </c>
      <c r="D2022" s="241" t="str">
        <f>IF(ISNA(VLOOKUP(Tableau13[[#This Row],[Code machine]],'CODE mchn'!$A$4:$C$170,3,0)),"",VLOOKUP(Tableau13[[#This Row],[Code machine]],'CODE mchn'!$A$4:$C$170,3,0))</f>
        <v>Poyatos 1</v>
      </c>
      <c r="E2022" s="239">
        <v>26259</v>
      </c>
      <c r="F2022" s="241"/>
      <c r="G2022" s="241" t="s">
        <v>110</v>
      </c>
      <c r="H2022" s="241" t="s">
        <v>2061</v>
      </c>
      <c r="I2022" s="241" t="s">
        <v>13</v>
      </c>
      <c r="J2022" s="249" t="s">
        <v>743</v>
      </c>
      <c r="K2022" s="242">
        <v>44575</v>
      </c>
      <c r="L2022" s="241"/>
      <c r="M2022" s="243">
        <v>75</v>
      </c>
      <c r="N2022" s="243">
        <f>MONTH(Tableau13[[#This Row],[Date fin intervention]])</f>
        <v>1</v>
      </c>
      <c r="O2022" s="243">
        <f>YEAR(Tableau13[[#This Row],[Date fin intervention]])</f>
        <v>2022</v>
      </c>
      <c r="P2022" s="241"/>
    </row>
    <row r="2023" spans="1:16" ht="28.5">
      <c r="A2023" s="238">
        <v>44576</v>
      </c>
      <c r="B2023" s="239">
        <v>581</v>
      </c>
      <c r="C2023" s="240" t="str">
        <f>IF(ISNA(VLOOKUP(Tableau13[[#This Row],[Code machine]],'CODE mchn'!$A$4:$C$170,2,0)),"",VLOOKUP(Tableau13[[#This Row],[Code machine]],'CODE mchn'!$A$4:$C$170,2,0))</f>
        <v>Acier</v>
      </c>
      <c r="D2023" s="241" t="str">
        <f>IF(ISNA(VLOOKUP(Tableau13[[#This Row],[Code machine]],'CODE mchn'!$A$4:$C$170,3,0)),"",VLOOKUP(Tableau13[[#This Row],[Code machine]],'CODE mchn'!$A$4:$C$170,3,0))</f>
        <v>Teurema 1</v>
      </c>
      <c r="E2023" s="239">
        <v>26231</v>
      </c>
      <c r="F2023" s="241"/>
      <c r="G2023" s="241" t="s">
        <v>3775</v>
      </c>
      <c r="H2023" s="241" t="s">
        <v>3776</v>
      </c>
      <c r="I2023" s="241" t="s">
        <v>3287</v>
      </c>
      <c r="J2023" s="249" t="s">
        <v>3777</v>
      </c>
      <c r="K2023" s="242">
        <v>44577</v>
      </c>
      <c r="L2023" s="241"/>
      <c r="M2023" s="243">
        <v>150</v>
      </c>
      <c r="N2023" s="243">
        <f>MONTH(Tableau13[[#This Row],[Date fin intervention]])</f>
        <v>1</v>
      </c>
      <c r="O2023" s="243">
        <f>YEAR(Tableau13[[#This Row],[Date fin intervention]])</f>
        <v>2022</v>
      </c>
      <c r="P2023" s="241"/>
    </row>
    <row r="2024" spans="1:16">
      <c r="A2024" s="238">
        <v>44576</v>
      </c>
      <c r="B2024" s="239">
        <v>565</v>
      </c>
      <c r="C2024" s="240" t="str">
        <f>IF(ISNA(VLOOKUP(Tableau13[[#This Row],[Code machine]],'CODE mchn'!$A$4:$C$170,2,0)),"",VLOOKUP(Tableau13[[#This Row],[Code machine]],'CODE mchn'!$A$4:$C$170,2,0))</f>
        <v>Acier</v>
      </c>
      <c r="D2024" s="241" t="str">
        <f>IF(ISNA(VLOOKUP(Tableau13[[#This Row],[Code machine]],'CODE mchn'!$A$4:$C$170,3,0)),"",VLOOKUP(Tableau13[[#This Row],[Code machine]],'CODE mchn'!$A$4:$C$170,3,0))</f>
        <v>EVG GE12</v>
      </c>
      <c r="E2024" s="239">
        <v>26319</v>
      </c>
      <c r="F2024" s="241"/>
      <c r="G2024" s="241" t="s">
        <v>1720</v>
      </c>
      <c r="H2024" s="241" t="s">
        <v>4046</v>
      </c>
      <c r="I2024" s="241" t="s">
        <v>13</v>
      </c>
      <c r="J2024" s="249" t="s">
        <v>4047</v>
      </c>
      <c r="K2024" s="242">
        <v>44576</v>
      </c>
      <c r="L2024" s="241"/>
      <c r="M2024" s="243">
        <v>120</v>
      </c>
      <c r="N2024" s="243">
        <f>MONTH(Tableau13[[#This Row],[Date fin intervention]])</f>
        <v>1</v>
      </c>
      <c r="O2024" s="243">
        <f>YEAR(Tableau13[[#This Row],[Date fin intervention]])</f>
        <v>2022</v>
      </c>
      <c r="P2024" s="241"/>
    </row>
    <row r="2025" spans="1:16" ht="57">
      <c r="A2025" s="238">
        <v>44579</v>
      </c>
      <c r="B2025" s="239">
        <v>700</v>
      </c>
      <c r="C2025" s="240" t="str">
        <f>IF(ISNA(VLOOKUP(Tableau13[[#This Row],[Code machine]],'CODE mchn'!$A$4:$C$170,2,0)),"",VLOOKUP(Tableau13[[#This Row],[Code machine]],'CODE mchn'!$A$4:$C$170,2,0))</f>
        <v>Béton</v>
      </c>
      <c r="D2025" s="241" t="str">
        <f>IF(ISNA(VLOOKUP(Tableau13[[#This Row],[Code machine]],'CODE mchn'!$A$4:$C$170,3,0)),"",VLOOKUP(Tableau13[[#This Row],[Code machine]],'CODE mchn'!$A$4:$C$170,3,0))</f>
        <v>Poyatos 1</v>
      </c>
      <c r="E2025" s="239">
        <v>26161</v>
      </c>
      <c r="F2025" s="241"/>
      <c r="G2025" s="241" t="s">
        <v>3320</v>
      </c>
      <c r="H2025" s="241"/>
      <c r="I2025" s="241" t="s">
        <v>3291</v>
      </c>
      <c r="J2025" s="249" t="s">
        <v>3321</v>
      </c>
      <c r="K2025" s="242">
        <v>44579</v>
      </c>
      <c r="L2025" s="241"/>
      <c r="M2025" s="243">
        <v>720</v>
      </c>
      <c r="N2025" s="243">
        <f>MONTH(Tableau13[[#This Row],[Date fin intervention]])</f>
        <v>1</v>
      </c>
      <c r="O2025" s="243">
        <f>YEAR(Tableau13[[#This Row],[Date fin intervention]])</f>
        <v>2022</v>
      </c>
      <c r="P2025" s="241"/>
    </row>
    <row r="2026" spans="1:16" ht="28.5">
      <c r="A2026" s="238">
        <v>44579</v>
      </c>
      <c r="B2026" s="239">
        <v>590</v>
      </c>
      <c r="C2026" s="240" t="str">
        <f>IF(ISNA(VLOOKUP(Tableau13[[#This Row],[Code machine]],'CODE mchn'!$A$4:$C$170,2,0)),"",VLOOKUP(Tableau13[[#This Row],[Code machine]],'CODE mchn'!$A$4:$C$170,2,0))</f>
        <v>Acier</v>
      </c>
      <c r="D2026" s="241" t="str">
        <f>IF(ISNA(VLOOKUP(Tableau13[[#This Row],[Code machine]],'CODE mchn'!$A$4:$C$170,3,0)),"",VLOOKUP(Tableau13[[#This Row],[Code machine]],'CODE mchn'!$A$4:$C$170,3,0))</f>
        <v>Teurema 3</v>
      </c>
      <c r="E2026" s="239">
        <v>26232</v>
      </c>
      <c r="F2026" s="241"/>
      <c r="G2026" s="241" t="s">
        <v>3778</v>
      </c>
      <c r="H2026" s="241" t="s">
        <v>3779</v>
      </c>
      <c r="I2026" s="241" t="s">
        <v>3287</v>
      </c>
      <c r="J2026" s="249" t="s">
        <v>3780</v>
      </c>
      <c r="K2026" s="242">
        <v>44579</v>
      </c>
      <c r="L2026" s="241"/>
      <c r="M2026" s="243">
        <v>0</v>
      </c>
      <c r="N2026" s="243">
        <f>MONTH(Tableau13[[#This Row],[Date fin intervention]])</f>
        <v>1</v>
      </c>
      <c r="O2026" s="243">
        <f>YEAR(Tableau13[[#This Row],[Date fin intervention]])</f>
        <v>2022</v>
      </c>
      <c r="P2026" s="241"/>
    </row>
    <row r="2027" spans="1:16">
      <c r="A2027" s="238">
        <v>44579</v>
      </c>
      <c r="B2027" s="239">
        <v>606</v>
      </c>
      <c r="C2027" s="240" t="str">
        <f>IF(ISNA(VLOOKUP(Tableau13[[#This Row],[Code machine]],'CODE mchn'!$A$4:$C$170,2,0)),"",VLOOKUP(Tableau13[[#This Row],[Code machine]],'CODE mchn'!$A$4:$C$170,2,0))</f>
        <v>Acier</v>
      </c>
      <c r="D2027" s="241" t="str">
        <f>IF(ISNA(VLOOKUP(Tableau13[[#This Row],[Code machine]],'CODE mchn'!$A$4:$C$170,3,0)),"",VLOOKUP(Tableau13[[#This Row],[Code machine]],'CODE mchn'!$A$4:$C$170,3,0))</f>
        <v>Vitari 2</v>
      </c>
      <c r="E2027" s="239">
        <v>26320</v>
      </c>
      <c r="F2027" s="241"/>
      <c r="G2027" s="241" t="s">
        <v>78</v>
      </c>
      <c r="H2027" s="241" t="s">
        <v>3929</v>
      </c>
      <c r="I2027" s="241" t="s">
        <v>13</v>
      </c>
      <c r="J2027" s="249" t="s">
        <v>3930</v>
      </c>
      <c r="K2027" s="242">
        <v>44579</v>
      </c>
      <c r="L2027" s="241"/>
      <c r="M2027" s="243">
        <f>4*60</f>
        <v>240</v>
      </c>
      <c r="N2027" s="243">
        <f>MONTH(Tableau13[[#This Row],[Date fin intervention]])</f>
        <v>1</v>
      </c>
      <c r="O2027" s="243">
        <f>YEAR(Tableau13[[#This Row],[Date fin intervention]])</f>
        <v>2022</v>
      </c>
      <c r="P2027" s="241"/>
    </row>
    <row r="2028" spans="1:16">
      <c r="A2028" s="238">
        <v>44579</v>
      </c>
      <c r="B2028" s="239">
        <v>606</v>
      </c>
      <c r="C2028" s="240" t="str">
        <f>IF(ISNA(VLOOKUP(Tableau13[[#This Row],[Code machine]],'CODE mchn'!$A$4:$C$170,2,0)),"",VLOOKUP(Tableau13[[#This Row],[Code machine]],'CODE mchn'!$A$4:$C$170,2,0))</f>
        <v>Acier</v>
      </c>
      <c r="D2028" s="241" t="str">
        <f>IF(ISNA(VLOOKUP(Tableau13[[#This Row],[Code machine]],'CODE mchn'!$A$4:$C$170,3,0)),"",VLOOKUP(Tableau13[[#This Row],[Code machine]],'CODE mchn'!$A$4:$C$170,3,0))</f>
        <v>Vitari 2</v>
      </c>
      <c r="E2028" s="239">
        <v>26320</v>
      </c>
      <c r="F2028" s="241"/>
      <c r="G2028" s="241" t="s">
        <v>78</v>
      </c>
      <c r="H2028" s="241" t="s">
        <v>4048</v>
      </c>
      <c r="I2028" s="241" t="s">
        <v>13</v>
      </c>
      <c r="J2028" s="249" t="s">
        <v>4049</v>
      </c>
      <c r="K2028" s="242">
        <v>44579</v>
      </c>
      <c r="L2028" s="241"/>
      <c r="M2028" s="243">
        <v>60</v>
      </c>
      <c r="N2028" s="243">
        <f>MONTH(Tableau13[[#This Row],[Date fin intervention]])</f>
        <v>1</v>
      </c>
      <c r="O2028" s="243">
        <f>YEAR(Tableau13[[#This Row],[Date fin intervention]])</f>
        <v>2022</v>
      </c>
      <c r="P2028" s="241"/>
    </row>
    <row r="2029" spans="1:16">
      <c r="A2029" s="238">
        <v>44579</v>
      </c>
      <c r="B2029" s="239">
        <v>560</v>
      </c>
      <c r="C2029" s="240" t="str">
        <f>IF(ISNA(VLOOKUP(Tableau13[[#This Row],[Code machine]],'CODE mchn'!$A$4:$C$170,2,0)),"",VLOOKUP(Tableau13[[#This Row],[Code machine]],'CODE mchn'!$A$4:$C$170,2,0))</f>
        <v>Acier</v>
      </c>
      <c r="D2029" s="241" t="str">
        <f>IF(ISNA(VLOOKUP(Tableau13[[#This Row],[Code machine]],'CODE mchn'!$A$4:$C$170,3,0)),"",VLOOKUP(Tableau13[[#This Row],[Code machine]],'CODE mchn'!$A$4:$C$170,3,0))</f>
        <v>Schlatter</v>
      </c>
      <c r="E2029" s="239">
        <v>26323</v>
      </c>
      <c r="F2029" s="241"/>
      <c r="G2029" s="241" t="s">
        <v>2243</v>
      </c>
      <c r="H2029" s="241" t="s">
        <v>4050</v>
      </c>
      <c r="I2029" s="241" t="s">
        <v>13</v>
      </c>
      <c r="J2029" s="249" t="s">
        <v>4051</v>
      </c>
      <c r="K2029" s="242">
        <v>44579</v>
      </c>
      <c r="L2029" s="241"/>
      <c r="M2029" s="243">
        <v>20</v>
      </c>
      <c r="N2029" s="243">
        <f>MONTH(Tableau13[[#This Row],[Date fin intervention]])</f>
        <v>1</v>
      </c>
      <c r="O2029" s="243">
        <f>YEAR(Tableau13[[#This Row],[Date fin intervention]])</f>
        <v>2022</v>
      </c>
      <c r="P2029" s="241"/>
    </row>
    <row r="2030" spans="1:16" ht="42.75">
      <c r="A2030" s="238">
        <v>44580</v>
      </c>
      <c r="B2030" s="239">
        <v>565</v>
      </c>
      <c r="C2030" s="240" t="str">
        <f>IF(ISNA(VLOOKUP(Tableau13[[#This Row],[Code machine]],'CODE mchn'!$A$4:$C$170,2,0)),"",VLOOKUP(Tableau13[[#This Row],[Code machine]],'CODE mchn'!$A$4:$C$170,2,0))</f>
        <v>Acier</v>
      </c>
      <c r="D2030" s="241" t="str">
        <f>IF(ISNA(VLOOKUP(Tableau13[[#This Row],[Code machine]],'CODE mchn'!$A$4:$C$170,3,0)),"",VLOOKUP(Tableau13[[#This Row],[Code machine]],'CODE mchn'!$A$4:$C$170,3,0))</f>
        <v>EVG GE12</v>
      </c>
      <c r="E2030" s="239">
        <v>26162</v>
      </c>
      <c r="F2030" s="241"/>
      <c r="G2030" s="241" t="s">
        <v>3322</v>
      </c>
      <c r="H2030" s="241" t="s">
        <v>3323</v>
      </c>
      <c r="I2030" s="241" t="s">
        <v>3287</v>
      </c>
      <c r="J2030" s="249" t="s">
        <v>3324</v>
      </c>
      <c r="K2030" s="242">
        <v>44580</v>
      </c>
      <c r="L2030" s="241"/>
      <c r="M2030" s="243">
        <v>120</v>
      </c>
      <c r="N2030" s="243">
        <f>MONTH(Tableau13[[#This Row],[Date fin intervention]])</f>
        <v>1</v>
      </c>
      <c r="O2030" s="243">
        <f>YEAR(Tableau13[[#This Row],[Date fin intervention]])</f>
        <v>2022</v>
      </c>
      <c r="P2030" s="241"/>
    </row>
    <row r="2031" spans="1:16">
      <c r="A2031" s="238">
        <v>44580</v>
      </c>
      <c r="B2031" s="239">
        <v>565</v>
      </c>
      <c r="C2031" s="240" t="str">
        <f>IF(ISNA(VLOOKUP(Tableau13[[#This Row],[Code machine]],'CODE mchn'!$A$4:$C$170,2,0)),"",VLOOKUP(Tableau13[[#This Row],[Code machine]],'CODE mchn'!$A$4:$C$170,2,0))</f>
        <v>Acier</v>
      </c>
      <c r="D2031" s="241" t="str">
        <f>IF(ISNA(VLOOKUP(Tableau13[[#This Row],[Code machine]],'CODE mchn'!$A$4:$C$170,3,0)),"",VLOOKUP(Tableau13[[#This Row],[Code machine]],'CODE mchn'!$A$4:$C$170,3,0))</f>
        <v>EVG GE12</v>
      </c>
      <c r="E2031" s="239">
        <v>26324</v>
      </c>
      <c r="F2031" s="241"/>
      <c r="G2031" s="241" t="s">
        <v>10</v>
      </c>
      <c r="H2031" s="241" t="s">
        <v>3931</v>
      </c>
      <c r="I2031" s="241" t="s">
        <v>13</v>
      </c>
      <c r="J2031" s="249" t="s">
        <v>3932</v>
      </c>
      <c r="K2031" s="242">
        <v>44580</v>
      </c>
      <c r="L2031" s="241"/>
      <c r="M2031" s="243">
        <f>5*60</f>
        <v>300</v>
      </c>
      <c r="N2031" s="243">
        <f>MONTH(Tableau13[[#This Row],[Date fin intervention]])</f>
        <v>1</v>
      </c>
      <c r="O2031" s="243">
        <f>YEAR(Tableau13[[#This Row],[Date fin intervention]])</f>
        <v>2022</v>
      </c>
      <c r="P2031" s="241"/>
    </row>
    <row r="2032" spans="1:16">
      <c r="A2032" s="238">
        <v>44580</v>
      </c>
      <c r="B2032" s="239">
        <v>560</v>
      </c>
      <c r="C2032" s="240" t="str">
        <f>IF(ISNA(VLOOKUP(Tableau13[[#This Row],[Code machine]],'CODE mchn'!$A$4:$C$170,2,0)),"",VLOOKUP(Tableau13[[#This Row],[Code machine]],'CODE mchn'!$A$4:$C$170,2,0))</f>
        <v>Acier</v>
      </c>
      <c r="D2032" s="241" t="str">
        <f>IF(ISNA(VLOOKUP(Tableau13[[#This Row],[Code machine]],'CODE mchn'!$A$4:$C$170,3,0)),"",VLOOKUP(Tableau13[[#This Row],[Code machine]],'CODE mchn'!$A$4:$C$170,3,0))</f>
        <v>Schlatter</v>
      </c>
      <c r="E2032" s="239">
        <v>26324</v>
      </c>
      <c r="F2032" s="241"/>
      <c r="G2032" s="241" t="s">
        <v>10</v>
      </c>
      <c r="H2032" s="241" t="s">
        <v>4052</v>
      </c>
      <c r="I2032" s="241" t="s">
        <v>13</v>
      </c>
      <c r="J2032" s="249" t="s">
        <v>4053</v>
      </c>
      <c r="K2032" s="242">
        <v>44580</v>
      </c>
      <c r="L2032" s="241"/>
      <c r="M2032" s="243">
        <v>150</v>
      </c>
      <c r="N2032" s="243">
        <f>MONTH(Tableau13[[#This Row],[Date fin intervention]])</f>
        <v>1</v>
      </c>
      <c r="O2032" s="243">
        <f>YEAR(Tableau13[[#This Row],[Date fin intervention]])</f>
        <v>2022</v>
      </c>
      <c r="P2032" s="241"/>
    </row>
    <row r="2033" spans="1:16">
      <c r="A2033" s="238">
        <v>44581</v>
      </c>
      <c r="B2033" s="239">
        <v>590</v>
      </c>
      <c r="C2033" s="240" t="str">
        <f>IF(ISNA(VLOOKUP(Tableau13[[#This Row],[Code machine]],'CODE mchn'!$A$4:$C$170,2,0)),"",VLOOKUP(Tableau13[[#This Row],[Code machine]],'CODE mchn'!$A$4:$C$170,2,0))</f>
        <v>Acier</v>
      </c>
      <c r="D2033" s="241" t="str">
        <f>IF(ISNA(VLOOKUP(Tableau13[[#This Row],[Code machine]],'CODE mchn'!$A$4:$C$170,3,0)),"",VLOOKUP(Tableau13[[#This Row],[Code machine]],'CODE mchn'!$A$4:$C$170,3,0))</f>
        <v>Teurema 3</v>
      </c>
      <c r="E2033" s="239">
        <v>26233</v>
      </c>
      <c r="F2033" s="241"/>
      <c r="G2033" s="241" t="s">
        <v>3781</v>
      </c>
      <c r="H2033" s="241" t="s">
        <v>3782</v>
      </c>
      <c r="I2033" s="241" t="s">
        <v>3287</v>
      </c>
      <c r="J2033" s="249" t="s">
        <v>3783</v>
      </c>
      <c r="K2033" s="242">
        <v>44581</v>
      </c>
      <c r="L2033" s="241"/>
      <c r="M2033" s="243">
        <f>5*60</f>
        <v>300</v>
      </c>
      <c r="N2033" s="243">
        <f>MONTH(Tableau13[[#This Row],[Date fin intervention]])</f>
        <v>1</v>
      </c>
      <c r="O2033" s="243">
        <f>YEAR(Tableau13[[#This Row],[Date fin intervention]])</f>
        <v>2022</v>
      </c>
      <c r="P2033" s="241"/>
    </row>
    <row r="2034" spans="1:16">
      <c r="A2034" s="238">
        <v>44585</v>
      </c>
      <c r="B2034" s="239">
        <v>533</v>
      </c>
      <c r="C2034" s="240" t="str">
        <f>IF(ISNA(VLOOKUP(Tableau13[[#This Row],[Code machine]],'CODE mchn'!$A$4:$C$170,2,0)),"",VLOOKUP(Tableau13[[#This Row],[Code machine]],'CODE mchn'!$A$4:$C$170,2,0))</f>
        <v>Enrobage</v>
      </c>
      <c r="D2034" s="241" t="str">
        <f>IF(ISNA(VLOOKUP(Tableau13[[#This Row],[Code machine]],'CODE mchn'!$A$4:$C$170,3,0)),"",VLOOKUP(Tableau13[[#This Row],[Code machine]],'CODE mchn'!$A$4:$C$170,3,0))</f>
        <v>CAROSSEL</v>
      </c>
      <c r="E2034" s="239">
        <v>26164</v>
      </c>
      <c r="F2034" s="241"/>
      <c r="G2034" s="241" t="s">
        <v>1847</v>
      </c>
      <c r="H2034" s="241" t="s">
        <v>3199</v>
      </c>
      <c r="I2034" s="241" t="s">
        <v>13</v>
      </c>
      <c r="J2034" s="249" t="s">
        <v>3847</v>
      </c>
      <c r="K2034" s="242">
        <v>44585</v>
      </c>
      <c r="L2034" s="241" t="s">
        <v>3848</v>
      </c>
      <c r="M2034" s="243">
        <v>90</v>
      </c>
      <c r="N2034" s="243">
        <f>MONTH(Tableau13[[#This Row],[Date fin intervention]])</f>
        <v>1</v>
      </c>
      <c r="O2034" s="243">
        <f>YEAR(Tableau13[[#This Row],[Date fin intervention]])</f>
        <v>2022</v>
      </c>
      <c r="P2034" s="241"/>
    </row>
    <row r="2035" spans="1:16" ht="28.5">
      <c r="A2035" s="238">
        <v>44586</v>
      </c>
      <c r="B2035" s="239">
        <v>581</v>
      </c>
      <c r="C2035" s="240" t="str">
        <f>IF(ISNA(VLOOKUP(Tableau13[[#This Row],[Code machine]],'CODE mchn'!$A$4:$C$170,2,0)),"",VLOOKUP(Tableau13[[#This Row],[Code machine]],'CODE mchn'!$A$4:$C$170,2,0))</f>
        <v>Acier</v>
      </c>
      <c r="D2035" s="241" t="str">
        <f>IF(ISNA(VLOOKUP(Tableau13[[#This Row],[Code machine]],'CODE mchn'!$A$4:$C$170,3,0)),"",VLOOKUP(Tableau13[[#This Row],[Code machine]],'CODE mchn'!$A$4:$C$170,3,0))</f>
        <v>Teurema 1</v>
      </c>
      <c r="E2035" s="239">
        <v>26234</v>
      </c>
      <c r="F2035" s="241"/>
      <c r="G2035" s="241" t="s">
        <v>3784</v>
      </c>
      <c r="H2035" s="241" t="s">
        <v>3785</v>
      </c>
      <c r="I2035" s="241" t="s">
        <v>3287</v>
      </c>
      <c r="J2035" s="249" t="s">
        <v>3695</v>
      </c>
      <c r="K2035" s="242">
        <v>44586</v>
      </c>
      <c r="L2035" s="241"/>
      <c r="M2035" s="243">
        <v>240</v>
      </c>
      <c r="N2035" s="243">
        <f>MONTH(Tableau13[[#This Row],[Date fin intervention]])</f>
        <v>1</v>
      </c>
      <c r="O2035" s="243">
        <f>YEAR(Tableau13[[#This Row],[Date fin intervention]])</f>
        <v>2022</v>
      </c>
      <c r="P2035" s="241"/>
    </row>
    <row r="2036" spans="1:16">
      <c r="A2036" s="238">
        <v>44586</v>
      </c>
      <c r="B2036" s="239">
        <v>700</v>
      </c>
      <c r="C2036" s="240" t="str">
        <f>IF(ISNA(VLOOKUP(Tableau13[[#This Row],[Code machine]],'CODE mchn'!$A$4:$C$170,2,0)),"",VLOOKUP(Tableau13[[#This Row],[Code machine]],'CODE mchn'!$A$4:$C$170,2,0))</f>
        <v>Béton</v>
      </c>
      <c r="D2036" s="241" t="str">
        <f>IF(ISNA(VLOOKUP(Tableau13[[#This Row],[Code machine]],'CODE mchn'!$A$4:$C$170,3,0)),"",VLOOKUP(Tableau13[[#This Row],[Code machine]],'CODE mchn'!$A$4:$C$170,3,0))</f>
        <v>Poyatos 1</v>
      </c>
      <c r="E2036" s="239">
        <v>26263</v>
      </c>
      <c r="F2036" s="241"/>
      <c r="G2036" s="241" t="s">
        <v>128</v>
      </c>
      <c r="H2036" s="241" t="s">
        <v>3841</v>
      </c>
      <c r="I2036" s="241" t="s">
        <v>101</v>
      </c>
      <c r="J2036" s="249" t="s">
        <v>3842</v>
      </c>
      <c r="K2036" s="242">
        <v>44586</v>
      </c>
      <c r="L2036" s="241"/>
      <c r="M2036" s="243">
        <v>90</v>
      </c>
      <c r="N2036" s="243">
        <f>MONTH(Tableau13[[#This Row],[Date fin intervention]])</f>
        <v>1</v>
      </c>
      <c r="O2036" s="243">
        <f>YEAR(Tableau13[[#This Row],[Date fin intervention]])</f>
        <v>2022</v>
      </c>
      <c r="P2036" s="241"/>
    </row>
    <row r="2037" spans="1:16" ht="28.5">
      <c r="A2037" s="238">
        <v>44587</v>
      </c>
      <c r="B2037" s="239">
        <v>590</v>
      </c>
      <c r="C2037" s="240" t="str">
        <f>IF(ISNA(VLOOKUP(Tableau13[[#This Row],[Code machine]],'CODE mchn'!$A$4:$C$170,2,0)),"",VLOOKUP(Tableau13[[#This Row],[Code machine]],'CODE mchn'!$A$4:$C$170,2,0))</f>
        <v>Acier</v>
      </c>
      <c r="D2037" s="241" t="str">
        <f>IF(ISNA(VLOOKUP(Tableau13[[#This Row],[Code machine]],'CODE mchn'!$A$4:$C$170,3,0)),"",VLOOKUP(Tableau13[[#This Row],[Code machine]],'CODE mchn'!$A$4:$C$170,3,0))</f>
        <v>Teurema 3</v>
      </c>
      <c r="E2037" s="239">
        <v>26235</v>
      </c>
      <c r="F2037" s="241"/>
      <c r="G2037" s="241" t="s">
        <v>3786</v>
      </c>
      <c r="H2037" s="241" t="s">
        <v>3787</v>
      </c>
      <c r="I2037" s="241" t="s">
        <v>3287</v>
      </c>
      <c r="J2037" s="249" t="s">
        <v>3788</v>
      </c>
      <c r="K2037" s="242">
        <v>44587</v>
      </c>
      <c r="L2037" s="241"/>
      <c r="M2037" s="243">
        <v>0</v>
      </c>
      <c r="N2037" s="243">
        <f>MONTH(Tableau13[[#This Row],[Date fin intervention]])</f>
        <v>1</v>
      </c>
      <c r="O2037" s="243">
        <f>YEAR(Tableau13[[#This Row],[Date fin intervention]])</f>
        <v>2022</v>
      </c>
      <c r="P2037" s="241"/>
    </row>
    <row r="2038" spans="1:16">
      <c r="A2038" s="238">
        <v>44587</v>
      </c>
      <c r="B2038" s="239">
        <v>590</v>
      </c>
      <c r="C2038" s="240" t="str">
        <f>IF(ISNA(VLOOKUP(Tableau13[[#This Row],[Code machine]],'CODE mchn'!$A$4:$C$170,2,0)),"",VLOOKUP(Tableau13[[#This Row],[Code machine]],'CODE mchn'!$A$4:$C$170,2,0))</f>
        <v>Acier</v>
      </c>
      <c r="D2038" s="241" t="str">
        <f>IF(ISNA(VLOOKUP(Tableau13[[#This Row],[Code machine]],'CODE mchn'!$A$4:$C$170,3,0)),"",VLOOKUP(Tableau13[[#This Row],[Code machine]],'CODE mchn'!$A$4:$C$170,3,0))</f>
        <v>Teurema 3</v>
      </c>
      <c r="E2038" s="239">
        <v>26701</v>
      </c>
      <c r="F2038" s="241"/>
      <c r="G2038" s="241" t="s">
        <v>1644</v>
      </c>
      <c r="H2038" s="241" t="s">
        <v>3791</v>
      </c>
      <c r="I2038" s="241" t="s">
        <v>13</v>
      </c>
      <c r="J2038" s="249" t="s">
        <v>3792</v>
      </c>
      <c r="K2038" s="242">
        <v>44587</v>
      </c>
      <c r="L2038" s="241"/>
      <c r="M2038" s="243">
        <f>60*3</f>
        <v>180</v>
      </c>
      <c r="N2038" s="243">
        <f>MONTH(Tableau13[[#This Row],[Date fin intervention]])</f>
        <v>1</v>
      </c>
      <c r="O2038" s="243">
        <f>YEAR(Tableau13[[#This Row],[Date fin intervention]])</f>
        <v>2022</v>
      </c>
      <c r="P2038" s="241"/>
    </row>
    <row r="2039" spans="1:16">
      <c r="A2039" s="238">
        <v>44588</v>
      </c>
      <c r="B2039" s="239">
        <v>580</v>
      </c>
      <c r="C2039" s="240" t="str">
        <f>IF(ISNA(VLOOKUP(Tableau13[[#This Row],[Code machine]],'CODE mchn'!$A$4:$C$170,2,0)),"",VLOOKUP(Tableau13[[#This Row],[Code machine]],'CODE mchn'!$A$4:$C$170,2,0))</f>
        <v>Acier</v>
      </c>
      <c r="D2039" s="241" t="str">
        <f>IF(ISNA(VLOOKUP(Tableau13[[#This Row],[Code machine]],'CODE mchn'!$A$4:$C$170,3,0)),"",VLOOKUP(Tableau13[[#This Row],[Code machine]],'CODE mchn'!$A$4:$C$170,3,0))</f>
        <v>Techno Impiante</v>
      </c>
      <c r="E2039" s="239">
        <v>26703</v>
      </c>
      <c r="F2039" s="241"/>
      <c r="G2039" s="241" t="s">
        <v>1644</v>
      </c>
      <c r="H2039" s="241" t="s">
        <v>3793</v>
      </c>
      <c r="I2039" s="241" t="s">
        <v>13</v>
      </c>
      <c r="J2039" s="249" t="s">
        <v>3794</v>
      </c>
      <c r="K2039" s="242">
        <v>44588</v>
      </c>
      <c r="L2039" s="241"/>
      <c r="M2039" s="243">
        <f>60*1.5</f>
        <v>90</v>
      </c>
      <c r="N2039" s="243">
        <f>MONTH(Tableau13[[#This Row],[Date fin intervention]])</f>
        <v>1</v>
      </c>
      <c r="O2039" s="243">
        <f>YEAR(Tableau13[[#This Row],[Date fin intervention]])</f>
        <v>2022</v>
      </c>
      <c r="P2039" s="241"/>
    </row>
    <row r="2040" spans="1:16">
      <c r="A2040" s="238">
        <v>44588</v>
      </c>
      <c r="B2040" s="239">
        <v>800</v>
      </c>
      <c r="C2040" s="240" t="str">
        <f>IF(ISNA(VLOOKUP(Tableau13[[#This Row],[Code machine]],'CODE mchn'!$A$4:$C$170,2,0)),"",VLOOKUP(Tableau13[[#This Row],[Code machine]],'CODE mchn'!$A$4:$C$170,2,0))</f>
        <v>Béton</v>
      </c>
      <c r="D2040" s="241" t="str">
        <f>IF(ISNA(VLOOKUP(Tableau13[[#This Row],[Code machine]],'CODE mchn'!$A$4:$C$170,3,0)),"",VLOOKUP(Tableau13[[#This Row],[Code machine]],'CODE mchn'!$A$4:$C$170,3,0))</f>
        <v>Poyatos 2</v>
      </c>
      <c r="E2040" s="239">
        <v>26165</v>
      </c>
      <c r="F2040" s="241"/>
      <c r="G2040" s="241" t="s">
        <v>3849</v>
      </c>
      <c r="H2040" s="241" t="s">
        <v>1243</v>
      </c>
      <c r="I2040" s="241" t="s">
        <v>3850</v>
      </c>
      <c r="J2040" s="249" t="s">
        <v>3851</v>
      </c>
      <c r="K2040" s="242">
        <v>44568</v>
      </c>
      <c r="L2040" s="241"/>
      <c r="M2040" s="243">
        <v>120</v>
      </c>
      <c r="N2040" s="243">
        <f>MONTH(Tableau13[[#This Row],[Date fin intervention]])</f>
        <v>1</v>
      </c>
      <c r="O2040" s="243">
        <f>YEAR(Tableau13[[#This Row],[Date fin intervention]])</f>
        <v>2022</v>
      </c>
      <c r="P2040" s="241"/>
    </row>
    <row r="2041" spans="1:16">
      <c r="A2041" s="238">
        <v>44588</v>
      </c>
      <c r="B2041" s="239">
        <v>800</v>
      </c>
      <c r="C2041" s="240" t="str">
        <f>IF(ISNA(VLOOKUP(Tableau13[[#This Row],[Code machine]],'CODE mchn'!$A$4:$C$170,2,0)),"",VLOOKUP(Tableau13[[#This Row],[Code machine]],'CODE mchn'!$A$4:$C$170,2,0))</f>
        <v>Béton</v>
      </c>
      <c r="D2041" s="241" t="str">
        <f>IF(ISNA(VLOOKUP(Tableau13[[#This Row],[Code machine]],'CODE mchn'!$A$4:$C$170,3,0)),"",VLOOKUP(Tableau13[[#This Row],[Code machine]],'CODE mchn'!$A$4:$C$170,3,0))</f>
        <v>Poyatos 2</v>
      </c>
      <c r="E2041" s="239">
        <v>26165</v>
      </c>
      <c r="F2041" s="241"/>
      <c r="G2041" s="241" t="s">
        <v>136</v>
      </c>
      <c r="H2041" s="241" t="s">
        <v>1194</v>
      </c>
      <c r="I2041" s="241" t="s">
        <v>13</v>
      </c>
      <c r="J2041" s="249" t="s">
        <v>3852</v>
      </c>
      <c r="K2041" s="242">
        <v>44588</v>
      </c>
      <c r="L2041" s="241"/>
      <c r="M2041" s="243">
        <v>120</v>
      </c>
      <c r="N2041" s="243">
        <f>MONTH(Tableau13[[#This Row],[Date fin intervention]])</f>
        <v>1</v>
      </c>
      <c r="O2041" s="243">
        <f>YEAR(Tableau13[[#This Row],[Date fin intervention]])</f>
        <v>2022</v>
      </c>
      <c r="P2041" s="241"/>
    </row>
    <row r="2042" spans="1:16">
      <c r="A2042" s="238">
        <v>44589</v>
      </c>
      <c r="B2042" s="239">
        <v>590</v>
      </c>
      <c r="C2042" s="240" t="str">
        <f>IF(ISNA(VLOOKUP(Tableau13[[#This Row],[Code machine]],'CODE mchn'!$A$4:$C$170,2,0)),"",VLOOKUP(Tableau13[[#This Row],[Code machine]],'CODE mchn'!$A$4:$C$170,2,0))</f>
        <v>Acier</v>
      </c>
      <c r="D2042" s="241" t="str">
        <f>IF(ISNA(VLOOKUP(Tableau13[[#This Row],[Code machine]],'CODE mchn'!$A$4:$C$170,3,0)),"",VLOOKUP(Tableau13[[#This Row],[Code machine]],'CODE mchn'!$A$4:$C$170,3,0))</f>
        <v>Teurema 3</v>
      </c>
      <c r="E2042" s="239">
        <v>26268</v>
      </c>
      <c r="F2042" s="241"/>
      <c r="G2042" s="241" t="s">
        <v>70</v>
      </c>
      <c r="H2042" s="241" t="s">
        <v>3843</v>
      </c>
      <c r="I2042" s="241" t="s">
        <v>13</v>
      </c>
      <c r="J2042" s="249" t="s">
        <v>1838</v>
      </c>
      <c r="K2042" s="242">
        <v>44589</v>
      </c>
      <c r="L2042" s="241"/>
      <c r="M2042" s="243">
        <v>120</v>
      </c>
      <c r="N2042" s="243">
        <f>MONTH(Tableau13[[#This Row],[Date fin intervention]])</f>
        <v>1</v>
      </c>
      <c r="O2042" s="243">
        <f>YEAR(Tableau13[[#This Row],[Date fin intervention]])</f>
        <v>2022</v>
      </c>
      <c r="P2042" s="241"/>
    </row>
    <row r="2043" spans="1:16">
      <c r="A2043" s="238">
        <v>44589</v>
      </c>
      <c r="B2043" s="239">
        <v>604</v>
      </c>
      <c r="C2043" s="240" t="str">
        <f>IF(ISNA(VLOOKUP(Tableau13[[#This Row],[Code machine]],'CODE mchn'!$A$4:$C$170,2,0)),"",VLOOKUP(Tableau13[[#This Row],[Code machine]],'CODE mchn'!$A$4:$C$170,2,0))</f>
        <v>Acier</v>
      </c>
      <c r="D2043" s="241" t="str">
        <f>IF(ISNA(VLOOKUP(Tableau13[[#This Row],[Code machine]],'CODE mchn'!$A$4:$C$170,3,0)),"",VLOOKUP(Tableau13[[#This Row],[Code machine]],'CODE mchn'!$A$4:$C$170,3,0))</f>
        <v>TI</v>
      </c>
      <c r="E2043" s="239">
        <v>26329</v>
      </c>
      <c r="F2043" s="241"/>
      <c r="G2043" s="241" t="s">
        <v>10</v>
      </c>
      <c r="H2043" s="241" t="s">
        <v>3933</v>
      </c>
      <c r="I2043" s="241" t="s">
        <v>13</v>
      </c>
      <c r="J2043" s="249" t="s">
        <v>3934</v>
      </c>
      <c r="K2043" s="242">
        <v>44589</v>
      </c>
      <c r="L2043" s="241"/>
      <c r="M2043" s="243">
        <f>2*8*60</f>
        <v>960</v>
      </c>
      <c r="N2043" s="243">
        <f>MONTH(Tableau13[[#This Row],[Date fin intervention]])</f>
        <v>1</v>
      </c>
      <c r="O2043" s="243">
        <f>YEAR(Tableau13[[#This Row],[Date fin intervention]])</f>
        <v>2022</v>
      </c>
      <c r="P2043" s="241"/>
    </row>
    <row r="2044" spans="1:16">
      <c r="A2044" s="238">
        <v>44590</v>
      </c>
      <c r="B2044" s="239">
        <v>590</v>
      </c>
      <c r="C2044" s="240" t="str">
        <f>IF(ISNA(VLOOKUP(Tableau13[[#This Row],[Code machine]],'CODE mchn'!$A$4:$C$170,2,0)),"",VLOOKUP(Tableau13[[#This Row],[Code machine]],'CODE mchn'!$A$4:$C$170,2,0))</f>
        <v>Acier</v>
      </c>
      <c r="D2044" s="241" t="str">
        <f>IF(ISNA(VLOOKUP(Tableau13[[#This Row],[Code machine]],'CODE mchn'!$A$4:$C$170,3,0)),"",VLOOKUP(Tableau13[[#This Row],[Code machine]],'CODE mchn'!$A$4:$C$170,3,0))</f>
        <v>Teurema 3</v>
      </c>
      <c r="E2044" s="239">
        <v>26704</v>
      </c>
      <c r="F2044" s="241"/>
      <c r="G2044" s="241" t="s">
        <v>612</v>
      </c>
      <c r="H2044" s="241" t="s">
        <v>496</v>
      </c>
      <c r="I2044" s="241" t="s">
        <v>13</v>
      </c>
      <c r="J2044" s="249" t="s">
        <v>1865</v>
      </c>
      <c r="K2044" s="242">
        <v>44592</v>
      </c>
      <c r="L2044" s="241"/>
      <c r="M2044" s="243">
        <f>8*2*60</f>
        <v>960</v>
      </c>
      <c r="N2044" s="243">
        <f>MONTH(Tableau13[[#This Row],[Date fin intervention]])</f>
        <v>1</v>
      </c>
      <c r="O2044" s="243">
        <f>YEAR(Tableau13[[#This Row],[Date fin intervention]])</f>
        <v>2022</v>
      </c>
      <c r="P2044" s="241"/>
    </row>
    <row r="2045" spans="1:16">
      <c r="A2045" s="238">
        <v>44590</v>
      </c>
      <c r="B2045" s="239">
        <v>581</v>
      </c>
      <c r="C2045" s="240" t="str">
        <f>IF(ISNA(VLOOKUP(Tableau13[[#This Row],[Code machine]],'CODE mchn'!$A$4:$C$170,2,0)),"",VLOOKUP(Tableau13[[#This Row],[Code machine]],'CODE mchn'!$A$4:$C$170,2,0))</f>
        <v>Acier</v>
      </c>
      <c r="D2045" s="241" t="str">
        <f>IF(ISNA(VLOOKUP(Tableau13[[#This Row],[Code machine]],'CODE mchn'!$A$4:$C$170,3,0)),"",VLOOKUP(Tableau13[[#This Row],[Code machine]],'CODE mchn'!$A$4:$C$170,3,0))</f>
        <v>Teurema 1</v>
      </c>
      <c r="E2045" s="239">
        <v>26705</v>
      </c>
      <c r="F2045" s="241"/>
      <c r="G2045" s="241" t="s">
        <v>136</v>
      </c>
      <c r="H2045" s="241" t="s">
        <v>3795</v>
      </c>
      <c r="I2045" s="241" t="s">
        <v>13</v>
      </c>
      <c r="J2045" s="249" t="s">
        <v>3796</v>
      </c>
      <c r="K2045" s="242">
        <v>44590</v>
      </c>
      <c r="L2045" s="241"/>
      <c r="M2045" s="243">
        <v>50</v>
      </c>
      <c r="N2045" s="243">
        <f>MONTH(Tableau13[[#This Row],[Date fin intervention]])</f>
        <v>1</v>
      </c>
      <c r="O2045" s="243">
        <f>YEAR(Tableau13[[#This Row],[Date fin intervention]])</f>
        <v>2022</v>
      </c>
      <c r="P2045" s="241"/>
    </row>
    <row r="2046" spans="1:16">
      <c r="A2046" s="238">
        <v>44592</v>
      </c>
      <c r="B2046" s="239">
        <v>700</v>
      </c>
      <c r="C2046" s="240" t="str">
        <f>IF(ISNA(VLOOKUP(Tableau13[[#This Row],[Code machine]],'CODE mchn'!$A$4:$C$170,2,0)),"",VLOOKUP(Tableau13[[#This Row],[Code machine]],'CODE mchn'!$A$4:$C$170,2,0))</f>
        <v>Béton</v>
      </c>
      <c r="D2046" s="241" t="str">
        <f>IF(ISNA(VLOOKUP(Tableau13[[#This Row],[Code machine]],'CODE mchn'!$A$4:$C$170,3,0)),"",VLOOKUP(Tableau13[[#This Row],[Code machine]],'CODE mchn'!$A$4:$C$170,3,0))</f>
        <v>Poyatos 1</v>
      </c>
      <c r="E2046" s="239">
        <v>26166</v>
      </c>
      <c r="F2046" s="241"/>
      <c r="G2046" s="241" t="s">
        <v>43</v>
      </c>
      <c r="H2046" s="241" t="s">
        <v>3853</v>
      </c>
      <c r="I2046" s="241" t="s">
        <v>13</v>
      </c>
      <c r="J2046" s="249" t="s">
        <v>3854</v>
      </c>
      <c r="K2046" s="242">
        <v>44592</v>
      </c>
      <c r="L2046" s="241"/>
      <c r="M2046" s="243">
        <v>120</v>
      </c>
      <c r="N2046" s="243">
        <f>MONTH(Tableau13[[#This Row],[Date fin intervention]])</f>
        <v>1</v>
      </c>
      <c r="O2046" s="243">
        <f>YEAR(Tableau13[[#This Row],[Date fin intervention]])</f>
        <v>2022</v>
      </c>
      <c r="P2046" s="241"/>
    </row>
    <row r="2047" spans="1:16">
      <c r="A2047" s="238">
        <v>44594</v>
      </c>
      <c r="B2047" s="239">
        <v>590</v>
      </c>
      <c r="C2047" s="240" t="str">
        <f>IF(ISNA(VLOOKUP(Tableau13[[#This Row],[Code machine]],'CODE mchn'!$A$4:$C$170,2,0)),"",VLOOKUP(Tableau13[[#This Row],[Code machine]],'CODE mchn'!$A$4:$C$170,2,0))</f>
        <v>Acier</v>
      </c>
      <c r="D2047" s="241" t="str">
        <f>IF(ISNA(VLOOKUP(Tableau13[[#This Row],[Code machine]],'CODE mchn'!$A$4:$C$170,3,0)),"",VLOOKUP(Tableau13[[#This Row],[Code machine]],'CODE mchn'!$A$4:$C$170,3,0))</f>
        <v>Teurema 3</v>
      </c>
      <c r="E2047" s="239">
        <v>26707</v>
      </c>
      <c r="F2047" s="241"/>
      <c r="G2047" s="241" t="s">
        <v>3797</v>
      </c>
      <c r="H2047" s="241" t="s">
        <v>764</v>
      </c>
      <c r="I2047" s="241" t="s">
        <v>13</v>
      </c>
      <c r="J2047" s="249" t="s">
        <v>302</v>
      </c>
      <c r="K2047" s="242">
        <v>44594</v>
      </c>
      <c r="L2047" s="241"/>
      <c r="M2047" s="243"/>
      <c r="N2047" s="243">
        <f>MONTH(Tableau13[[#This Row],[Date fin intervention]])</f>
        <v>2</v>
      </c>
      <c r="O2047" s="243">
        <f>YEAR(Tableau13[[#This Row],[Date fin intervention]])</f>
        <v>2022</v>
      </c>
      <c r="P2047" s="241"/>
    </row>
    <row r="2048" spans="1:16">
      <c r="A2048" s="238">
        <v>44594</v>
      </c>
      <c r="B2048" s="239">
        <v>581</v>
      </c>
      <c r="C2048" s="240" t="str">
        <f>IF(ISNA(VLOOKUP(Tableau13[[#This Row],[Code machine]],'CODE mchn'!$A$4:$C$170,2,0)),"",VLOOKUP(Tableau13[[#This Row],[Code machine]],'CODE mchn'!$A$4:$C$170,2,0))</f>
        <v>Acier</v>
      </c>
      <c r="D2048" s="241" t="str">
        <f>IF(ISNA(VLOOKUP(Tableau13[[#This Row],[Code machine]],'CODE mchn'!$A$4:$C$170,3,0)),"",VLOOKUP(Tableau13[[#This Row],[Code machine]],'CODE mchn'!$A$4:$C$170,3,0))</f>
        <v>Teurema 1</v>
      </c>
      <c r="E2048" s="239">
        <v>26708</v>
      </c>
      <c r="F2048" s="241"/>
      <c r="G2048" s="241" t="s">
        <v>2349</v>
      </c>
      <c r="H2048" s="241" t="s">
        <v>3798</v>
      </c>
      <c r="I2048" s="241" t="s">
        <v>13</v>
      </c>
      <c r="J2048" s="249" t="s">
        <v>3235</v>
      </c>
      <c r="K2048" s="242">
        <v>44594</v>
      </c>
      <c r="L2048" s="241"/>
      <c r="M2048" s="243"/>
      <c r="N2048" s="243">
        <f>MONTH(Tableau13[[#This Row],[Date fin intervention]])</f>
        <v>2</v>
      </c>
      <c r="O2048" s="243">
        <f>YEAR(Tableau13[[#This Row],[Date fin intervention]])</f>
        <v>2022</v>
      </c>
      <c r="P2048" s="241"/>
    </row>
    <row r="2049" spans="1:16">
      <c r="A2049" s="238">
        <v>44594</v>
      </c>
      <c r="B2049" s="239">
        <v>605</v>
      </c>
      <c r="C2049" s="240" t="str">
        <f>IF(ISNA(VLOOKUP(Tableau13[[#This Row],[Code machine]],'CODE mchn'!$A$4:$C$170,2,0)),"",VLOOKUP(Tableau13[[#This Row],[Code machine]],'CODE mchn'!$A$4:$C$170,2,0))</f>
        <v>Acier</v>
      </c>
      <c r="D2049" s="241" t="str">
        <f>IF(ISNA(VLOOKUP(Tableau13[[#This Row],[Code machine]],'CODE mchn'!$A$4:$C$170,3,0)),"",VLOOKUP(Tableau13[[#This Row],[Code machine]],'CODE mchn'!$A$4:$C$170,3,0))</f>
        <v>Vitari 1</v>
      </c>
      <c r="E2049" s="239">
        <v>26454</v>
      </c>
      <c r="F2049" s="241"/>
      <c r="G2049" s="241" t="s">
        <v>78</v>
      </c>
      <c r="H2049" s="241" t="s">
        <v>3819</v>
      </c>
      <c r="I2049" s="241" t="s">
        <v>13</v>
      </c>
      <c r="J2049" s="249" t="s">
        <v>3820</v>
      </c>
      <c r="K2049" s="242">
        <v>44594</v>
      </c>
      <c r="L2049" s="241"/>
      <c r="M2049" s="243">
        <f>4*60</f>
        <v>240</v>
      </c>
      <c r="N2049" s="243">
        <f>MONTH(Tableau13[[#This Row],[Date fin intervention]])</f>
        <v>2</v>
      </c>
      <c r="O2049" s="243">
        <f>YEAR(Tableau13[[#This Row],[Date fin intervention]])</f>
        <v>2022</v>
      </c>
      <c r="P2049" s="241"/>
    </row>
    <row r="2050" spans="1:16" ht="28.5">
      <c r="A2050" s="238">
        <v>44594</v>
      </c>
      <c r="B2050" s="239">
        <v>700</v>
      </c>
      <c r="C2050" s="240" t="str">
        <f>IF(ISNA(VLOOKUP(Tableau13[[#This Row],[Code machine]],'CODE mchn'!$A$4:$C$170,2,0)),"",VLOOKUP(Tableau13[[#This Row],[Code machine]],'CODE mchn'!$A$4:$C$170,2,0))</f>
        <v>Béton</v>
      </c>
      <c r="D2050" s="241" t="str">
        <f>IF(ISNA(VLOOKUP(Tableau13[[#This Row],[Code machine]],'CODE mchn'!$A$4:$C$170,3,0)),"",VLOOKUP(Tableau13[[#This Row],[Code machine]],'CODE mchn'!$A$4:$C$170,3,0))</f>
        <v>Poyatos 1</v>
      </c>
      <c r="E2050" s="239">
        <v>26167</v>
      </c>
      <c r="F2050" s="241"/>
      <c r="G2050" s="241" t="s">
        <v>306</v>
      </c>
      <c r="H2050" s="241" t="s">
        <v>1126</v>
      </c>
      <c r="I2050" s="241" t="s">
        <v>13</v>
      </c>
      <c r="J2050" s="249" t="s">
        <v>3855</v>
      </c>
      <c r="K2050" s="242">
        <v>44594</v>
      </c>
      <c r="L2050" s="241"/>
      <c r="M2050" s="243">
        <v>120</v>
      </c>
      <c r="N2050" s="243">
        <f>MONTH(Tableau13[[#This Row],[Date fin intervention]])</f>
        <v>2</v>
      </c>
      <c r="O2050" s="243">
        <f>YEAR(Tableau13[[#This Row],[Date fin intervention]])</f>
        <v>2022</v>
      </c>
      <c r="P2050" s="241"/>
    </row>
    <row r="2051" spans="1:16">
      <c r="A2051" s="238">
        <v>44594</v>
      </c>
      <c r="B2051" s="239">
        <v>565</v>
      </c>
      <c r="C2051" s="240" t="str">
        <f>IF(ISNA(VLOOKUP(Tableau13[[#This Row],[Code machine]],'CODE mchn'!$A$4:$C$170,2,0)),"",VLOOKUP(Tableau13[[#This Row],[Code machine]],'CODE mchn'!$A$4:$C$170,2,0))</f>
        <v>Acier</v>
      </c>
      <c r="D2051" s="241" t="str">
        <f>IF(ISNA(VLOOKUP(Tableau13[[#This Row],[Code machine]],'CODE mchn'!$A$4:$C$170,3,0)),"",VLOOKUP(Tableau13[[#This Row],[Code machine]],'CODE mchn'!$A$4:$C$170,3,0))</f>
        <v>EVG GE12</v>
      </c>
      <c r="E2051" s="239">
        <v>26653</v>
      </c>
      <c r="F2051" s="241"/>
      <c r="G2051" s="241" t="s">
        <v>1101</v>
      </c>
      <c r="H2051" s="241" t="s">
        <v>3939</v>
      </c>
      <c r="I2051" s="241" t="s">
        <v>13</v>
      </c>
      <c r="J2051" s="249" t="s">
        <v>3940</v>
      </c>
      <c r="K2051" s="242">
        <v>44594</v>
      </c>
      <c r="L2051" s="241"/>
      <c r="M2051" s="243">
        <v>30</v>
      </c>
      <c r="N2051" s="243">
        <f>MONTH(Tableau13[[#This Row],[Date fin intervention]])</f>
        <v>2</v>
      </c>
      <c r="O2051" s="243">
        <f>YEAR(Tableau13[[#This Row],[Date fin intervention]])</f>
        <v>2022</v>
      </c>
      <c r="P2051" s="241"/>
    </row>
    <row r="2052" spans="1:16">
      <c r="A2052" s="238">
        <v>44597</v>
      </c>
      <c r="B2052" s="239">
        <v>581</v>
      </c>
      <c r="C2052" s="240" t="str">
        <f>IF(ISNA(VLOOKUP(Tableau13[[#This Row],[Code machine]],'CODE mchn'!$A$4:$C$170,2,0)),"",VLOOKUP(Tableau13[[#This Row],[Code machine]],'CODE mchn'!$A$4:$C$170,2,0))</f>
        <v>Acier</v>
      </c>
      <c r="D2052" s="241" t="str">
        <f>IF(ISNA(VLOOKUP(Tableau13[[#This Row],[Code machine]],'CODE mchn'!$A$4:$C$170,3,0)),"",VLOOKUP(Tableau13[[#This Row],[Code machine]],'CODE mchn'!$A$4:$C$170,3,0))</f>
        <v>Teurema 1</v>
      </c>
      <c r="E2052" s="239">
        <v>26709</v>
      </c>
      <c r="F2052" s="241"/>
      <c r="G2052" s="241" t="s">
        <v>664</v>
      </c>
      <c r="H2052" s="241" t="s">
        <v>3799</v>
      </c>
      <c r="I2052" s="241" t="s">
        <v>13</v>
      </c>
      <c r="J2052" s="249" t="s">
        <v>3800</v>
      </c>
      <c r="K2052" s="242">
        <v>44597</v>
      </c>
      <c r="L2052" s="241"/>
      <c r="M2052" s="243">
        <v>120</v>
      </c>
      <c r="N2052" s="243">
        <f>MONTH(Tableau13[[#This Row],[Date fin intervention]])</f>
        <v>2</v>
      </c>
      <c r="O2052" s="243">
        <f>YEAR(Tableau13[[#This Row],[Date fin intervention]])</f>
        <v>2022</v>
      </c>
      <c r="P2052" s="241"/>
    </row>
    <row r="2053" spans="1:16">
      <c r="A2053" s="238">
        <v>44597</v>
      </c>
      <c r="B2053" s="239">
        <v>565</v>
      </c>
      <c r="C2053" s="240" t="str">
        <f>IF(ISNA(VLOOKUP(Tableau13[[#This Row],[Code machine]],'CODE mchn'!$A$4:$C$170,2,0)),"",VLOOKUP(Tableau13[[#This Row],[Code machine]],'CODE mchn'!$A$4:$C$170,2,0))</f>
        <v>Acier</v>
      </c>
      <c r="D2053" s="241" t="str">
        <f>IF(ISNA(VLOOKUP(Tableau13[[#This Row],[Code machine]],'CODE mchn'!$A$4:$C$170,3,0)),"",VLOOKUP(Tableau13[[#This Row],[Code machine]],'CODE mchn'!$A$4:$C$170,3,0))</f>
        <v>EVG GE12</v>
      </c>
      <c r="E2053" s="239">
        <v>26452</v>
      </c>
      <c r="F2053" s="241"/>
      <c r="G2053" s="241" t="s">
        <v>20</v>
      </c>
      <c r="H2053" s="241" t="s">
        <v>3817</v>
      </c>
      <c r="I2053" s="241" t="s">
        <v>101</v>
      </c>
      <c r="J2053" s="249" t="s">
        <v>3818</v>
      </c>
      <c r="K2053" s="242">
        <v>44599</v>
      </c>
      <c r="L2053" s="241"/>
      <c r="M2053" s="243">
        <f>8*2*60</f>
        <v>960</v>
      </c>
      <c r="N2053" s="243">
        <f>MONTH(Tableau13[[#This Row],[Date fin intervention]])</f>
        <v>2</v>
      </c>
      <c r="O2053" s="243">
        <f>YEAR(Tableau13[[#This Row],[Date fin intervention]])</f>
        <v>2022</v>
      </c>
      <c r="P2053" s="241"/>
    </row>
    <row r="2054" spans="1:16" ht="28.5">
      <c r="A2054" s="238">
        <v>44597</v>
      </c>
      <c r="B2054" s="239">
        <v>568</v>
      </c>
      <c r="C2054" s="240" t="str">
        <f>IF(ISNA(VLOOKUP(Tableau13[[#This Row],[Code machine]],'CODE mchn'!$A$4:$C$170,2,0)),"",VLOOKUP(Tableau13[[#This Row],[Code machine]],'CODE mchn'!$A$4:$C$170,2,0))</f>
        <v>Ponts roulants</v>
      </c>
      <c r="D2054" s="241" t="str">
        <f>IF(ISNA(VLOOKUP(Tableau13[[#This Row],[Code machine]],'CODE mchn'!$A$4:$C$170,3,0)),"",VLOOKUP(Tableau13[[#This Row],[Code machine]],'CODE mchn'!$A$4:$C$170,3,0))</f>
        <v>Pont roulant Demag 5T (milieu)</v>
      </c>
      <c r="E2054" s="239">
        <v>26453</v>
      </c>
      <c r="F2054" s="241"/>
      <c r="G2054" s="241" t="s">
        <v>1563</v>
      </c>
      <c r="H2054" s="241" t="s">
        <v>867</v>
      </c>
      <c r="I2054" s="241" t="s">
        <v>13</v>
      </c>
      <c r="J2054" s="249" t="s">
        <v>1177</v>
      </c>
      <c r="K2054" s="242">
        <v>44597</v>
      </c>
      <c r="L2054" s="241"/>
      <c r="M2054" s="243">
        <v>160</v>
      </c>
      <c r="N2054" s="243">
        <f>MONTH(Tableau13[[#This Row],[Date fin intervention]])</f>
        <v>2</v>
      </c>
      <c r="O2054" s="243">
        <f>YEAR(Tableau13[[#This Row],[Date fin intervention]])</f>
        <v>2022</v>
      </c>
      <c r="P2054" s="241"/>
    </row>
    <row r="2055" spans="1:16">
      <c r="A2055" s="238">
        <v>44597</v>
      </c>
      <c r="B2055" s="239">
        <v>565</v>
      </c>
      <c r="C2055" s="240" t="str">
        <f>IF(ISNA(VLOOKUP(Tableau13[[#This Row],[Code machine]],'CODE mchn'!$A$4:$C$170,2,0)),"",VLOOKUP(Tableau13[[#This Row],[Code machine]],'CODE mchn'!$A$4:$C$170,2,0))</f>
        <v>Acier</v>
      </c>
      <c r="D2055" s="241" t="str">
        <f>IF(ISNA(VLOOKUP(Tableau13[[#This Row],[Code machine]],'CODE mchn'!$A$4:$C$170,3,0)),"",VLOOKUP(Tableau13[[#This Row],[Code machine]],'CODE mchn'!$A$4:$C$170,3,0))</f>
        <v>EVG GE12</v>
      </c>
      <c r="E2055" s="239">
        <v>26455</v>
      </c>
      <c r="F2055" s="241"/>
      <c r="G2055" s="241" t="s">
        <v>3821</v>
      </c>
      <c r="H2055" s="241" t="s">
        <v>3822</v>
      </c>
      <c r="I2055" s="241" t="s">
        <v>101</v>
      </c>
      <c r="J2055" s="249" t="s">
        <v>3823</v>
      </c>
      <c r="K2055" s="242">
        <v>44597</v>
      </c>
      <c r="L2055" s="241"/>
      <c r="M2055" s="243">
        <v>180</v>
      </c>
      <c r="N2055" s="243">
        <f>MONTH(Tableau13[[#This Row],[Date fin intervention]])</f>
        <v>2</v>
      </c>
      <c r="O2055" s="243">
        <f>YEAR(Tableau13[[#This Row],[Date fin intervention]])</f>
        <v>2022</v>
      </c>
      <c r="P2055" s="241"/>
    </row>
    <row r="2056" spans="1:16">
      <c r="A2056" s="238">
        <v>44597</v>
      </c>
      <c r="B2056" s="239">
        <v>700</v>
      </c>
      <c r="C2056" s="240" t="str">
        <f>IF(ISNA(VLOOKUP(Tableau13[[#This Row],[Code machine]],'CODE mchn'!$A$4:$C$170,2,0)),"",VLOOKUP(Tableau13[[#This Row],[Code machine]],'CODE mchn'!$A$4:$C$170,2,0))</f>
        <v>Béton</v>
      </c>
      <c r="D2056" s="241" t="str">
        <f>IF(ISNA(VLOOKUP(Tableau13[[#This Row],[Code machine]],'CODE mchn'!$A$4:$C$170,3,0)),"",VLOOKUP(Tableau13[[#This Row],[Code machine]],'CODE mchn'!$A$4:$C$170,3,0))</f>
        <v>Poyatos 1</v>
      </c>
      <c r="E2056" s="239">
        <v>26168</v>
      </c>
      <c r="F2056" s="241"/>
      <c r="G2056" s="241" t="s">
        <v>118</v>
      </c>
      <c r="H2056" s="241" t="s">
        <v>2874</v>
      </c>
      <c r="I2056" s="241" t="s">
        <v>13</v>
      </c>
      <c r="J2056" s="249" t="s">
        <v>3856</v>
      </c>
      <c r="K2056" s="242">
        <v>44597</v>
      </c>
      <c r="L2056" s="241"/>
      <c r="M2056" s="243">
        <v>150</v>
      </c>
      <c r="N2056" s="243">
        <f>MONTH(Tableau13[[#This Row],[Date fin intervention]])</f>
        <v>2</v>
      </c>
      <c r="O2056" s="243">
        <f>YEAR(Tableau13[[#This Row],[Date fin intervention]])</f>
        <v>2022</v>
      </c>
      <c r="P2056" s="241"/>
    </row>
    <row r="2057" spans="1:16">
      <c r="A2057" s="238">
        <v>44599</v>
      </c>
      <c r="B2057" s="239">
        <v>581</v>
      </c>
      <c r="C2057" s="240" t="str">
        <f>IF(ISNA(VLOOKUP(Tableau13[[#This Row],[Code machine]],'CODE mchn'!$A$4:$C$170,2,0)),"",VLOOKUP(Tableau13[[#This Row],[Code machine]],'CODE mchn'!$A$4:$C$170,2,0))</f>
        <v>Acier</v>
      </c>
      <c r="D2057" s="241" t="str">
        <f>IF(ISNA(VLOOKUP(Tableau13[[#This Row],[Code machine]],'CODE mchn'!$A$4:$C$170,3,0)),"",VLOOKUP(Tableau13[[#This Row],[Code machine]],'CODE mchn'!$A$4:$C$170,3,0))</f>
        <v>Teurema 1</v>
      </c>
      <c r="E2057" s="239">
        <v>26710</v>
      </c>
      <c r="F2057" s="241"/>
      <c r="G2057" s="241" t="s">
        <v>3801</v>
      </c>
      <c r="H2057" s="241" t="s">
        <v>764</v>
      </c>
      <c r="I2057" s="241" t="s">
        <v>13</v>
      </c>
      <c r="J2057" s="249" t="s">
        <v>302</v>
      </c>
      <c r="K2057" s="242">
        <v>44599</v>
      </c>
      <c r="L2057" s="241"/>
      <c r="M2057" s="243">
        <f>60*3</f>
        <v>180</v>
      </c>
      <c r="N2057" s="243">
        <f>MONTH(Tableau13[[#This Row],[Date fin intervention]])</f>
        <v>2</v>
      </c>
      <c r="O2057" s="243">
        <f>YEAR(Tableau13[[#This Row],[Date fin intervention]])</f>
        <v>2022</v>
      </c>
      <c r="P2057" s="241"/>
    </row>
    <row r="2058" spans="1:16">
      <c r="A2058" s="238">
        <v>44599</v>
      </c>
      <c r="B2058" s="239">
        <v>580</v>
      </c>
      <c r="C2058" s="240" t="str">
        <f>IF(ISNA(VLOOKUP(Tableau13[[#This Row],[Code machine]],'CODE mchn'!$A$4:$C$170,2,0)),"",VLOOKUP(Tableau13[[#This Row],[Code machine]],'CODE mchn'!$A$4:$C$170,2,0))</f>
        <v>Acier</v>
      </c>
      <c r="D2058" s="241" t="str">
        <f>IF(ISNA(VLOOKUP(Tableau13[[#This Row],[Code machine]],'CODE mchn'!$A$4:$C$170,3,0)),"",VLOOKUP(Tableau13[[#This Row],[Code machine]],'CODE mchn'!$A$4:$C$170,3,0))</f>
        <v>Techno Impiante</v>
      </c>
      <c r="E2058" s="239">
        <v>26711</v>
      </c>
      <c r="F2058" s="241"/>
      <c r="G2058" s="241" t="s">
        <v>1644</v>
      </c>
      <c r="H2058" s="241" t="s">
        <v>1356</v>
      </c>
      <c r="I2058" s="241" t="s">
        <v>101</v>
      </c>
      <c r="J2058" s="249" t="s">
        <v>3803</v>
      </c>
      <c r="K2058" s="242">
        <v>44599</v>
      </c>
      <c r="L2058" s="241"/>
      <c r="M2058" s="243">
        <v>45</v>
      </c>
      <c r="N2058" s="243">
        <f>MONTH(Tableau13[[#This Row],[Date fin intervention]])</f>
        <v>2</v>
      </c>
      <c r="O2058" s="243">
        <f>YEAR(Tableau13[[#This Row],[Date fin intervention]])</f>
        <v>2022</v>
      </c>
      <c r="P2058" s="241"/>
    </row>
    <row r="2059" spans="1:16">
      <c r="A2059" s="238">
        <v>44599</v>
      </c>
      <c r="B2059" s="239">
        <v>800</v>
      </c>
      <c r="C2059" s="240" t="str">
        <f>IF(ISNA(VLOOKUP(Tableau13[[#This Row],[Code machine]],'CODE mchn'!$A$4:$C$170,2,0)),"",VLOOKUP(Tableau13[[#This Row],[Code machine]],'CODE mchn'!$A$4:$C$170,2,0))</f>
        <v>Béton</v>
      </c>
      <c r="D2059" s="241" t="str">
        <f>IF(ISNA(VLOOKUP(Tableau13[[#This Row],[Code machine]],'CODE mchn'!$A$4:$C$170,3,0)),"",VLOOKUP(Tableau13[[#This Row],[Code machine]],'CODE mchn'!$A$4:$C$170,3,0))</f>
        <v>Poyatos 2</v>
      </c>
      <c r="E2059" s="239">
        <v>26169</v>
      </c>
      <c r="F2059" s="241"/>
      <c r="G2059" s="241" t="s">
        <v>213</v>
      </c>
      <c r="H2059" s="241" t="s">
        <v>2076</v>
      </c>
      <c r="I2059" s="241" t="s">
        <v>13</v>
      </c>
      <c r="J2059" s="249" t="s">
        <v>3857</v>
      </c>
      <c r="K2059" s="242">
        <v>44599</v>
      </c>
      <c r="L2059" s="241"/>
      <c r="M2059" s="243">
        <v>90</v>
      </c>
      <c r="N2059" s="243">
        <f>MONTH(Tableau13[[#This Row],[Date fin intervention]])</f>
        <v>2</v>
      </c>
      <c r="O2059" s="243">
        <f>YEAR(Tableau13[[#This Row],[Date fin intervention]])</f>
        <v>2022</v>
      </c>
      <c r="P2059" s="241"/>
    </row>
    <row r="2060" spans="1:16">
      <c r="A2060" s="238">
        <v>44599</v>
      </c>
      <c r="B2060" s="239">
        <v>700</v>
      </c>
      <c r="C2060" s="240" t="str">
        <f>IF(ISNA(VLOOKUP(Tableau13[[#This Row],[Code machine]],'CODE mchn'!$A$4:$C$170,2,0)),"",VLOOKUP(Tableau13[[#This Row],[Code machine]],'CODE mchn'!$A$4:$C$170,2,0))</f>
        <v>Béton</v>
      </c>
      <c r="D2060" s="241" t="str">
        <f>IF(ISNA(VLOOKUP(Tableau13[[#This Row],[Code machine]],'CODE mchn'!$A$4:$C$170,3,0)),"",VLOOKUP(Tableau13[[#This Row],[Code machine]],'CODE mchn'!$A$4:$C$170,3,0))</f>
        <v>Poyatos 1</v>
      </c>
      <c r="E2060" s="239">
        <v>26170</v>
      </c>
      <c r="F2060" s="241"/>
      <c r="G2060" s="241" t="s">
        <v>213</v>
      </c>
      <c r="H2060" s="241" t="s">
        <v>3858</v>
      </c>
      <c r="I2060" s="241" t="s">
        <v>13</v>
      </c>
      <c r="J2060" s="249" t="s">
        <v>3859</v>
      </c>
      <c r="K2060" s="242">
        <v>44599</v>
      </c>
      <c r="L2060" s="241"/>
      <c r="M2060" s="243">
        <f>8*60</f>
        <v>480</v>
      </c>
      <c r="N2060" s="243">
        <f>MONTH(Tableau13[[#This Row],[Date fin intervention]])</f>
        <v>2</v>
      </c>
      <c r="O2060" s="243">
        <f>YEAR(Tableau13[[#This Row],[Date fin intervention]])</f>
        <v>2022</v>
      </c>
      <c r="P2060" s="241"/>
    </row>
    <row r="2061" spans="1:16">
      <c r="A2061" s="238">
        <v>44600</v>
      </c>
      <c r="B2061" s="239">
        <v>590</v>
      </c>
      <c r="C2061" s="240" t="str">
        <f>IF(ISNA(VLOOKUP(Tableau13[[#This Row],[Code machine]],'CODE mchn'!$A$4:$C$170,2,0)),"",VLOOKUP(Tableau13[[#This Row],[Code machine]],'CODE mchn'!$A$4:$C$170,2,0))</f>
        <v>Acier</v>
      </c>
      <c r="D2061" s="241" t="str">
        <f>IF(ISNA(VLOOKUP(Tableau13[[#This Row],[Code machine]],'CODE mchn'!$A$4:$C$170,3,0)),"",VLOOKUP(Tableau13[[#This Row],[Code machine]],'CODE mchn'!$A$4:$C$170,3,0))</f>
        <v>Teurema 3</v>
      </c>
      <c r="E2061" s="239">
        <v>26712</v>
      </c>
      <c r="F2061" s="241"/>
      <c r="G2061" s="241" t="s">
        <v>880</v>
      </c>
      <c r="H2061" s="241" t="s">
        <v>1650</v>
      </c>
      <c r="I2061" s="241" t="s">
        <v>13</v>
      </c>
      <c r="J2061" s="249" t="s">
        <v>3804</v>
      </c>
      <c r="K2061" s="242">
        <v>44600</v>
      </c>
      <c r="L2061" s="241"/>
      <c r="M2061" s="243">
        <v>45</v>
      </c>
      <c r="N2061" s="243">
        <f>MONTH(Tableau13[[#This Row],[Date fin intervention]])</f>
        <v>2</v>
      </c>
      <c r="O2061" s="243">
        <f>YEAR(Tableau13[[#This Row],[Date fin intervention]])</f>
        <v>2022</v>
      </c>
      <c r="P2061" s="241"/>
    </row>
    <row r="2062" spans="1:16">
      <c r="A2062" s="238">
        <v>44603</v>
      </c>
      <c r="B2062" s="239">
        <v>581</v>
      </c>
      <c r="C2062" s="240" t="str">
        <f>IF(ISNA(VLOOKUP(Tableau13[[#This Row],[Code machine]],'CODE mchn'!$A$4:$C$170,2,0)),"",VLOOKUP(Tableau13[[#This Row],[Code machine]],'CODE mchn'!$A$4:$C$170,2,0))</f>
        <v>Acier</v>
      </c>
      <c r="D2062" s="241" t="str">
        <f>IF(ISNA(VLOOKUP(Tableau13[[#This Row],[Code machine]],'CODE mchn'!$A$4:$C$170,3,0)),"",VLOOKUP(Tableau13[[#This Row],[Code machine]],'CODE mchn'!$A$4:$C$170,3,0))</f>
        <v>Teurema 1</v>
      </c>
      <c r="E2062" s="239">
        <v>26714</v>
      </c>
      <c r="F2062" s="241"/>
      <c r="G2062" s="241" t="s">
        <v>2361</v>
      </c>
      <c r="H2062" s="241" t="s">
        <v>3805</v>
      </c>
      <c r="I2062" s="241" t="s">
        <v>13</v>
      </c>
      <c r="J2062" s="249" t="s">
        <v>3806</v>
      </c>
      <c r="K2062" s="242">
        <v>44603</v>
      </c>
      <c r="L2062" s="241"/>
      <c r="M2062" s="243">
        <f>4*60</f>
        <v>240</v>
      </c>
      <c r="N2062" s="243">
        <f>MONTH(Tableau13[[#This Row],[Date fin intervention]])</f>
        <v>2</v>
      </c>
      <c r="O2062" s="243">
        <f>YEAR(Tableau13[[#This Row],[Date fin intervention]])</f>
        <v>2022</v>
      </c>
      <c r="P2062" s="241"/>
    </row>
    <row r="2063" spans="1:16" ht="28.5">
      <c r="A2063" s="238">
        <v>44603</v>
      </c>
      <c r="B2063" s="239">
        <v>590</v>
      </c>
      <c r="C2063" s="240" t="str">
        <f>IF(ISNA(VLOOKUP(Tableau13[[#This Row],[Code machine]],'CODE mchn'!$A$4:$C$170,2,0)),"",VLOOKUP(Tableau13[[#This Row],[Code machine]],'CODE mchn'!$A$4:$C$170,2,0))</f>
        <v>Acier</v>
      </c>
      <c r="D2063" s="241" t="str">
        <f>IF(ISNA(VLOOKUP(Tableau13[[#This Row],[Code machine]],'CODE mchn'!$A$4:$C$170,3,0)),"",VLOOKUP(Tableau13[[#This Row],[Code machine]],'CODE mchn'!$A$4:$C$170,3,0))</f>
        <v>Teurema 3</v>
      </c>
      <c r="E2063" s="239">
        <v>26717</v>
      </c>
      <c r="F2063" s="241"/>
      <c r="G2063" s="241" t="s">
        <v>612</v>
      </c>
      <c r="H2063" s="241" t="s">
        <v>3807</v>
      </c>
      <c r="I2063" s="241" t="s">
        <v>13</v>
      </c>
      <c r="J2063" s="249" t="s">
        <v>3808</v>
      </c>
      <c r="K2063" s="242">
        <v>44608</v>
      </c>
      <c r="L2063" s="241"/>
      <c r="M2063" s="243">
        <f>5*2*60*8</f>
        <v>4800</v>
      </c>
      <c r="N2063" s="243">
        <f>MONTH(Tableau13[[#This Row],[Date fin intervention]])</f>
        <v>2</v>
      </c>
      <c r="O2063" s="243">
        <f>YEAR(Tableau13[[#This Row],[Date fin intervention]])</f>
        <v>2022</v>
      </c>
      <c r="P2063" s="241"/>
    </row>
    <row r="2064" spans="1:16">
      <c r="A2064" s="238">
        <v>44606</v>
      </c>
      <c r="B2064" s="239">
        <v>606</v>
      </c>
      <c r="C2064" s="240" t="str">
        <f>IF(ISNA(VLOOKUP(Tableau13[[#This Row],[Code machine]],'CODE mchn'!$A$4:$C$170,2,0)),"",VLOOKUP(Tableau13[[#This Row],[Code machine]],'CODE mchn'!$A$4:$C$170,2,0))</f>
        <v>Acier</v>
      </c>
      <c r="D2064" s="241" t="str">
        <f>IF(ISNA(VLOOKUP(Tableau13[[#This Row],[Code machine]],'CODE mchn'!$A$4:$C$170,3,0)),"",VLOOKUP(Tableau13[[#This Row],[Code machine]],'CODE mchn'!$A$4:$C$170,3,0))</f>
        <v>Vitari 2</v>
      </c>
      <c r="E2064" s="239">
        <v>26458</v>
      </c>
      <c r="F2064" s="241"/>
      <c r="G2064" s="241" t="s">
        <v>3824</v>
      </c>
      <c r="H2064" s="241" t="s">
        <v>3825</v>
      </c>
      <c r="I2064" s="241" t="s">
        <v>101</v>
      </c>
      <c r="J2064" s="249" t="s">
        <v>3826</v>
      </c>
      <c r="K2064" s="242">
        <v>44606</v>
      </c>
      <c r="L2064" s="241"/>
      <c r="M2064" s="243">
        <v>120</v>
      </c>
      <c r="N2064" s="243">
        <f>MONTH(Tableau13[[#This Row],[Date fin intervention]])</f>
        <v>2</v>
      </c>
      <c r="O2064" s="243">
        <f>YEAR(Tableau13[[#This Row],[Date fin intervention]])</f>
        <v>2022</v>
      </c>
      <c r="P2064" s="241"/>
    </row>
    <row r="2065" spans="1:16">
      <c r="A2065" s="238">
        <v>44606</v>
      </c>
      <c r="B2065" s="239">
        <v>565</v>
      </c>
      <c r="C2065" s="240" t="str">
        <f>IF(ISNA(VLOOKUP(Tableau13[[#This Row],[Code machine]],'CODE mchn'!$A$4:$C$170,2,0)),"",VLOOKUP(Tableau13[[#This Row],[Code machine]],'CODE mchn'!$A$4:$C$170,2,0))</f>
        <v>Acier</v>
      </c>
      <c r="D2065" s="241" t="str">
        <f>IF(ISNA(VLOOKUP(Tableau13[[#This Row],[Code machine]],'CODE mchn'!$A$4:$C$170,3,0)),"",VLOOKUP(Tableau13[[#This Row],[Code machine]],'CODE mchn'!$A$4:$C$170,3,0))</f>
        <v>EVG GE12</v>
      </c>
      <c r="E2065" s="239">
        <v>26459</v>
      </c>
      <c r="F2065" s="241"/>
      <c r="G2065" s="241" t="s">
        <v>55</v>
      </c>
      <c r="H2065" s="241" t="s">
        <v>439</v>
      </c>
      <c r="I2065" s="241" t="s">
        <v>101</v>
      </c>
      <c r="J2065" s="249" t="s">
        <v>3827</v>
      </c>
      <c r="K2065" s="242">
        <v>44606</v>
      </c>
      <c r="L2065" s="241"/>
      <c r="M2065" s="243">
        <v>120</v>
      </c>
      <c r="N2065" s="243">
        <f>MONTH(Tableau13[[#This Row],[Date fin intervention]])</f>
        <v>2</v>
      </c>
      <c r="O2065" s="243">
        <f>YEAR(Tableau13[[#This Row],[Date fin intervention]])</f>
        <v>2022</v>
      </c>
      <c r="P2065" s="241"/>
    </row>
    <row r="2066" spans="1:16">
      <c r="A2066" s="238">
        <v>44606</v>
      </c>
      <c r="B2066" s="239">
        <v>700</v>
      </c>
      <c r="C2066" s="240" t="str">
        <f>IF(ISNA(VLOOKUP(Tableau13[[#This Row],[Code machine]],'CODE mchn'!$A$4:$C$170,2,0)),"",VLOOKUP(Tableau13[[#This Row],[Code machine]],'CODE mchn'!$A$4:$C$170,2,0))</f>
        <v>Béton</v>
      </c>
      <c r="D2066" s="241" t="str">
        <f>IF(ISNA(VLOOKUP(Tableau13[[#This Row],[Code machine]],'CODE mchn'!$A$4:$C$170,3,0)),"",VLOOKUP(Tableau13[[#This Row],[Code machine]],'CODE mchn'!$A$4:$C$170,3,0))</f>
        <v>Poyatos 1</v>
      </c>
      <c r="E2066" s="239">
        <v>26171</v>
      </c>
      <c r="F2066" s="241"/>
      <c r="G2066" s="241" t="s">
        <v>43</v>
      </c>
      <c r="H2066" s="241" t="s">
        <v>3860</v>
      </c>
      <c r="I2066" s="241" t="s">
        <v>13</v>
      </c>
      <c r="J2066" s="249" t="s">
        <v>1413</v>
      </c>
      <c r="K2066" s="242">
        <v>44606</v>
      </c>
      <c r="L2066" s="241"/>
      <c r="M2066" s="243">
        <v>60</v>
      </c>
      <c r="N2066" s="243">
        <f>MONTH(Tableau13[[#This Row],[Date fin intervention]])</f>
        <v>2</v>
      </c>
      <c r="O2066" s="243">
        <f>YEAR(Tableau13[[#This Row],[Date fin intervention]])</f>
        <v>2022</v>
      </c>
      <c r="P2066" s="241"/>
    </row>
    <row r="2067" spans="1:16">
      <c r="A2067" s="238">
        <v>44606</v>
      </c>
      <c r="B2067" s="239">
        <v>800</v>
      </c>
      <c r="C2067" s="240" t="str">
        <f>IF(ISNA(VLOOKUP(Tableau13[[#This Row],[Code machine]],'CODE mchn'!$A$4:$C$170,2,0)),"",VLOOKUP(Tableau13[[#This Row],[Code machine]],'CODE mchn'!$A$4:$C$170,2,0))</f>
        <v>Béton</v>
      </c>
      <c r="D2067" s="241" t="str">
        <f>IF(ISNA(VLOOKUP(Tableau13[[#This Row],[Code machine]],'CODE mchn'!$A$4:$C$170,3,0)),"",VLOOKUP(Tableau13[[#This Row],[Code machine]],'CODE mchn'!$A$4:$C$170,3,0))</f>
        <v>Poyatos 2</v>
      </c>
      <c r="E2067" s="239">
        <v>26172</v>
      </c>
      <c r="F2067" s="241"/>
      <c r="G2067" s="241" t="s">
        <v>394</v>
      </c>
      <c r="H2067" s="241" t="s">
        <v>3861</v>
      </c>
      <c r="I2067" s="241" t="s">
        <v>13</v>
      </c>
      <c r="J2067" s="249" t="s">
        <v>3862</v>
      </c>
      <c r="K2067" s="242">
        <v>44606</v>
      </c>
      <c r="L2067" s="241"/>
      <c r="M2067" s="243">
        <v>60</v>
      </c>
      <c r="N2067" s="243">
        <f>MONTH(Tableau13[[#This Row],[Date fin intervention]])</f>
        <v>2</v>
      </c>
      <c r="O2067" s="243">
        <f>YEAR(Tableau13[[#This Row],[Date fin intervention]])</f>
        <v>2022</v>
      </c>
      <c r="P2067" s="241"/>
    </row>
    <row r="2068" spans="1:16">
      <c r="A2068" s="238">
        <v>44607</v>
      </c>
      <c r="B2068" s="239">
        <v>700</v>
      </c>
      <c r="C2068" s="240" t="str">
        <f>IF(ISNA(VLOOKUP(Tableau13[[#This Row],[Code machine]],'CODE mchn'!$A$4:$C$170,2,0)),"",VLOOKUP(Tableau13[[#This Row],[Code machine]],'CODE mchn'!$A$4:$C$170,2,0))</f>
        <v>Béton</v>
      </c>
      <c r="D2068" s="241" t="str">
        <f>IF(ISNA(VLOOKUP(Tableau13[[#This Row],[Code machine]],'CODE mchn'!$A$4:$C$170,3,0)),"",VLOOKUP(Tableau13[[#This Row],[Code machine]],'CODE mchn'!$A$4:$C$170,3,0))</f>
        <v>Poyatos 1</v>
      </c>
      <c r="E2068" s="239">
        <v>26173</v>
      </c>
      <c r="F2068" s="241"/>
      <c r="G2068" s="241" t="s">
        <v>365</v>
      </c>
      <c r="H2068" s="241" t="s">
        <v>3863</v>
      </c>
      <c r="I2068" s="241" t="s">
        <v>13</v>
      </c>
      <c r="J2068" s="249" t="s">
        <v>3864</v>
      </c>
      <c r="K2068" s="242">
        <v>44607</v>
      </c>
      <c r="L2068" s="241"/>
      <c r="M2068" s="243">
        <v>60</v>
      </c>
      <c r="N2068" s="243">
        <f>MONTH(Tableau13[[#This Row],[Date fin intervention]])</f>
        <v>2</v>
      </c>
      <c r="O2068" s="243">
        <f>YEAR(Tableau13[[#This Row],[Date fin intervention]])</f>
        <v>2022</v>
      </c>
      <c r="P2068" s="241"/>
    </row>
    <row r="2069" spans="1:16">
      <c r="A2069" s="238">
        <v>44607</v>
      </c>
      <c r="B2069" s="239">
        <v>620</v>
      </c>
      <c r="C2069" s="240" t="str">
        <f>IF(ISNA(VLOOKUP(Tableau13[[#This Row],[Code machine]],'CODE mchn'!$A$4:$C$170,2,0)),"",VLOOKUP(Tableau13[[#This Row],[Code machine]],'CODE mchn'!$A$4:$C$170,2,0))</f>
        <v>Acier</v>
      </c>
      <c r="D2069" s="241" t="str">
        <f>IF(ISNA(VLOOKUP(Tableau13[[#This Row],[Code machine]],'CODE mchn'!$A$4:$C$170,3,0)),"",VLOOKUP(Tableau13[[#This Row],[Code machine]],'CODE mchn'!$A$4:$C$170,3,0))</f>
        <v>EVG PN 2</v>
      </c>
      <c r="E2069" s="239">
        <v>26335</v>
      </c>
      <c r="F2069" s="241"/>
      <c r="G2069" s="241" t="s">
        <v>10</v>
      </c>
      <c r="H2069" s="241" t="s">
        <v>3935</v>
      </c>
      <c r="I2069" s="241" t="s">
        <v>13</v>
      </c>
      <c r="J2069" s="249" t="s">
        <v>3936</v>
      </c>
      <c r="K2069" s="242">
        <v>44607</v>
      </c>
      <c r="L2069" s="241"/>
      <c r="M2069" s="243">
        <f>60*3</f>
        <v>180</v>
      </c>
      <c r="N2069" s="243">
        <f>MONTH(Tableau13[[#This Row],[Date fin intervention]])</f>
        <v>2</v>
      </c>
      <c r="O2069" s="243">
        <f>YEAR(Tableau13[[#This Row],[Date fin intervention]])</f>
        <v>2022</v>
      </c>
      <c r="P2069" s="241"/>
    </row>
    <row r="2070" spans="1:16">
      <c r="A2070" s="238">
        <v>44607</v>
      </c>
      <c r="B2070" s="239">
        <v>620</v>
      </c>
      <c r="C2070" s="240" t="str">
        <f>IF(ISNA(VLOOKUP(Tableau13[[#This Row],[Code machine]],'CODE mchn'!$A$4:$C$170,2,0)),"",VLOOKUP(Tableau13[[#This Row],[Code machine]],'CODE mchn'!$A$4:$C$170,2,0))</f>
        <v>Acier</v>
      </c>
      <c r="D2070" s="241" t="str">
        <f>IF(ISNA(VLOOKUP(Tableau13[[#This Row],[Code machine]],'CODE mchn'!$A$4:$C$170,3,0)),"",VLOOKUP(Tableau13[[#This Row],[Code machine]],'CODE mchn'!$A$4:$C$170,3,0))</f>
        <v>EVG PN 2</v>
      </c>
      <c r="E2070" s="239">
        <v>26335</v>
      </c>
      <c r="F2070" s="241"/>
      <c r="G2070" s="241" t="s">
        <v>4054</v>
      </c>
      <c r="H2070" s="241" t="s">
        <v>4055</v>
      </c>
      <c r="I2070" s="241" t="s">
        <v>13</v>
      </c>
      <c r="J2070" s="249" t="s">
        <v>2080</v>
      </c>
      <c r="K2070" s="242">
        <v>44607</v>
      </c>
      <c r="L2070" s="241"/>
      <c r="M2070" s="243">
        <f>3*60</f>
        <v>180</v>
      </c>
      <c r="N2070" s="243">
        <f>MONTH(Tableau13[[#This Row],[Date fin intervention]])</f>
        <v>2</v>
      </c>
      <c r="O2070" s="243">
        <f>YEAR(Tableau13[[#This Row],[Date fin intervention]])</f>
        <v>2022</v>
      </c>
      <c r="P2070" s="241"/>
    </row>
    <row r="2071" spans="1:16">
      <c r="A2071" s="238">
        <v>44607</v>
      </c>
      <c r="B2071" s="239">
        <v>620</v>
      </c>
      <c r="C2071" s="240" t="str">
        <f>IF(ISNA(VLOOKUP(Tableau13[[#This Row],[Code machine]],'CODE mchn'!$A$4:$C$170,2,0)),"",VLOOKUP(Tableau13[[#This Row],[Code machine]],'CODE mchn'!$A$4:$C$170,2,0))</f>
        <v>Acier</v>
      </c>
      <c r="D2071" s="241" t="str">
        <f>IF(ISNA(VLOOKUP(Tableau13[[#This Row],[Code machine]],'CODE mchn'!$A$4:$C$170,3,0)),"",VLOOKUP(Tableau13[[#This Row],[Code machine]],'CODE mchn'!$A$4:$C$170,3,0))</f>
        <v>EVG PN 2</v>
      </c>
      <c r="E2071" s="239">
        <v>26339</v>
      </c>
      <c r="F2071" s="241"/>
      <c r="G2071" s="241" t="s">
        <v>2871</v>
      </c>
      <c r="H2071" s="241" t="s">
        <v>4058</v>
      </c>
      <c r="I2071" s="241" t="s">
        <v>13</v>
      </c>
      <c r="J2071" s="249" t="s">
        <v>4059</v>
      </c>
      <c r="K2071" s="242">
        <v>44607</v>
      </c>
      <c r="L2071" s="241"/>
      <c r="M2071" s="243">
        <v>120</v>
      </c>
      <c r="N2071" s="243">
        <f>MONTH(Tableau13[[#This Row],[Date fin intervention]])</f>
        <v>2</v>
      </c>
      <c r="O2071" s="243">
        <f>YEAR(Tableau13[[#This Row],[Date fin intervention]])</f>
        <v>2022</v>
      </c>
      <c r="P2071" s="241"/>
    </row>
    <row r="2072" spans="1:16">
      <c r="A2072" s="238">
        <v>44608</v>
      </c>
      <c r="B2072" s="239">
        <v>582</v>
      </c>
      <c r="C2072" s="240" t="str">
        <f>IF(ISNA(VLOOKUP(Tableau13[[#This Row],[Code machine]],'CODE mchn'!$A$4:$C$170,2,0)),"",VLOOKUP(Tableau13[[#This Row],[Code machine]],'CODE mchn'!$A$4:$C$170,2,0))</f>
        <v>Acier</v>
      </c>
      <c r="D2072" s="241" t="str">
        <f>IF(ISNA(VLOOKUP(Tableau13[[#This Row],[Code machine]],'CODE mchn'!$A$4:$C$170,3,0)),"",VLOOKUP(Tableau13[[#This Row],[Code machine]],'CODE mchn'!$A$4:$C$170,3,0))</f>
        <v>Teurema 2</v>
      </c>
      <c r="E2072" s="239">
        <v>26719</v>
      </c>
      <c r="F2072" s="241"/>
      <c r="G2072" s="241" t="s">
        <v>1693</v>
      </c>
      <c r="H2072" s="241" t="s">
        <v>3809</v>
      </c>
      <c r="I2072" s="241" t="s">
        <v>13</v>
      </c>
      <c r="J2072" s="249" t="s">
        <v>3810</v>
      </c>
      <c r="K2072" s="242">
        <v>44608</v>
      </c>
      <c r="L2072" s="241"/>
      <c r="M2072" s="243">
        <f>1.5*60</f>
        <v>90</v>
      </c>
      <c r="N2072" s="243">
        <f>MONTH(Tableau13[[#This Row],[Date fin intervention]])</f>
        <v>2</v>
      </c>
      <c r="O2072" s="243">
        <f>YEAR(Tableau13[[#This Row],[Date fin intervention]])</f>
        <v>2022</v>
      </c>
      <c r="P2072" s="241"/>
    </row>
    <row r="2073" spans="1:16">
      <c r="A2073" s="238">
        <v>44608</v>
      </c>
      <c r="B2073" s="239">
        <v>601</v>
      </c>
      <c r="C2073" s="240" t="str">
        <f>IF(ISNA(VLOOKUP(Tableau13[[#This Row],[Code machine]],'CODE mchn'!$A$4:$C$170,2,0)),"",VLOOKUP(Tableau13[[#This Row],[Code machine]],'CODE mchn'!$A$4:$C$170,2,0))</f>
        <v>Acier</v>
      </c>
      <c r="D2073" s="241" t="str">
        <f>IF(ISNA(VLOOKUP(Tableau13[[#This Row],[Code machine]],'CODE mchn'!$A$4:$C$170,3,0)),"",VLOOKUP(Tableau13[[#This Row],[Code machine]],'CODE mchn'!$A$4:$C$170,3,0))</f>
        <v>TI 9505/9</v>
      </c>
      <c r="E2073" s="239">
        <v>26340</v>
      </c>
      <c r="F2073" s="241"/>
      <c r="G2073" s="241" t="s">
        <v>926</v>
      </c>
      <c r="H2073" s="241" t="s">
        <v>395</v>
      </c>
      <c r="I2073" s="241" t="s">
        <v>13</v>
      </c>
      <c r="J2073" s="249" t="s">
        <v>3938</v>
      </c>
      <c r="K2073" s="242">
        <v>44611</v>
      </c>
      <c r="L2073" s="241"/>
      <c r="M2073" s="243">
        <v>180</v>
      </c>
      <c r="N2073" s="243">
        <f>MONTH(Tableau13[[#This Row],[Date fin intervention]])</f>
        <v>2</v>
      </c>
      <c r="O2073" s="243">
        <f>YEAR(Tableau13[[#This Row],[Date fin intervention]])</f>
        <v>2022</v>
      </c>
      <c r="P2073" s="241"/>
    </row>
    <row r="2074" spans="1:16">
      <c r="A2074" s="238">
        <v>44608</v>
      </c>
      <c r="B2074" s="239">
        <v>601</v>
      </c>
      <c r="C2074" s="240" t="str">
        <f>IF(ISNA(VLOOKUP(Tableau13[[#This Row],[Code machine]],'CODE mchn'!$A$4:$C$170,2,0)),"",VLOOKUP(Tableau13[[#This Row],[Code machine]],'CODE mchn'!$A$4:$C$170,2,0))</f>
        <v>Acier</v>
      </c>
      <c r="D2074" s="241" t="str">
        <f>IF(ISNA(VLOOKUP(Tableau13[[#This Row],[Code machine]],'CODE mchn'!$A$4:$C$170,3,0)),"",VLOOKUP(Tableau13[[#This Row],[Code machine]],'CODE mchn'!$A$4:$C$170,3,0))</f>
        <v>TI 9505/9</v>
      </c>
      <c r="E2074" s="239">
        <v>26340</v>
      </c>
      <c r="F2074" s="241"/>
      <c r="G2074" s="241" t="s">
        <v>926</v>
      </c>
      <c r="H2074" s="241" t="s">
        <v>2246</v>
      </c>
      <c r="I2074" s="241" t="s">
        <v>13</v>
      </c>
      <c r="J2074" s="249" t="s">
        <v>4060</v>
      </c>
      <c r="K2074" s="242">
        <v>44608</v>
      </c>
      <c r="L2074" s="241"/>
      <c r="M2074" s="243">
        <v>150</v>
      </c>
      <c r="N2074" s="243">
        <f>MONTH(Tableau13[[#This Row],[Date fin intervention]])</f>
        <v>2</v>
      </c>
      <c r="O2074" s="243">
        <f>YEAR(Tableau13[[#This Row],[Date fin intervention]])</f>
        <v>2022</v>
      </c>
      <c r="P2074" s="241"/>
    </row>
    <row r="2075" spans="1:16">
      <c r="A2075" s="238">
        <v>44609</v>
      </c>
      <c r="B2075" s="239">
        <v>582</v>
      </c>
      <c r="C2075" s="240" t="str">
        <f>IF(ISNA(VLOOKUP(Tableau13[[#This Row],[Code machine]],'CODE mchn'!$A$4:$C$170,2,0)),"",VLOOKUP(Tableau13[[#This Row],[Code machine]],'CODE mchn'!$A$4:$C$170,2,0))</f>
        <v>Acier</v>
      </c>
      <c r="D2075" s="241" t="str">
        <f>IF(ISNA(VLOOKUP(Tableau13[[#This Row],[Code machine]],'CODE mchn'!$A$4:$C$170,3,0)),"",VLOOKUP(Tableau13[[#This Row],[Code machine]],'CODE mchn'!$A$4:$C$170,3,0))</f>
        <v>Teurema 2</v>
      </c>
      <c r="E2075" s="239">
        <v>26720</v>
      </c>
      <c r="F2075" s="241"/>
      <c r="G2075" s="241" t="s">
        <v>3813</v>
      </c>
      <c r="H2075" s="241" t="s">
        <v>3811</v>
      </c>
      <c r="I2075" s="241" t="s">
        <v>13</v>
      </c>
      <c r="J2075" s="249" t="s">
        <v>3812</v>
      </c>
      <c r="K2075" s="242">
        <v>44609</v>
      </c>
      <c r="L2075" s="241"/>
      <c r="M2075" s="243">
        <v>30</v>
      </c>
      <c r="N2075" s="243">
        <f>MONTH(Tableau13[[#This Row],[Date fin intervention]])</f>
        <v>2</v>
      </c>
      <c r="O2075" s="243">
        <f>YEAR(Tableau13[[#This Row],[Date fin intervention]])</f>
        <v>2022</v>
      </c>
      <c r="P2075" s="241"/>
    </row>
    <row r="2076" spans="1:16" ht="28.5">
      <c r="A2076" s="238">
        <v>44609</v>
      </c>
      <c r="B2076" s="239">
        <v>800</v>
      </c>
      <c r="C2076" s="240" t="str">
        <f>IF(ISNA(VLOOKUP(Tableau13[[#This Row],[Code machine]],'CODE mchn'!$A$4:$C$170,2,0)),"",VLOOKUP(Tableau13[[#This Row],[Code machine]],'CODE mchn'!$A$4:$C$170,2,0))</f>
        <v>Béton</v>
      </c>
      <c r="D2076" s="241" t="str">
        <f>IF(ISNA(VLOOKUP(Tableau13[[#This Row],[Code machine]],'CODE mchn'!$A$4:$C$170,3,0)),"",VLOOKUP(Tableau13[[#This Row],[Code machine]],'CODE mchn'!$A$4:$C$170,3,0))</f>
        <v>Poyatos 2</v>
      </c>
      <c r="E2076" s="239">
        <v>26175</v>
      </c>
      <c r="F2076" s="241"/>
      <c r="G2076" s="241" t="s">
        <v>3865</v>
      </c>
      <c r="H2076" s="241" t="s">
        <v>3866</v>
      </c>
      <c r="I2076" s="241" t="s">
        <v>13</v>
      </c>
      <c r="J2076" s="249" t="s">
        <v>3867</v>
      </c>
      <c r="K2076" s="242">
        <v>44609</v>
      </c>
      <c r="L2076" s="241"/>
      <c r="M2076" s="243">
        <f>3*60</f>
        <v>180</v>
      </c>
      <c r="N2076" s="243">
        <f>MONTH(Tableau13[[#This Row],[Date fin intervention]])</f>
        <v>2</v>
      </c>
      <c r="O2076" s="243">
        <f>YEAR(Tableau13[[#This Row],[Date fin intervention]])</f>
        <v>2022</v>
      </c>
      <c r="P2076" s="241"/>
    </row>
    <row r="2077" spans="1:16">
      <c r="A2077" s="238">
        <v>44610</v>
      </c>
      <c r="B2077" s="239">
        <v>565</v>
      </c>
      <c r="C2077" s="240" t="str">
        <f>IF(ISNA(VLOOKUP(Tableau13[[#This Row],[Code machine]],'CODE mchn'!$A$4:$C$170,2,0)),"",VLOOKUP(Tableau13[[#This Row],[Code machine]],'CODE mchn'!$A$4:$C$170,2,0))</f>
        <v>Acier</v>
      </c>
      <c r="D2077" s="241" t="str">
        <f>IF(ISNA(VLOOKUP(Tableau13[[#This Row],[Code machine]],'CODE mchn'!$A$4:$C$170,3,0)),"",VLOOKUP(Tableau13[[#This Row],[Code machine]],'CODE mchn'!$A$4:$C$170,3,0))</f>
        <v>EVG GE12</v>
      </c>
      <c r="E2077" s="239">
        <v>26460</v>
      </c>
      <c r="F2077" s="241"/>
      <c r="G2077" s="241" t="s">
        <v>463</v>
      </c>
      <c r="H2077" s="241" t="s">
        <v>3828</v>
      </c>
      <c r="I2077" s="241" t="s">
        <v>13</v>
      </c>
      <c r="J2077" s="249" t="s">
        <v>3829</v>
      </c>
      <c r="K2077" s="242">
        <v>44610</v>
      </c>
      <c r="L2077" s="241"/>
      <c r="M2077" s="243">
        <f>3*60*8</f>
        <v>1440</v>
      </c>
      <c r="N2077" s="243">
        <f>MONTH(Tableau13[[#This Row],[Date fin intervention]])</f>
        <v>2</v>
      </c>
      <c r="O2077" s="243">
        <f>YEAR(Tableau13[[#This Row],[Date fin intervention]])</f>
        <v>2022</v>
      </c>
      <c r="P2077" s="241"/>
    </row>
    <row r="2078" spans="1:16">
      <c r="A2078" s="238">
        <v>44611</v>
      </c>
      <c r="B2078" s="239">
        <v>582</v>
      </c>
      <c r="C2078" s="240" t="str">
        <f>IF(ISNA(VLOOKUP(Tableau13[[#This Row],[Code machine]],'CODE mchn'!$A$4:$C$170,2,0)),"",VLOOKUP(Tableau13[[#This Row],[Code machine]],'CODE mchn'!$A$4:$C$170,2,0))</f>
        <v>Acier</v>
      </c>
      <c r="D2078" s="241" t="str">
        <f>IF(ISNA(VLOOKUP(Tableau13[[#This Row],[Code machine]],'CODE mchn'!$A$4:$C$170,3,0)),"",VLOOKUP(Tableau13[[#This Row],[Code machine]],'CODE mchn'!$A$4:$C$170,3,0))</f>
        <v>Teurema 2</v>
      </c>
      <c r="E2078" s="239">
        <v>26721</v>
      </c>
      <c r="F2078" s="241"/>
      <c r="G2078" s="241" t="s">
        <v>647</v>
      </c>
      <c r="H2078" s="241" t="s">
        <v>3814</v>
      </c>
      <c r="I2078" s="241" t="s">
        <v>13</v>
      </c>
      <c r="J2078" s="249" t="s">
        <v>3815</v>
      </c>
      <c r="K2078" s="242">
        <v>44611</v>
      </c>
      <c r="L2078" s="241"/>
      <c r="M2078" s="243">
        <v>90</v>
      </c>
      <c r="N2078" s="243">
        <f>MONTH(Tableau13[[#This Row],[Date fin intervention]])</f>
        <v>2</v>
      </c>
      <c r="O2078" s="243">
        <f>YEAR(Tableau13[[#This Row],[Date fin intervention]])</f>
        <v>2022</v>
      </c>
      <c r="P2078" s="241"/>
    </row>
    <row r="2079" spans="1:16">
      <c r="A2079" s="238">
        <v>44611</v>
      </c>
      <c r="B2079" s="239">
        <v>620</v>
      </c>
      <c r="C2079" s="240" t="str">
        <f>IF(ISNA(VLOOKUP(Tableau13[[#This Row],[Code machine]],'CODE mchn'!$A$4:$C$170,2,0)),"",VLOOKUP(Tableau13[[#This Row],[Code machine]],'CODE mchn'!$A$4:$C$170,2,0))</f>
        <v>Acier</v>
      </c>
      <c r="D2079" s="241" t="str">
        <f>IF(ISNA(VLOOKUP(Tableau13[[#This Row],[Code machine]],'CODE mchn'!$A$4:$C$170,3,0)),"",VLOOKUP(Tableau13[[#This Row],[Code machine]],'CODE mchn'!$A$4:$C$170,3,0))</f>
        <v>EVG PN 2</v>
      </c>
      <c r="E2079" s="239">
        <v>26451</v>
      </c>
      <c r="F2079" s="241"/>
      <c r="G2079" s="241" t="s">
        <v>55</v>
      </c>
      <c r="H2079" s="241" t="s">
        <v>390</v>
      </c>
      <c r="I2079" s="241" t="s">
        <v>13</v>
      </c>
      <c r="J2079" s="249" t="s">
        <v>3816</v>
      </c>
      <c r="K2079" s="242">
        <v>44576</v>
      </c>
      <c r="L2079" s="241"/>
      <c r="M2079" s="243">
        <f>60*3</f>
        <v>180</v>
      </c>
      <c r="N2079" s="243">
        <f>MONTH(Tableau13[[#This Row],[Date fin intervention]])</f>
        <v>1</v>
      </c>
      <c r="O2079" s="243">
        <f>YEAR(Tableau13[[#This Row],[Date fin intervention]])</f>
        <v>2022</v>
      </c>
      <c r="P2079" s="241"/>
    </row>
    <row r="2080" spans="1:16">
      <c r="A2080" s="238">
        <v>44611</v>
      </c>
      <c r="B2080" s="239">
        <v>607</v>
      </c>
      <c r="C2080" s="240" t="str">
        <f>IF(ISNA(VLOOKUP(Tableau13[[#This Row],[Code machine]],'CODE mchn'!$A$4:$C$170,2,0)),"",VLOOKUP(Tableau13[[#This Row],[Code machine]],'CODE mchn'!$A$4:$C$170,2,0))</f>
        <v>Acier</v>
      </c>
      <c r="D2080" s="241" t="str">
        <f>IF(ISNA(VLOOKUP(Tableau13[[#This Row],[Code machine]],'CODE mchn'!$A$4:$C$170,3,0)),"",VLOOKUP(Tableau13[[#This Row],[Code machine]],'CODE mchn'!$A$4:$C$170,3,0))</f>
        <v>Vitari 3</v>
      </c>
      <c r="E2080" s="239">
        <v>26336</v>
      </c>
      <c r="F2080" s="241"/>
      <c r="G2080" s="241" t="s">
        <v>3937</v>
      </c>
      <c r="H2080" s="241" t="s">
        <v>544</v>
      </c>
      <c r="I2080" s="241" t="s">
        <v>13</v>
      </c>
      <c r="J2080" s="249" t="s">
        <v>545</v>
      </c>
      <c r="K2080" s="242">
        <v>44611</v>
      </c>
      <c r="L2080" s="241"/>
      <c r="M2080" s="243">
        <v>60</v>
      </c>
      <c r="N2080" s="243">
        <f>MONTH(Tableau13[[#This Row],[Date fin intervention]])</f>
        <v>2</v>
      </c>
      <c r="O2080" s="243">
        <f>YEAR(Tableau13[[#This Row],[Date fin intervention]])</f>
        <v>2022</v>
      </c>
      <c r="P2080" s="241"/>
    </row>
    <row r="2081" spans="1:16">
      <c r="A2081" s="238">
        <v>44611</v>
      </c>
      <c r="B2081" s="239">
        <v>607</v>
      </c>
      <c r="C2081" s="240" t="str">
        <f>IF(ISNA(VLOOKUP(Tableau13[[#This Row],[Code machine]],'CODE mchn'!$A$4:$C$170,2,0)),"",VLOOKUP(Tableau13[[#This Row],[Code machine]],'CODE mchn'!$A$4:$C$170,2,0))</f>
        <v>Acier</v>
      </c>
      <c r="D2081" s="241" t="str">
        <f>IF(ISNA(VLOOKUP(Tableau13[[#This Row],[Code machine]],'CODE mchn'!$A$4:$C$170,3,0)),"",VLOOKUP(Tableau13[[#This Row],[Code machine]],'CODE mchn'!$A$4:$C$170,3,0))</f>
        <v>Vitari 3</v>
      </c>
      <c r="E2081" s="239">
        <v>26336</v>
      </c>
      <c r="F2081" s="241"/>
      <c r="G2081" s="241" t="s">
        <v>664</v>
      </c>
      <c r="H2081" s="241" t="s">
        <v>4056</v>
      </c>
      <c r="I2081" s="241" t="s">
        <v>13</v>
      </c>
      <c r="J2081" s="249" t="s">
        <v>4057</v>
      </c>
      <c r="K2081" s="242">
        <v>44611</v>
      </c>
      <c r="L2081" s="241"/>
      <c r="M2081" s="243">
        <v>60</v>
      </c>
      <c r="N2081" s="243">
        <f>MONTH(Tableau13[[#This Row],[Date fin intervention]])</f>
        <v>2</v>
      </c>
      <c r="O2081" s="243">
        <f>YEAR(Tableau13[[#This Row],[Date fin intervention]])</f>
        <v>2022</v>
      </c>
      <c r="P2081" s="241"/>
    </row>
    <row r="2082" spans="1:16">
      <c r="A2082" s="238">
        <v>44613</v>
      </c>
      <c r="B2082" s="239">
        <v>700</v>
      </c>
      <c r="C2082" s="240" t="str">
        <f>IF(ISNA(VLOOKUP(Tableau13[[#This Row],[Code machine]],'CODE mchn'!$A$4:$C$170,2,0)),"",VLOOKUP(Tableau13[[#This Row],[Code machine]],'CODE mchn'!$A$4:$C$170,2,0))</f>
        <v>Béton</v>
      </c>
      <c r="D2082" s="241" t="str">
        <f>IF(ISNA(VLOOKUP(Tableau13[[#This Row],[Code machine]],'CODE mchn'!$A$4:$C$170,3,0)),"",VLOOKUP(Tableau13[[#This Row],[Code machine]],'CODE mchn'!$A$4:$C$170,3,0))</f>
        <v>Poyatos 1</v>
      </c>
      <c r="E2082" s="239">
        <v>15200</v>
      </c>
      <c r="F2082" s="241"/>
      <c r="G2082" s="241" t="s">
        <v>3879</v>
      </c>
      <c r="H2082" s="241" t="s">
        <v>3880</v>
      </c>
      <c r="I2082" s="241" t="s">
        <v>13</v>
      </c>
      <c r="J2082" s="249" t="s">
        <v>3881</v>
      </c>
      <c r="K2082" s="242">
        <v>44613</v>
      </c>
      <c r="L2082" s="241"/>
      <c r="M2082" s="243">
        <f>8*60</f>
        <v>480</v>
      </c>
      <c r="N2082" s="243">
        <f>MONTH(Tableau13[[#This Row],[Date fin intervention]])</f>
        <v>2</v>
      </c>
      <c r="O2082" s="243">
        <f>YEAR(Tableau13[[#This Row],[Date fin intervention]])</f>
        <v>2022</v>
      </c>
      <c r="P2082" s="241"/>
    </row>
    <row r="2083" spans="1:16">
      <c r="A2083" s="238">
        <v>44614</v>
      </c>
      <c r="B2083" s="239">
        <v>581</v>
      </c>
      <c r="C2083" s="240" t="str">
        <f>IF(ISNA(VLOOKUP(Tableau13[[#This Row],[Code machine]],'CODE mchn'!$A$4:$C$170,2,0)),"",VLOOKUP(Tableau13[[#This Row],[Code machine]],'CODE mchn'!$A$4:$C$170,2,0))</f>
        <v>Acier</v>
      </c>
      <c r="D2083" s="241" t="str">
        <f>IF(ISNA(VLOOKUP(Tableau13[[#This Row],[Code machine]],'CODE mchn'!$A$4:$C$170,3,0)),"",VLOOKUP(Tableau13[[#This Row],[Code machine]],'CODE mchn'!$A$4:$C$170,3,0))</f>
        <v>Teurema 1</v>
      </c>
      <c r="E2083" s="239">
        <v>26723</v>
      </c>
      <c r="F2083" s="241"/>
      <c r="G2083" s="241" t="s">
        <v>78</v>
      </c>
      <c r="H2083" s="241" t="s">
        <v>3885</v>
      </c>
      <c r="I2083" s="241" t="s">
        <v>13</v>
      </c>
      <c r="J2083" s="249" t="s">
        <v>3886</v>
      </c>
      <c r="K2083" s="242">
        <v>44614</v>
      </c>
      <c r="L2083" s="241"/>
      <c r="M2083" s="243">
        <v>70</v>
      </c>
      <c r="N2083" s="243">
        <f>MONTH(Tableau13[[#This Row],[Date fin intervention]])</f>
        <v>2</v>
      </c>
      <c r="O2083" s="243">
        <f>YEAR(Tableau13[[#This Row],[Date fin intervention]])</f>
        <v>2022</v>
      </c>
      <c r="P2083" s="241"/>
    </row>
    <row r="2084" spans="1:16">
      <c r="A2084" s="238">
        <v>44616</v>
      </c>
      <c r="B2084" s="239">
        <v>560</v>
      </c>
      <c r="C2084" s="240" t="str">
        <f>IF(ISNA(VLOOKUP(Tableau13[[#This Row],[Code machine]],'CODE mchn'!$A$4:$C$170,2,0)),"",VLOOKUP(Tableau13[[#This Row],[Code machine]],'CODE mchn'!$A$4:$C$170,2,0))</f>
        <v>Acier</v>
      </c>
      <c r="D2084" s="241" t="str">
        <f>IF(ISNA(VLOOKUP(Tableau13[[#This Row],[Code machine]],'CODE mchn'!$A$4:$C$170,3,0)),"",VLOOKUP(Tableau13[[#This Row],[Code machine]],'CODE mchn'!$A$4:$C$170,3,0))</f>
        <v>Schlatter</v>
      </c>
      <c r="E2084" s="239">
        <v>26343</v>
      </c>
      <c r="F2084" s="241"/>
      <c r="G2084" s="241" t="s">
        <v>1720</v>
      </c>
      <c r="H2084" s="241" t="s">
        <v>892</v>
      </c>
      <c r="I2084" s="241" t="s">
        <v>13</v>
      </c>
      <c r="J2084" s="249" t="s">
        <v>4061</v>
      </c>
      <c r="K2084" s="242">
        <v>44616</v>
      </c>
      <c r="L2084" s="241"/>
      <c r="M2084" s="243">
        <f>4*60*8</f>
        <v>1920</v>
      </c>
      <c r="N2084" s="243">
        <f>MONTH(Tableau13[[#This Row],[Date fin intervention]])</f>
        <v>2</v>
      </c>
      <c r="O2084" s="243">
        <f>YEAR(Tableau13[[#This Row],[Date fin intervention]])</f>
        <v>2022</v>
      </c>
      <c r="P2084" s="241"/>
    </row>
    <row r="2085" spans="1:16">
      <c r="A2085" s="238">
        <v>44617</v>
      </c>
      <c r="B2085" s="239">
        <v>581</v>
      </c>
      <c r="C2085" s="240" t="str">
        <f>IF(ISNA(VLOOKUP(Tableau13[[#This Row],[Code machine]],'CODE mchn'!$A$4:$C$170,2,0)),"",VLOOKUP(Tableau13[[#This Row],[Code machine]],'CODE mchn'!$A$4:$C$170,2,0))</f>
        <v>Acier</v>
      </c>
      <c r="D2085" s="241" t="str">
        <f>IF(ISNA(VLOOKUP(Tableau13[[#This Row],[Code machine]],'CODE mchn'!$A$4:$C$170,3,0)),"",VLOOKUP(Tableau13[[#This Row],[Code machine]],'CODE mchn'!$A$4:$C$170,3,0))</f>
        <v>Teurema 1</v>
      </c>
      <c r="E2085" s="239">
        <v>25931</v>
      </c>
      <c r="F2085" s="241"/>
      <c r="G2085" s="241" t="s">
        <v>3882</v>
      </c>
      <c r="H2085" s="241" t="s">
        <v>3883</v>
      </c>
      <c r="I2085" s="241" t="s">
        <v>13</v>
      </c>
      <c r="J2085" s="249" t="s">
        <v>3884</v>
      </c>
      <c r="K2085" s="242">
        <v>44617</v>
      </c>
      <c r="L2085" s="241"/>
      <c r="M2085" s="243"/>
      <c r="N2085" s="243">
        <f>MONTH(Tableau13[[#This Row],[Date fin intervention]])</f>
        <v>2</v>
      </c>
      <c r="O2085" s="243">
        <f>YEAR(Tableau13[[#This Row],[Date fin intervention]])</f>
        <v>2022</v>
      </c>
      <c r="P2085" s="241"/>
    </row>
    <row r="2086" spans="1:16">
      <c r="A2086" s="238">
        <v>44617</v>
      </c>
      <c r="B2086" s="239">
        <v>580</v>
      </c>
      <c r="C2086" s="240" t="str">
        <f>IF(ISNA(VLOOKUP(Tableau13[[#This Row],[Code machine]],'CODE mchn'!$A$4:$C$170,2,0)),"",VLOOKUP(Tableau13[[#This Row],[Code machine]],'CODE mchn'!$A$4:$C$170,2,0))</f>
        <v>Acier</v>
      </c>
      <c r="D2086" s="241" t="str">
        <f>IF(ISNA(VLOOKUP(Tableau13[[#This Row],[Code machine]],'CODE mchn'!$A$4:$C$170,3,0)),"",VLOOKUP(Tableau13[[#This Row],[Code machine]],'CODE mchn'!$A$4:$C$170,3,0))</f>
        <v>Techno Impiante</v>
      </c>
      <c r="E2086" s="239">
        <v>25933</v>
      </c>
      <c r="F2086" s="241"/>
      <c r="G2086" s="241" t="s">
        <v>1644</v>
      </c>
      <c r="H2086" s="241" t="s">
        <v>3887</v>
      </c>
      <c r="I2086" s="241" t="s">
        <v>101</v>
      </c>
      <c r="J2086" s="249" t="s">
        <v>3888</v>
      </c>
      <c r="K2086" s="242">
        <v>44617</v>
      </c>
      <c r="L2086" s="241"/>
      <c r="M2086" s="243">
        <v>60</v>
      </c>
      <c r="N2086" s="243">
        <f>MONTH(Tableau13[[#This Row],[Date fin intervention]])</f>
        <v>2</v>
      </c>
      <c r="O2086" s="243">
        <f>YEAR(Tableau13[[#This Row],[Date fin intervention]])</f>
        <v>2022</v>
      </c>
      <c r="P2086" s="241"/>
    </row>
    <row r="2087" spans="1:16">
      <c r="A2087" s="238">
        <v>44618</v>
      </c>
      <c r="B2087" s="239">
        <v>582</v>
      </c>
      <c r="C2087" s="240" t="str">
        <f>IF(ISNA(VLOOKUP(Tableau13[[#This Row],[Code machine]],'CODE mchn'!$A$4:$C$170,2,0)),"",VLOOKUP(Tableau13[[#This Row],[Code machine]],'CODE mchn'!$A$4:$C$170,2,0))</f>
        <v>Acier</v>
      </c>
      <c r="D2087" s="241" t="str">
        <f>IF(ISNA(VLOOKUP(Tableau13[[#This Row],[Code machine]],'CODE mchn'!$A$4:$C$170,3,0)),"",VLOOKUP(Tableau13[[#This Row],[Code machine]],'CODE mchn'!$A$4:$C$170,3,0))</f>
        <v>Teurema 2</v>
      </c>
      <c r="E2087" s="239">
        <v>25934</v>
      </c>
      <c r="F2087" s="241"/>
      <c r="G2087" s="241" t="s">
        <v>1653</v>
      </c>
      <c r="H2087" s="241" t="s">
        <v>3889</v>
      </c>
      <c r="I2087" s="241" t="s">
        <v>13</v>
      </c>
      <c r="J2087" s="249" t="s">
        <v>3890</v>
      </c>
      <c r="K2087" s="242">
        <v>44618</v>
      </c>
      <c r="L2087" s="241"/>
      <c r="M2087" s="243"/>
      <c r="N2087" s="243">
        <f>MONTH(Tableau13[[#This Row],[Date fin intervention]])</f>
        <v>2</v>
      </c>
      <c r="O2087" s="243">
        <f>YEAR(Tableau13[[#This Row],[Date fin intervention]])</f>
        <v>2022</v>
      </c>
      <c r="P2087" s="241"/>
    </row>
    <row r="2088" spans="1:16">
      <c r="A2088" s="238">
        <v>44618</v>
      </c>
      <c r="B2088" s="239">
        <v>581</v>
      </c>
      <c r="C2088" s="240" t="str">
        <f>IF(ISNA(VLOOKUP(Tableau13[[#This Row],[Code machine]],'CODE mchn'!$A$4:$C$170,2,0)),"",VLOOKUP(Tableau13[[#This Row],[Code machine]],'CODE mchn'!$A$4:$C$170,2,0))</f>
        <v>Acier</v>
      </c>
      <c r="D2088" s="241" t="str">
        <f>IF(ISNA(VLOOKUP(Tableau13[[#This Row],[Code machine]],'CODE mchn'!$A$4:$C$170,3,0)),"",VLOOKUP(Tableau13[[#This Row],[Code machine]],'CODE mchn'!$A$4:$C$170,3,0))</f>
        <v>Teurema 1</v>
      </c>
      <c r="E2088" s="239">
        <v>25936</v>
      </c>
      <c r="F2088" s="241"/>
      <c r="G2088" s="241" t="s">
        <v>647</v>
      </c>
      <c r="H2088" s="241" t="s">
        <v>775</v>
      </c>
      <c r="I2088" s="241" t="s">
        <v>13</v>
      </c>
      <c r="J2088" s="249" t="s">
        <v>3892</v>
      </c>
      <c r="K2088" s="242">
        <v>44618</v>
      </c>
      <c r="L2088" s="241"/>
      <c r="M2088" s="243">
        <v>60</v>
      </c>
      <c r="N2088" s="243">
        <f>MONTH(Tableau13[[#This Row],[Date fin intervention]])</f>
        <v>2</v>
      </c>
      <c r="O2088" s="243">
        <f>YEAR(Tableau13[[#This Row],[Date fin intervention]])</f>
        <v>2022</v>
      </c>
      <c r="P2088" s="241"/>
    </row>
    <row r="2089" spans="1:16">
      <c r="A2089" s="238">
        <v>44618</v>
      </c>
      <c r="B2089" s="239">
        <v>581</v>
      </c>
      <c r="C2089" s="240" t="str">
        <f>IF(ISNA(VLOOKUP(Tableau13[[#This Row],[Code machine]],'CODE mchn'!$A$4:$C$170,2,0)),"",VLOOKUP(Tableau13[[#This Row],[Code machine]],'CODE mchn'!$A$4:$C$170,2,0))</f>
        <v>Acier</v>
      </c>
      <c r="D2089" s="241" t="str">
        <f>IF(ISNA(VLOOKUP(Tableau13[[#This Row],[Code machine]],'CODE mchn'!$A$4:$C$170,3,0)),"",VLOOKUP(Tableau13[[#This Row],[Code machine]],'CODE mchn'!$A$4:$C$170,3,0))</f>
        <v>Teurema 1</v>
      </c>
      <c r="E2089" s="239">
        <v>25937</v>
      </c>
      <c r="F2089" s="241"/>
      <c r="G2089" s="241" t="s">
        <v>70</v>
      </c>
      <c r="H2089" s="241" t="s">
        <v>3893</v>
      </c>
      <c r="I2089" s="241" t="s">
        <v>101</v>
      </c>
      <c r="J2089" s="249" t="s">
        <v>3894</v>
      </c>
      <c r="K2089" s="242">
        <v>44618</v>
      </c>
      <c r="L2089" s="241"/>
      <c r="M2089" s="243">
        <v>180</v>
      </c>
      <c r="N2089" s="243">
        <f>MONTH(Tableau13[[#This Row],[Date fin intervention]])</f>
        <v>2</v>
      </c>
      <c r="O2089" s="243">
        <f>YEAR(Tableau13[[#This Row],[Date fin intervention]])</f>
        <v>2022</v>
      </c>
      <c r="P2089" s="241"/>
    </row>
    <row r="2090" spans="1:16" ht="28.5">
      <c r="A2090" s="238">
        <v>44620</v>
      </c>
      <c r="B2090" s="239">
        <v>560</v>
      </c>
      <c r="C2090" s="240" t="str">
        <f>IF(ISNA(VLOOKUP(Tableau13[[#This Row],[Code machine]],'CODE mchn'!$A$4:$C$170,2,0)),"",VLOOKUP(Tableau13[[#This Row],[Code machine]],'CODE mchn'!$A$4:$C$170,2,0))</f>
        <v>Acier</v>
      </c>
      <c r="D2090" s="241" t="str">
        <f>IF(ISNA(VLOOKUP(Tableau13[[#This Row],[Code machine]],'CODE mchn'!$A$4:$C$170,3,0)),"",VLOOKUP(Tableau13[[#This Row],[Code machine]],'CODE mchn'!$A$4:$C$170,3,0))</f>
        <v>Schlatter</v>
      </c>
      <c r="E2090" s="239"/>
      <c r="F2090" s="241"/>
      <c r="G2090" s="241" t="s">
        <v>3874</v>
      </c>
      <c r="H2090" s="241" t="s">
        <v>3875</v>
      </c>
      <c r="I2090" s="241" t="s">
        <v>2726</v>
      </c>
      <c r="J2090" s="249" t="s">
        <v>3876</v>
      </c>
      <c r="K2090" s="242">
        <v>44634</v>
      </c>
      <c r="L2090" s="241"/>
      <c r="M2090" s="243">
        <f>12*8*60*2</f>
        <v>11520</v>
      </c>
      <c r="N2090" s="243">
        <f>MONTH(Tableau13[[#This Row],[Date fin intervention]])</f>
        <v>3</v>
      </c>
      <c r="O2090" s="243">
        <f>YEAR(Tableau13[[#This Row],[Date fin intervention]])</f>
        <v>2022</v>
      </c>
      <c r="P2090" s="241"/>
    </row>
    <row r="2091" spans="1:16">
      <c r="A2091" s="238">
        <v>44620</v>
      </c>
      <c r="B2091" s="239">
        <v>590</v>
      </c>
      <c r="C2091" s="240" t="str">
        <f>IF(ISNA(VLOOKUP(Tableau13[[#This Row],[Code machine]],'CODE mchn'!$A$4:$C$170,2,0)),"",VLOOKUP(Tableau13[[#This Row],[Code machine]],'CODE mchn'!$A$4:$C$170,2,0))</f>
        <v>Acier</v>
      </c>
      <c r="D2091" s="241" t="str">
        <f>IF(ISNA(VLOOKUP(Tableau13[[#This Row],[Code machine]],'CODE mchn'!$A$4:$C$170,3,0)),"",VLOOKUP(Tableau13[[#This Row],[Code machine]],'CODE mchn'!$A$4:$C$170,3,0))</f>
        <v>Teurema 3</v>
      </c>
      <c r="E2091" s="239">
        <v>25935</v>
      </c>
      <c r="F2091" s="241"/>
      <c r="G2091" s="241" t="s">
        <v>3241</v>
      </c>
      <c r="H2091" s="241" t="s">
        <v>3891</v>
      </c>
      <c r="I2091" s="241" t="s">
        <v>13</v>
      </c>
      <c r="J2091" s="249" t="s">
        <v>3235</v>
      </c>
      <c r="K2091" s="242">
        <v>44620</v>
      </c>
      <c r="L2091" s="241"/>
      <c r="M2091" s="243"/>
      <c r="N2091" s="243">
        <f>MONTH(Tableau13[[#This Row],[Date fin intervention]])</f>
        <v>2</v>
      </c>
      <c r="O2091" s="243">
        <f>YEAR(Tableau13[[#This Row],[Date fin intervention]])</f>
        <v>2022</v>
      </c>
      <c r="P2091" s="241"/>
    </row>
    <row r="2092" spans="1:16">
      <c r="A2092" s="238">
        <v>44620</v>
      </c>
      <c r="B2092" s="239">
        <v>582</v>
      </c>
      <c r="C2092" s="240" t="str">
        <f>IF(ISNA(VLOOKUP(Tableau13[[#This Row],[Code machine]],'CODE mchn'!$A$4:$C$170,2,0)),"",VLOOKUP(Tableau13[[#This Row],[Code machine]],'CODE mchn'!$A$4:$C$170,2,0))</f>
        <v>Acier</v>
      </c>
      <c r="D2092" s="241" t="str">
        <f>IF(ISNA(VLOOKUP(Tableau13[[#This Row],[Code machine]],'CODE mchn'!$A$4:$C$170,3,0)),"",VLOOKUP(Tableau13[[#This Row],[Code machine]],'CODE mchn'!$A$4:$C$170,3,0))</f>
        <v>Teurema 2</v>
      </c>
      <c r="E2092" s="239">
        <v>25938</v>
      </c>
      <c r="F2092" s="241"/>
      <c r="G2092" s="241" t="s">
        <v>1347</v>
      </c>
      <c r="H2092" s="241" t="s">
        <v>3895</v>
      </c>
      <c r="I2092" s="241" t="s">
        <v>101</v>
      </c>
      <c r="J2092" s="249" t="s">
        <v>3896</v>
      </c>
      <c r="K2092" s="242">
        <v>44620</v>
      </c>
      <c r="L2092" s="241"/>
      <c r="M2092" s="243">
        <v>60</v>
      </c>
      <c r="N2092" s="243">
        <f>MONTH(Tableau13[[#This Row],[Date fin intervention]])</f>
        <v>2</v>
      </c>
      <c r="O2092" s="243">
        <f>YEAR(Tableau13[[#This Row],[Date fin intervention]])</f>
        <v>2022</v>
      </c>
      <c r="P2092" s="241"/>
    </row>
    <row r="2093" spans="1:16">
      <c r="A2093" s="238">
        <v>44621</v>
      </c>
      <c r="B2093" s="239">
        <v>580</v>
      </c>
      <c r="C2093" s="240" t="str">
        <f>IF(ISNA(VLOOKUP(Tableau13[[#This Row],[Code machine]],'CODE mchn'!$A$4:$C$170,2,0)),"",VLOOKUP(Tableau13[[#This Row],[Code machine]],'CODE mchn'!$A$4:$C$170,2,0))</f>
        <v>Acier</v>
      </c>
      <c r="D2093" s="241" t="str">
        <f>IF(ISNA(VLOOKUP(Tableau13[[#This Row],[Code machine]],'CODE mchn'!$A$4:$C$170,3,0)),"",VLOOKUP(Tableau13[[#This Row],[Code machine]],'CODE mchn'!$A$4:$C$170,3,0))</f>
        <v>Techno Impiante</v>
      </c>
      <c r="E2093" s="239">
        <v>25986</v>
      </c>
      <c r="F2093" s="241"/>
      <c r="G2093" s="241" t="s">
        <v>3908</v>
      </c>
      <c r="H2093" s="241" t="s">
        <v>3909</v>
      </c>
      <c r="I2093" s="241" t="s">
        <v>13</v>
      </c>
      <c r="J2093" s="249" t="s">
        <v>3910</v>
      </c>
      <c r="K2093" s="242">
        <v>44621</v>
      </c>
      <c r="L2093" s="241"/>
      <c r="M2093" s="243">
        <v>90</v>
      </c>
      <c r="N2093" s="243">
        <f>MONTH(Tableau13[[#This Row],[Date fin intervention]])</f>
        <v>3</v>
      </c>
      <c r="O2093" s="243">
        <f>YEAR(Tableau13[[#This Row],[Date fin intervention]])</f>
        <v>2022</v>
      </c>
      <c r="P2093" s="241"/>
    </row>
    <row r="2094" spans="1:16">
      <c r="A2094" s="238">
        <v>44624</v>
      </c>
      <c r="B2094" s="239">
        <v>581</v>
      </c>
      <c r="C2094" s="240" t="str">
        <f>IF(ISNA(VLOOKUP(Tableau13[[#This Row],[Code machine]],'CODE mchn'!$A$4:$C$170,2,0)),"",VLOOKUP(Tableau13[[#This Row],[Code machine]],'CODE mchn'!$A$4:$C$170,2,0))</f>
        <v>Acier</v>
      </c>
      <c r="D2094" s="241" t="str">
        <f>IF(ISNA(VLOOKUP(Tableau13[[#This Row],[Code machine]],'CODE mchn'!$A$4:$C$170,3,0)),"",VLOOKUP(Tableau13[[#This Row],[Code machine]],'CODE mchn'!$A$4:$C$170,3,0))</f>
        <v>Teurema 1</v>
      </c>
      <c r="E2094" s="239">
        <v>25940</v>
      </c>
      <c r="F2094" s="241"/>
      <c r="G2094" s="241" t="s">
        <v>70</v>
      </c>
      <c r="H2094" s="241" t="s">
        <v>3897</v>
      </c>
      <c r="I2094" s="241" t="s">
        <v>13</v>
      </c>
      <c r="J2094" s="249" t="s">
        <v>3136</v>
      </c>
      <c r="K2094" s="242">
        <v>44624</v>
      </c>
      <c r="L2094" s="241"/>
      <c r="M2094" s="243">
        <v>90</v>
      </c>
      <c r="N2094" s="243">
        <f>MONTH(Tableau13[[#This Row],[Date fin intervention]])</f>
        <v>3</v>
      </c>
      <c r="O2094" s="243">
        <f>YEAR(Tableau13[[#This Row],[Date fin intervention]])</f>
        <v>2022</v>
      </c>
      <c r="P2094" s="241"/>
    </row>
    <row r="2095" spans="1:16">
      <c r="A2095" s="238">
        <v>44625</v>
      </c>
      <c r="B2095" s="239">
        <v>700</v>
      </c>
      <c r="C2095" s="240" t="str">
        <f>IF(ISNA(VLOOKUP(Tableau13[[#This Row],[Code machine]],'CODE mchn'!$A$4:$C$170,2,0)),"",VLOOKUP(Tableau13[[#This Row],[Code machine]],'CODE mchn'!$A$4:$C$170,2,0))</f>
        <v>Béton</v>
      </c>
      <c r="D2095" s="241" t="str">
        <f>IF(ISNA(VLOOKUP(Tableau13[[#This Row],[Code machine]],'CODE mchn'!$A$4:$C$170,3,0)),"",VLOOKUP(Tableau13[[#This Row],[Code machine]],'CODE mchn'!$A$4:$C$170,3,0))</f>
        <v>Poyatos 1</v>
      </c>
      <c r="E2095" s="239">
        <v>16802</v>
      </c>
      <c r="F2095" s="241"/>
      <c r="G2095" s="241" t="s">
        <v>213</v>
      </c>
      <c r="H2095" s="241" t="s">
        <v>3872</v>
      </c>
      <c r="I2095" s="241" t="s">
        <v>13</v>
      </c>
      <c r="J2095" s="249" t="s">
        <v>3873</v>
      </c>
      <c r="K2095" s="242">
        <v>44625</v>
      </c>
      <c r="L2095" s="241"/>
      <c r="M2095" s="243">
        <v>120</v>
      </c>
      <c r="N2095" s="243">
        <f>MONTH(Tableau13[[#This Row],[Date fin intervention]])</f>
        <v>3</v>
      </c>
      <c r="O2095" s="243">
        <f>YEAR(Tableau13[[#This Row],[Date fin intervention]])</f>
        <v>2022</v>
      </c>
      <c r="P2095" s="241"/>
    </row>
    <row r="2096" spans="1:16">
      <c r="A2096" s="238">
        <v>44625</v>
      </c>
      <c r="B2096" s="239">
        <v>700</v>
      </c>
      <c r="C2096" s="240" t="str">
        <f>IF(ISNA(VLOOKUP(Tableau13[[#This Row],[Code machine]],'CODE mchn'!$A$4:$C$170,2,0)),"",VLOOKUP(Tableau13[[#This Row],[Code machine]],'CODE mchn'!$A$4:$C$170,2,0))</f>
        <v>Béton</v>
      </c>
      <c r="D2096" s="241" t="str">
        <f>IF(ISNA(VLOOKUP(Tableau13[[#This Row],[Code machine]],'CODE mchn'!$A$4:$C$170,3,0)),"",VLOOKUP(Tableau13[[#This Row],[Code machine]],'CODE mchn'!$A$4:$C$170,3,0))</f>
        <v>Poyatos 1</v>
      </c>
      <c r="E2096" s="239">
        <v>16801</v>
      </c>
      <c r="F2096" s="241"/>
      <c r="G2096" s="241" t="s">
        <v>185</v>
      </c>
      <c r="H2096" s="241" t="s">
        <v>3877</v>
      </c>
      <c r="I2096" s="241" t="s">
        <v>13</v>
      </c>
      <c r="J2096" s="249" t="s">
        <v>3878</v>
      </c>
      <c r="K2096" s="242">
        <v>44625</v>
      </c>
      <c r="L2096" s="241"/>
      <c r="M2096" s="243">
        <v>60</v>
      </c>
      <c r="N2096" s="243">
        <f>MONTH(Tableau13[[#This Row],[Date fin intervention]])</f>
        <v>3</v>
      </c>
      <c r="O2096" s="243">
        <f>YEAR(Tableau13[[#This Row],[Date fin intervention]])</f>
        <v>2022</v>
      </c>
      <c r="P2096" s="241"/>
    </row>
    <row r="2097" spans="1:16">
      <c r="A2097" s="238">
        <v>44625</v>
      </c>
      <c r="B2097" s="239">
        <v>582</v>
      </c>
      <c r="C2097" s="240" t="str">
        <f>IF(ISNA(VLOOKUP(Tableau13[[#This Row],[Code machine]],'CODE mchn'!$A$4:$C$170,2,0)),"",VLOOKUP(Tableau13[[#This Row],[Code machine]],'CODE mchn'!$A$4:$C$170,2,0))</f>
        <v>Acier</v>
      </c>
      <c r="D2097" s="241" t="str">
        <f>IF(ISNA(VLOOKUP(Tableau13[[#This Row],[Code machine]],'CODE mchn'!$A$4:$C$170,3,0)),"",VLOOKUP(Tableau13[[#This Row],[Code machine]],'CODE mchn'!$A$4:$C$170,3,0))</f>
        <v>Teurema 2</v>
      </c>
      <c r="E2097" s="239">
        <v>25941</v>
      </c>
      <c r="F2097" s="241"/>
      <c r="G2097" s="241" t="s">
        <v>880</v>
      </c>
      <c r="H2097" s="241" t="s">
        <v>772</v>
      </c>
      <c r="I2097" s="241" t="s">
        <v>101</v>
      </c>
      <c r="J2097" s="249" t="s">
        <v>3898</v>
      </c>
      <c r="K2097" s="242">
        <v>44625</v>
      </c>
      <c r="L2097" s="241"/>
      <c r="M2097" s="243">
        <v>45</v>
      </c>
      <c r="N2097" s="243">
        <f>MONTH(Tableau13[[#This Row],[Date fin intervention]])</f>
        <v>3</v>
      </c>
      <c r="O2097" s="243">
        <f>YEAR(Tableau13[[#This Row],[Date fin intervention]])</f>
        <v>2022</v>
      </c>
      <c r="P2097" s="241"/>
    </row>
    <row r="2098" spans="1:16">
      <c r="A2098" s="238">
        <v>44625</v>
      </c>
      <c r="B2098" s="239">
        <v>582</v>
      </c>
      <c r="C2098" s="240" t="str">
        <f>IF(ISNA(VLOOKUP(Tableau13[[#This Row],[Code machine]],'CODE mchn'!$A$4:$C$170,2,0)),"",VLOOKUP(Tableau13[[#This Row],[Code machine]],'CODE mchn'!$A$4:$C$170,2,0))</f>
        <v>Acier</v>
      </c>
      <c r="D2098" s="241" t="str">
        <f>IF(ISNA(VLOOKUP(Tableau13[[#This Row],[Code machine]],'CODE mchn'!$A$4:$C$170,3,0)),"",VLOOKUP(Tableau13[[#This Row],[Code machine]],'CODE mchn'!$A$4:$C$170,3,0))</f>
        <v>Teurema 2</v>
      </c>
      <c r="E2098" s="239">
        <v>25942</v>
      </c>
      <c r="F2098" s="241"/>
      <c r="G2098" s="241" t="s">
        <v>3797</v>
      </c>
      <c r="H2098" s="241" t="s">
        <v>3899</v>
      </c>
      <c r="I2098" s="241" t="s">
        <v>13</v>
      </c>
      <c r="J2098" s="249" t="s">
        <v>3900</v>
      </c>
      <c r="K2098" s="242">
        <v>44625</v>
      </c>
      <c r="L2098" s="241"/>
      <c r="M2098" s="243"/>
      <c r="N2098" s="243">
        <f>MONTH(Tableau13[[#This Row],[Date fin intervention]])</f>
        <v>3</v>
      </c>
      <c r="O2098" s="243">
        <f>YEAR(Tableau13[[#This Row],[Date fin intervention]])</f>
        <v>2022</v>
      </c>
      <c r="P2098" s="241"/>
    </row>
    <row r="2099" spans="1:16">
      <c r="A2099" s="238">
        <v>44625</v>
      </c>
      <c r="B2099" s="239">
        <v>582</v>
      </c>
      <c r="C2099" s="240" t="str">
        <f>IF(ISNA(VLOOKUP(Tableau13[[#This Row],[Code machine]],'CODE mchn'!$A$4:$C$170,2,0)),"",VLOOKUP(Tableau13[[#This Row],[Code machine]],'CODE mchn'!$A$4:$C$170,2,0))</f>
        <v>Acier</v>
      </c>
      <c r="D2099" s="241" t="str">
        <f>IF(ISNA(VLOOKUP(Tableau13[[#This Row],[Code machine]],'CODE mchn'!$A$4:$C$170,3,0)),"",VLOOKUP(Tableau13[[#This Row],[Code machine]],'CODE mchn'!$A$4:$C$170,3,0))</f>
        <v>Teurema 2</v>
      </c>
      <c r="E2099" s="239">
        <v>25943</v>
      </c>
      <c r="F2099" s="241"/>
      <c r="G2099" s="241" t="s">
        <v>612</v>
      </c>
      <c r="H2099" s="241" t="s">
        <v>3901</v>
      </c>
      <c r="I2099" s="241" t="s">
        <v>13</v>
      </c>
      <c r="J2099" s="249" t="s">
        <v>3902</v>
      </c>
      <c r="K2099" s="242">
        <v>44625</v>
      </c>
      <c r="L2099" s="241"/>
      <c r="M2099" s="243">
        <f>4*60</f>
        <v>240</v>
      </c>
      <c r="N2099" s="243">
        <f>MONTH(Tableau13[[#This Row],[Date fin intervention]])</f>
        <v>3</v>
      </c>
      <c r="O2099" s="243">
        <f>YEAR(Tableau13[[#This Row],[Date fin intervention]])</f>
        <v>2022</v>
      </c>
      <c r="P2099" s="241"/>
    </row>
    <row r="2100" spans="1:16">
      <c r="A2100" s="238">
        <v>44627</v>
      </c>
      <c r="B2100" s="239">
        <v>606</v>
      </c>
      <c r="C2100" s="240" t="str">
        <f>IF(ISNA(VLOOKUP(Tableau13[[#This Row],[Code machine]],'CODE mchn'!$A$4:$C$170,2,0)),"",VLOOKUP(Tableau13[[#This Row],[Code machine]],'CODE mchn'!$A$4:$C$170,2,0))</f>
        <v>Acier</v>
      </c>
      <c r="D2100" s="241" t="str">
        <f>IF(ISNA(VLOOKUP(Tableau13[[#This Row],[Code machine]],'CODE mchn'!$A$4:$C$170,3,0)),"",VLOOKUP(Tableau13[[#This Row],[Code machine]],'CODE mchn'!$A$4:$C$170,3,0))</f>
        <v>Vitari 2</v>
      </c>
      <c r="E2100" s="239">
        <v>26656</v>
      </c>
      <c r="F2100" s="241"/>
      <c r="G2100" s="241" t="s">
        <v>1363</v>
      </c>
      <c r="H2100" s="241" t="s">
        <v>689</v>
      </c>
      <c r="I2100" s="241" t="s">
        <v>13</v>
      </c>
      <c r="J2100" s="249" t="s">
        <v>3941</v>
      </c>
      <c r="K2100" s="242">
        <v>44627</v>
      </c>
      <c r="L2100" s="241"/>
      <c r="M2100" s="243">
        <f>6*60</f>
        <v>360</v>
      </c>
      <c r="N2100" s="243">
        <f>MONTH(Tableau13[[#This Row],[Date fin intervention]])</f>
        <v>3</v>
      </c>
      <c r="O2100" s="243">
        <f>YEAR(Tableau13[[#This Row],[Date fin intervention]])</f>
        <v>2022</v>
      </c>
      <c r="P2100" s="241"/>
    </row>
    <row r="2101" spans="1:16">
      <c r="A2101" s="238">
        <v>44629</v>
      </c>
      <c r="B2101" s="239">
        <v>800</v>
      </c>
      <c r="C2101" s="240" t="str">
        <f>IF(ISNA(VLOOKUP(Tableau13[[#This Row],[Code machine]],'CODE mchn'!$A$4:$C$170,2,0)),"",VLOOKUP(Tableau13[[#This Row],[Code machine]],'CODE mchn'!$A$4:$C$170,2,0))</f>
        <v>Béton</v>
      </c>
      <c r="D2101" s="241" t="str">
        <f>IF(ISNA(VLOOKUP(Tableau13[[#This Row],[Code machine]],'CODE mchn'!$A$4:$C$170,3,0)),"",VLOOKUP(Tableau13[[#This Row],[Code machine]],'CODE mchn'!$A$4:$C$170,3,0))</f>
        <v>Poyatos 2</v>
      </c>
      <c r="E2101" s="239">
        <v>16803</v>
      </c>
      <c r="F2101" s="241"/>
      <c r="G2101" s="241" t="s">
        <v>3870</v>
      </c>
      <c r="H2101" s="241" t="s">
        <v>3841</v>
      </c>
      <c r="I2101" s="241" t="s">
        <v>13</v>
      </c>
      <c r="J2101" s="249" t="s">
        <v>3871</v>
      </c>
      <c r="K2101" s="242">
        <v>44629</v>
      </c>
      <c r="L2101" s="241"/>
      <c r="M2101" s="243">
        <v>60</v>
      </c>
      <c r="N2101" s="243">
        <f>MONTH(Tableau13[[#This Row],[Date fin intervention]])</f>
        <v>3</v>
      </c>
      <c r="O2101" s="243">
        <f>YEAR(Tableau13[[#This Row],[Date fin intervention]])</f>
        <v>2022</v>
      </c>
      <c r="P2101" s="241"/>
    </row>
    <row r="2102" spans="1:16">
      <c r="A2102" s="238">
        <v>44629</v>
      </c>
      <c r="B2102" s="239">
        <v>582</v>
      </c>
      <c r="C2102" s="240" t="str">
        <f>IF(ISNA(VLOOKUP(Tableau13[[#This Row],[Code machine]],'CODE mchn'!$A$4:$C$170,2,0)),"",VLOOKUP(Tableau13[[#This Row],[Code machine]],'CODE mchn'!$A$4:$C$170,2,0))</f>
        <v>Acier</v>
      </c>
      <c r="D2102" s="241" t="str">
        <f>IF(ISNA(VLOOKUP(Tableau13[[#This Row],[Code machine]],'CODE mchn'!$A$4:$C$170,3,0)),"",VLOOKUP(Tableau13[[#This Row],[Code machine]],'CODE mchn'!$A$4:$C$170,3,0))</f>
        <v>Teurema 2</v>
      </c>
      <c r="E2102" s="239">
        <v>25945</v>
      </c>
      <c r="F2102" s="241"/>
      <c r="G2102" s="241" t="s">
        <v>78</v>
      </c>
      <c r="H2102" s="241" t="s">
        <v>3903</v>
      </c>
      <c r="I2102" s="241" t="s">
        <v>13</v>
      </c>
      <c r="J2102" s="249" t="s">
        <v>3904</v>
      </c>
      <c r="K2102" s="242">
        <v>44629</v>
      </c>
      <c r="L2102" s="241"/>
      <c r="M2102" s="243">
        <v>120</v>
      </c>
      <c r="N2102" s="243">
        <f>MONTH(Tableau13[[#This Row],[Date fin intervention]])</f>
        <v>3</v>
      </c>
      <c r="O2102" s="243">
        <f>YEAR(Tableau13[[#This Row],[Date fin intervention]])</f>
        <v>2022</v>
      </c>
      <c r="P2102" s="241"/>
    </row>
    <row r="2103" spans="1:16">
      <c r="A2103" s="238">
        <v>44631</v>
      </c>
      <c r="B2103" s="239">
        <v>560</v>
      </c>
      <c r="C2103" s="240" t="str">
        <f>IF(ISNA(VLOOKUP(Tableau13[[#This Row],[Code machine]],'CODE mchn'!$A$4:$C$170,2,0)),"",VLOOKUP(Tableau13[[#This Row],[Code machine]],'CODE mchn'!$A$4:$C$170,2,0))</f>
        <v>Acier</v>
      </c>
      <c r="D2103" s="241" t="str">
        <f>IF(ISNA(VLOOKUP(Tableau13[[#This Row],[Code machine]],'CODE mchn'!$A$4:$C$170,3,0)),"",VLOOKUP(Tableau13[[#This Row],[Code machine]],'CODE mchn'!$A$4:$C$170,3,0))</f>
        <v>Schlatter</v>
      </c>
      <c r="E2103" s="239">
        <v>26658</v>
      </c>
      <c r="F2103" s="241"/>
      <c r="G2103" s="241" t="s">
        <v>726</v>
      </c>
      <c r="H2103" s="241" t="s">
        <v>3942</v>
      </c>
      <c r="I2103" s="241" t="s">
        <v>13</v>
      </c>
      <c r="J2103" s="249" t="s">
        <v>3943</v>
      </c>
      <c r="K2103" s="242">
        <v>44631</v>
      </c>
      <c r="L2103" s="241"/>
      <c r="M2103" s="243">
        <v>120</v>
      </c>
      <c r="N2103" s="243">
        <f>MONTH(Tableau13[[#This Row],[Date fin intervention]])</f>
        <v>3</v>
      </c>
      <c r="O2103" s="243">
        <f>YEAR(Tableau13[[#This Row],[Date fin intervention]])</f>
        <v>2022</v>
      </c>
      <c r="P2103" s="241"/>
    </row>
    <row r="2104" spans="1:16">
      <c r="A2104" s="238">
        <v>44632</v>
      </c>
      <c r="B2104" s="239">
        <v>582</v>
      </c>
      <c r="C2104" s="240" t="str">
        <f>IF(ISNA(VLOOKUP(Tableau13[[#This Row],[Code machine]],'CODE mchn'!$A$4:$C$170,2,0)),"",VLOOKUP(Tableau13[[#This Row],[Code machine]],'CODE mchn'!$A$4:$C$170,2,0))</f>
        <v>Acier</v>
      </c>
      <c r="D2104" s="241" t="str">
        <f>IF(ISNA(VLOOKUP(Tableau13[[#This Row],[Code machine]],'CODE mchn'!$A$4:$C$170,3,0)),"",VLOOKUP(Tableau13[[#This Row],[Code machine]],'CODE mchn'!$A$4:$C$170,3,0))</f>
        <v>Teurema 2</v>
      </c>
      <c r="E2104" s="239">
        <v>25946</v>
      </c>
      <c r="F2104" s="241"/>
      <c r="G2104" s="241" t="s">
        <v>1733</v>
      </c>
      <c r="H2104" s="241" t="s">
        <v>1650</v>
      </c>
      <c r="I2104" s="241" t="s">
        <v>101</v>
      </c>
      <c r="J2104" s="249" t="s">
        <v>3898</v>
      </c>
      <c r="K2104" s="242">
        <v>44632</v>
      </c>
      <c r="L2104" s="241"/>
      <c r="M2104" s="243">
        <v>30</v>
      </c>
      <c r="N2104" s="243">
        <f>MONTH(Tableau13[[#This Row],[Date fin intervention]])</f>
        <v>3</v>
      </c>
      <c r="O2104" s="243">
        <f>YEAR(Tableau13[[#This Row],[Date fin intervention]])</f>
        <v>2022</v>
      </c>
      <c r="P2104" s="241"/>
    </row>
    <row r="2105" spans="1:16">
      <c r="A2105" s="238">
        <v>44632</v>
      </c>
      <c r="B2105" s="239">
        <v>582</v>
      </c>
      <c r="C2105" s="240" t="str">
        <f>IF(ISNA(VLOOKUP(Tableau13[[#This Row],[Code machine]],'CODE mchn'!$A$4:$C$170,2,0)),"",VLOOKUP(Tableau13[[#This Row],[Code machine]],'CODE mchn'!$A$4:$C$170,2,0))</f>
        <v>Acier</v>
      </c>
      <c r="D2105" s="241" t="str">
        <f>IF(ISNA(VLOOKUP(Tableau13[[#This Row],[Code machine]],'CODE mchn'!$A$4:$C$170,3,0)),"",VLOOKUP(Tableau13[[#This Row],[Code machine]],'CODE mchn'!$A$4:$C$170,3,0))</f>
        <v>Teurema 2</v>
      </c>
      <c r="E2105" s="239">
        <v>25947</v>
      </c>
      <c r="F2105" s="241"/>
      <c r="G2105" s="241" t="s">
        <v>3905</v>
      </c>
      <c r="H2105" s="241" t="s">
        <v>3906</v>
      </c>
      <c r="I2105" s="241" t="s">
        <v>101</v>
      </c>
      <c r="J2105" s="249" t="s">
        <v>3907</v>
      </c>
      <c r="K2105" s="242">
        <v>44632</v>
      </c>
      <c r="L2105" s="241"/>
      <c r="M2105" s="243">
        <f>2*8*60</f>
        <v>960</v>
      </c>
      <c r="N2105" s="243">
        <f>MONTH(Tableau13[[#This Row],[Date fin intervention]])</f>
        <v>3</v>
      </c>
      <c r="O2105" s="243">
        <f>YEAR(Tableau13[[#This Row],[Date fin intervention]])</f>
        <v>2022</v>
      </c>
      <c r="P2105" s="241"/>
    </row>
    <row r="2106" spans="1:16">
      <c r="A2106" s="238">
        <v>44633</v>
      </c>
      <c r="B2106" s="239">
        <v>590</v>
      </c>
      <c r="C2106" s="240" t="str">
        <f>IF(ISNA(VLOOKUP(Tableau13[[#This Row],[Code machine]],'CODE mchn'!$A$4:$C$170,2,0)),"",VLOOKUP(Tableau13[[#This Row],[Code machine]],'CODE mchn'!$A$4:$C$170,2,0))</f>
        <v>Acier</v>
      </c>
      <c r="D2106" s="241" t="str">
        <f>IF(ISNA(VLOOKUP(Tableau13[[#This Row],[Code machine]],'CODE mchn'!$A$4:$C$170,3,0)),"",VLOOKUP(Tableau13[[#This Row],[Code machine]],'CODE mchn'!$A$4:$C$170,3,0))</f>
        <v>Teurema 3</v>
      </c>
      <c r="E2106" s="239">
        <v>25992</v>
      </c>
      <c r="F2106" s="241"/>
      <c r="G2106" s="241" t="s">
        <v>1294</v>
      </c>
      <c r="H2106" s="241" t="s">
        <v>3911</v>
      </c>
      <c r="I2106" s="241" t="s">
        <v>101</v>
      </c>
      <c r="J2106" s="249" t="s">
        <v>3912</v>
      </c>
      <c r="K2106" s="242">
        <v>44633</v>
      </c>
      <c r="L2106" s="241"/>
      <c r="M2106" s="243">
        <v>150</v>
      </c>
      <c r="N2106" s="243">
        <f>MONTH(Tableau13[[#This Row],[Date fin intervention]])</f>
        <v>3</v>
      </c>
      <c r="O2106" s="243">
        <f>YEAR(Tableau13[[#This Row],[Date fin intervention]])</f>
        <v>2022</v>
      </c>
      <c r="P2106" s="241"/>
    </row>
    <row r="2107" spans="1:16">
      <c r="A2107" s="238">
        <v>44634</v>
      </c>
      <c r="B2107" s="239">
        <v>700</v>
      </c>
      <c r="C2107" s="240" t="str">
        <f>IF(ISNA(VLOOKUP(Tableau13[[#This Row],[Code machine]],'CODE mchn'!$A$4:$C$170,2,0)),"",VLOOKUP(Tableau13[[#This Row],[Code machine]],'CODE mchn'!$A$4:$C$170,2,0))</f>
        <v>Béton</v>
      </c>
      <c r="D2107" s="241" t="str">
        <f>IF(ISNA(VLOOKUP(Tableau13[[#This Row],[Code machine]],'CODE mchn'!$A$4:$C$170,3,0)),"",VLOOKUP(Tableau13[[#This Row],[Code machine]],'CODE mchn'!$A$4:$C$170,3,0))</f>
        <v>Poyatos 1</v>
      </c>
      <c r="E2107" s="239">
        <v>16804</v>
      </c>
      <c r="F2107" s="241"/>
      <c r="G2107" s="241" t="s">
        <v>2673</v>
      </c>
      <c r="H2107" s="241" t="s">
        <v>3868</v>
      </c>
      <c r="I2107" s="241" t="s">
        <v>101</v>
      </c>
      <c r="J2107" s="249" t="s">
        <v>3869</v>
      </c>
      <c r="K2107" s="242">
        <v>44634</v>
      </c>
      <c r="L2107" s="241"/>
      <c r="M2107" s="243">
        <v>180</v>
      </c>
      <c r="N2107" s="243">
        <f>MONTH(Tableau13[[#This Row],[Date fin intervention]])</f>
        <v>3</v>
      </c>
      <c r="O2107" s="243">
        <f>YEAR(Tableau13[[#This Row],[Date fin intervention]])</f>
        <v>2022</v>
      </c>
      <c r="P2107" s="241"/>
    </row>
    <row r="2108" spans="1:16">
      <c r="A2108" s="238">
        <v>44634</v>
      </c>
      <c r="B2108" s="239">
        <v>606</v>
      </c>
      <c r="C2108" s="240" t="str">
        <f>IF(ISNA(VLOOKUP(Tableau13[[#This Row],[Code machine]],'CODE mchn'!$A$4:$C$170,2,0)),"",VLOOKUP(Tableau13[[#This Row],[Code machine]],'CODE mchn'!$A$4:$C$170,2,0))</f>
        <v>Acier</v>
      </c>
      <c r="D2108" s="241" t="str">
        <f>IF(ISNA(VLOOKUP(Tableau13[[#This Row],[Code machine]],'CODE mchn'!$A$4:$C$170,3,0)),"",VLOOKUP(Tableau13[[#This Row],[Code machine]],'CODE mchn'!$A$4:$C$170,3,0))</f>
        <v>Vitari 2</v>
      </c>
      <c r="E2108" s="239">
        <v>26660</v>
      </c>
      <c r="F2108" s="241"/>
      <c r="G2108" s="241" t="s">
        <v>1363</v>
      </c>
      <c r="H2108" s="241" t="s">
        <v>1330</v>
      </c>
      <c r="I2108" s="241" t="s">
        <v>101</v>
      </c>
      <c r="J2108" s="249" t="s">
        <v>3944</v>
      </c>
      <c r="K2108" s="242">
        <v>44634</v>
      </c>
      <c r="L2108" s="241"/>
      <c r="M2108" s="243">
        <v>90</v>
      </c>
      <c r="N2108" s="243">
        <f>MONTH(Tableau13[[#This Row],[Date fin intervention]])</f>
        <v>3</v>
      </c>
      <c r="O2108" s="243">
        <f>YEAR(Tableau13[[#This Row],[Date fin intervention]])</f>
        <v>2022</v>
      </c>
      <c r="P2108" s="241"/>
    </row>
    <row r="2109" spans="1:16">
      <c r="A2109" s="238">
        <v>44634</v>
      </c>
      <c r="B2109" s="239">
        <v>565</v>
      </c>
      <c r="C2109" s="240" t="str">
        <f>IF(ISNA(VLOOKUP(Tableau13[[#This Row],[Code machine]],'CODE mchn'!$A$4:$C$170,2,0)),"",VLOOKUP(Tableau13[[#This Row],[Code machine]],'CODE mchn'!$A$4:$C$170,2,0))</f>
        <v>Acier</v>
      </c>
      <c r="D2109" s="241" t="str">
        <f>IF(ISNA(VLOOKUP(Tableau13[[#This Row],[Code machine]],'CODE mchn'!$A$4:$C$170,3,0)),"",VLOOKUP(Tableau13[[#This Row],[Code machine]],'CODE mchn'!$A$4:$C$170,3,0))</f>
        <v>EVG GE12</v>
      </c>
      <c r="E2109" s="239">
        <v>26661</v>
      </c>
      <c r="F2109" s="241"/>
      <c r="G2109" s="241" t="s">
        <v>2243</v>
      </c>
      <c r="H2109" s="241" t="s">
        <v>3945</v>
      </c>
      <c r="I2109" s="241" t="s">
        <v>101</v>
      </c>
      <c r="J2109" s="249" t="s">
        <v>3946</v>
      </c>
      <c r="K2109" s="242">
        <v>44634</v>
      </c>
      <c r="L2109" s="241"/>
      <c r="M2109" s="243">
        <v>60</v>
      </c>
      <c r="N2109" s="243">
        <f>MONTH(Tableau13[[#This Row],[Date fin intervention]])</f>
        <v>3</v>
      </c>
      <c r="O2109" s="243">
        <f>YEAR(Tableau13[[#This Row],[Date fin intervention]])</f>
        <v>2022</v>
      </c>
      <c r="P2109" s="241"/>
    </row>
    <row r="2110" spans="1:16">
      <c r="A2110" s="238">
        <v>44634</v>
      </c>
      <c r="B2110" s="239">
        <v>560</v>
      </c>
      <c r="C2110" s="240" t="str">
        <f>IF(ISNA(VLOOKUP(Tableau13[[#This Row],[Code machine]],'CODE mchn'!$A$4:$C$170,2,0)),"",VLOOKUP(Tableau13[[#This Row],[Code machine]],'CODE mchn'!$A$4:$C$170,2,0))</f>
        <v>Acier</v>
      </c>
      <c r="D2110" s="241" t="str">
        <f>IF(ISNA(VLOOKUP(Tableau13[[#This Row],[Code machine]],'CODE mchn'!$A$4:$C$170,3,0)),"",VLOOKUP(Tableau13[[#This Row],[Code machine]],'CODE mchn'!$A$4:$C$170,3,0))</f>
        <v>Schlatter</v>
      </c>
      <c r="E2110" s="239">
        <v>26662</v>
      </c>
      <c r="F2110" s="241"/>
      <c r="G2110" s="241" t="s">
        <v>3947</v>
      </c>
      <c r="H2110" s="241" t="s">
        <v>3948</v>
      </c>
      <c r="I2110" s="241" t="s">
        <v>3949</v>
      </c>
      <c r="J2110" s="249" t="s">
        <v>3950</v>
      </c>
      <c r="K2110" s="242">
        <v>44634</v>
      </c>
      <c r="L2110" s="241"/>
      <c r="M2110" s="243">
        <v>60</v>
      </c>
      <c r="N2110" s="243">
        <f>MONTH(Tableau13[[#This Row],[Date fin intervention]])</f>
        <v>3</v>
      </c>
      <c r="O2110" s="243">
        <f>YEAR(Tableau13[[#This Row],[Date fin intervention]])</f>
        <v>2022</v>
      </c>
      <c r="P2110" s="241"/>
    </row>
    <row r="2111" spans="1:16">
      <c r="A2111" s="238">
        <v>44641</v>
      </c>
      <c r="B2111" s="239">
        <v>700</v>
      </c>
      <c r="C2111" s="240" t="str">
        <f>IF(ISNA(VLOOKUP(Tableau13[[#This Row],[Code machine]],'CODE mchn'!$A$4:$C$170,2,0)),"",VLOOKUP(Tableau13[[#This Row],[Code machine]],'CODE mchn'!$A$4:$C$170,2,0))</f>
        <v>Béton</v>
      </c>
      <c r="D2111" s="241" t="str">
        <f>IF(ISNA(VLOOKUP(Tableau13[[#This Row],[Code machine]],'CODE mchn'!$A$4:$C$170,3,0)),"",VLOOKUP(Tableau13[[#This Row],[Code machine]],'CODE mchn'!$A$4:$C$170,3,0))</f>
        <v>Poyatos 1</v>
      </c>
      <c r="E2111" s="239">
        <v>26502</v>
      </c>
      <c r="F2111" s="241"/>
      <c r="G2111" s="241" t="s">
        <v>291</v>
      </c>
      <c r="H2111" s="241" t="s">
        <v>4062</v>
      </c>
      <c r="I2111" s="241" t="s">
        <v>13</v>
      </c>
      <c r="J2111" s="249" t="s">
        <v>4063</v>
      </c>
      <c r="K2111" s="242">
        <v>44641</v>
      </c>
      <c r="L2111" s="241"/>
      <c r="M2111" s="243">
        <f>60+45</f>
        <v>105</v>
      </c>
      <c r="N2111" s="243">
        <f>MONTH(Tableau13[[#This Row],[Date fin intervention]])</f>
        <v>3</v>
      </c>
      <c r="O2111" s="243">
        <f>YEAR(Tableau13[[#This Row],[Date fin intervention]])</f>
        <v>2022</v>
      </c>
      <c r="P2111" s="241"/>
    </row>
    <row r="2112" spans="1:16">
      <c r="A2112" s="238">
        <v>44641</v>
      </c>
      <c r="B2112" s="239">
        <v>607</v>
      </c>
      <c r="C2112" s="240" t="str">
        <f>IF(ISNA(VLOOKUP(Tableau13[[#This Row],[Code machine]],'CODE mchn'!$A$4:$C$170,2,0)),"",VLOOKUP(Tableau13[[#This Row],[Code machine]],'CODE mchn'!$A$4:$C$170,2,0))</f>
        <v>Acier</v>
      </c>
      <c r="D2112" s="241" t="str">
        <f>IF(ISNA(VLOOKUP(Tableau13[[#This Row],[Code machine]],'CODE mchn'!$A$4:$C$170,3,0)),"",VLOOKUP(Tableau13[[#This Row],[Code machine]],'CODE mchn'!$A$4:$C$170,3,0))</f>
        <v>Vitari 3</v>
      </c>
      <c r="E2112" s="239">
        <v>26503</v>
      </c>
      <c r="F2112" s="241"/>
      <c r="G2112" s="241" t="s">
        <v>10</v>
      </c>
      <c r="H2112" s="241" t="s">
        <v>4064</v>
      </c>
      <c r="I2112" s="241" t="s">
        <v>13</v>
      </c>
      <c r="J2112" s="249" t="s">
        <v>4065</v>
      </c>
      <c r="K2112" s="242">
        <v>44641</v>
      </c>
      <c r="L2112" s="241"/>
      <c r="M2112" s="243">
        <v>40</v>
      </c>
      <c r="N2112" s="243">
        <f>MONTH(Tableau13[[#This Row],[Date fin intervention]])</f>
        <v>3</v>
      </c>
      <c r="O2112" s="243">
        <f>YEAR(Tableau13[[#This Row],[Date fin intervention]])</f>
        <v>2022</v>
      </c>
      <c r="P2112" s="241"/>
    </row>
    <row r="2113" spans="1:16" ht="28.5">
      <c r="A2113" s="238">
        <v>44643</v>
      </c>
      <c r="B2113" s="239">
        <v>581</v>
      </c>
      <c r="C2113" s="240" t="str">
        <f>IF(ISNA(VLOOKUP(Tableau13[[#This Row],[Code machine]],'CODE mchn'!$A$4:$C$170,2,0)),"",VLOOKUP(Tableau13[[#This Row],[Code machine]],'CODE mchn'!$A$4:$C$170,2,0))</f>
        <v>Acier</v>
      </c>
      <c r="D2113" s="241" t="str">
        <f>IF(ISNA(VLOOKUP(Tableau13[[#This Row],[Code machine]],'CODE mchn'!$A$4:$C$170,3,0)),"",VLOOKUP(Tableau13[[#This Row],[Code machine]],'CODE mchn'!$A$4:$C$170,3,0))</f>
        <v>Teurema 1</v>
      </c>
      <c r="E2113" s="239">
        <v>26601</v>
      </c>
      <c r="F2113" s="241"/>
      <c r="G2113" s="241" t="s">
        <v>70</v>
      </c>
      <c r="H2113" s="241" t="s">
        <v>3951</v>
      </c>
      <c r="I2113" s="241" t="s">
        <v>13</v>
      </c>
      <c r="J2113" s="249" t="s">
        <v>3952</v>
      </c>
      <c r="K2113" s="242">
        <v>44642</v>
      </c>
      <c r="L2113" s="241"/>
      <c r="M2113" s="243">
        <f>7*60</f>
        <v>420</v>
      </c>
      <c r="N2113" s="243">
        <f>MONTH(Tableau13[[#This Row],[Date fin intervention]])</f>
        <v>3</v>
      </c>
      <c r="O2113" s="243">
        <f>YEAR(Tableau13[[#This Row],[Date fin intervention]])</f>
        <v>2022</v>
      </c>
      <c r="P2113" s="241"/>
    </row>
    <row r="2114" spans="1:16">
      <c r="A2114" s="238">
        <v>44643</v>
      </c>
      <c r="B2114" s="239">
        <v>534</v>
      </c>
      <c r="C2114" s="240" t="str">
        <f>IF(ISNA(VLOOKUP(Tableau13[[#This Row],[Code machine]],'CODE mchn'!$A$4:$C$170,2,0)),"",VLOOKUP(Tableau13[[#This Row],[Code machine]],'CODE mchn'!$A$4:$C$170,2,0))</f>
        <v>Enrobage</v>
      </c>
      <c r="D2114" s="241" t="str">
        <f>IF(ISNA(VLOOKUP(Tableau13[[#This Row],[Code machine]],'CODE mchn'!$A$4:$C$170,3,0)),"",VLOOKUP(Tableau13[[#This Row],[Code machine]],'CODE mchn'!$A$4:$C$170,3,0))</f>
        <v>ELKON 2</v>
      </c>
      <c r="E2114" s="239">
        <v>26504</v>
      </c>
      <c r="F2114" s="241"/>
      <c r="G2114" s="241" t="s">
        <v>4066</v>
      </c>
      <c r="H2114" s="241" t="s">
        <v>4067</v>
      </c>
      <c r="I2114" s="241" t="s">
        <v>13</v>
      </c>
      <c r="J2114" s="249" t="s">
        <v>4068</v>
      </c>
      <c r="K2114" s="242">
        <v>44643</v>
      </c>
      <c r="L2114" s="241"/>
      <c r="M2114" s="243">
        <v>75</v>
      </c>
      <c r="N2114" s="243">
        <f>MONTH(Tableau13[[#This Row],[Date fin intervention]])</f>
        <v>3</v>
      </c>
      <c r="O2114" s="243">
        <f>YEAR(Tableau13[[#This Row],[Date fin intervention]])</f>
        <v>2022</v>
      </c>
      <c r="P2114" s="241"/>
    </row>
    <row r="2115" spans="1:16">
      <c r="A2115" s="238">
        <v>44644</v>
      </c>
      <c r="B2115" s="239">
        <v>582</v>
      </c>
      <c r="C2115" s="240" t="str">
        <f>IF(ISNA(VLOOKUP(Tableau13[[#This Row],[Code machine]],'CODE mchn'!$A$4:$C$170,2,0)),"",VLOOKUP(Tableau13[[#This Row],[Code machine]],'CODE mchn'!$A$4:$C$170,2,0))</f>
        <v>Acier</v>
      </c>
      <c r="D2115" s="241" t="str">
        <f>IF(ISNA(VLOOKUP(Tableau13[[#This Row],[Code machine]],'CODE mchn'!$A$4:$C$170,3,0)),"",VLOOKUP(Tableau13[[#This Row],[Code machine]],'CODE mchn'!$A$4:$C$170,3,0))</f>
        <v>Teurema 2</v>
      </c>
      <c r="E2115" s="239">
        <v>26602</v>
      </c>
      <c r="F2115" s="241"/>
      <c r="G2115" s="241" t="s">
        <v>664</v>
      </c>
      <c r="H2115" s="241" t="s">
        <v>3953</v>
      </c>
      <c r="I2115" s="241" t="s">
        <v>13</v>
      </c>
      <c r="J2115" s="249" t="s">
        <v>3954</v>
      </c>
      <c r="K2115" s="242">
        <v>44644</v>
      </c>
      <c r="L2115" s="241"/>
      <c r="M2115" s="243">
        <f>60+45</f>
        <v>105</v>
      </c>
      <c r="N2115" s="243">
        <f>MONTH(Tableau13[[#This Row],[Date fin intervention]])</f>
        <v>3</v>
      </c>
      <c r="O2115" s="243">
        <f>YEAR(Tableau13[[#This Row],[Date fin intervention]])</f>
        <v>2022</v>
      </c>
      <c r="P2115" s="241"/>
    </row>
    <row r="2116" spans="1:16">
      <c r="A2116" s="238">
        <v>44644</v>
      </c>
      <c r="B2116" s="239">
        <v>590</v>
      </c>
      <c r="C2116" s="240" t="str">
        <f>IF(ISNA(VLOOKUP(Tableau13[[#This Row],[Code machine]],'CODE mchn'!$A$4:$C$170,2,0)),"",VLOOKUP(Tableau13[[#This Row],[Code machine]],'CODE mchn'!$A$4:$C$170,2,0))</f>
        <v>Acier</v>
      </c>
      <c r="D2116" s="241" t="str">
        <f>IF(ISNA(VLOOKUP(Tableau13[[#This Row],[Code machine]],'CODE mchn'!$A$4:$C$170,3,0)),"",VLOOKUP(Tableau13[[#This Row],[Code machine]],'CODE mchn'!$A$4:$C$170,3,0))</f>
        <v>Teurema 3</v>
      </c>
      <c r="E2116" s="239">
        <v>26603</v>
      </c>
      <c r="F2116" s="241"/>
      <c r="G2116" s="241" t="s">
        <v>1644</v>
      </c>
      <c r="H2116" s="241" t="s">
        <v>2915</v>
      </c>
      <c r="I2116" s="241" t="s">
        <v>101</v>
      </c>
      <c r="J2116" s="249" t="s">
        <v>3955</v>
      </c>
      <c r="K2116" s="242">
        <v>44644</v>
      </c>
      <c r="L2116" s="241"/>
      <c r="M2116" s="243">
        <f>120+30</f>
        <v>150</v>
      </c>
      <c r="N2116" s="243">
        <f>MONTH(Tableau13[[#This Row],[Date fin intervention]])</f>
        <v>3</v>
      </c>
      <c r="O2116" s="243">
        <f>YEAR(Tableau13[[#This Row],[Date fin intervention]])</f>
        <v>2022</v>
      </c>
      <c r="P2116" s="241"/>
    </row>
    <row r="2117" spans="1:16">
      <c r="A2117" s="238">
        <v>44644</v>
      </c>
      <c r="B2117" s="239">
        <v>581</v>
      </c>
      <c r="C2117" s="240" t="str">
        <f>IF(ISNA(VLOOKUP(Tableau13[[#This Row],[Code machine]],'CODE mchn'!$A$4:$C$170,2,0)),"",VLOOKUP(Tableau13[[#This Row],[Code machine]],'CODE mchn'!$A$4:$C$170,2,0))</f>
        <v>Acier</v>
      </c>
      <c r="D2117" s="241" t="str">
        <f>IF(ISNA(VLOOKUP(Tableau13[[#This Row],[Code machine]],'CODE mchn'!$A$4:$C$170,3,0)),"",VLOOKUP(Tableau13[[#This Row],[Code machine]],'CODE mchn'!$A$4:$C$170,3,0))</f>
        <v>Teurema 1</v>
      </c>
      <c r="E2117" s="239">
        <v>26604</v>
      </c>
      <c r="F2117" s="241"/>
      <c r="G2117" s="241" t="s">
        <v>2349</v>
      </c>
      <c r="H2117" s="241" t="s">
        <v>3259</v>
      </c>
      <c r="I2117" s="241" t="s">
        <v>13</v>
      </c>
      <c r="J2117" s="249" t="s">
        <v>3956</v>
      </c>
      <c r="K2117" s="242">
        <v>44644</v>
      </c>
      <c r="L2117" s="241"/>
      <c r="M2117" s="243">
        <v>120</v>
      </c>
      <c r="N2117" s="243">
        <f>MONTH(Tableau13[[#This Row],[Date fin intervention]])</f>
        <v>3</v>
      </c>
      <c r="O2117" s="243">
        <f>YEAR(Tableau13[[#This Row],[Date fin intervention]])</f>
        <v>2022</v>
      </c>
      <c r="P2117" s="241"/>
    </row>
    <row r="2118" spans="1:16">
      <c r="A2118" s="238">
        <v>44644</v>
      </c>
      <c r="B2118" s="239">
        <v>582</v>
      </c>
      <c r="C2118" s="240" t="str">
        <f>IF(ISNA(VLOOKUP(Tableau13[[#This Row],[Code machine]],'CODE mchn'!$A$4:$C$170,2,0)),"",VLOOKUP(Tableau13[[#This Row],[Code machine]],'CODE mchn'!$A$4:$C$170,2,0))</f>
        <v>Acier</v>
      </c>
      <c r="D2118" s="241" t="str">
        <f>IF(ISNA(VLOOKUP(Tableau13[[#This Row],[Code machine]],'CODE mchn'!$A$4:$C$170,3,0)),"",VLOOKUP(Tableau13[[#This Row],[Code machine]],'CODE mchn'!$A$4:$C$170,3,0))</f>
        <v>Teurema 2</v>
      </c>
      <c r="E2118" s="239">
        <v>26605</v>
      </c>
      <c r="F2118" s="241"/>
      <c r="G2118" s="241" t="s">
        <v>3957</v>
      </c>
      <c r="H2118" s="241" t="s">
        <v>3959</v>
      </c>
      <c r="I2118" s="241" t="s">
        <v>13</v>
      </c>
      <c r="J2118" s="249" t="s">
        <v>3958</v>
      </c>
      <c r="K2118" s="242">
        <v>44644</v>
      </c>
      <c r="L2118" s="241"/>
      <c r="M2118" s="243">
        <f>60+45</f>
        <v>105</v>
      </c>
      <c r="N2118" s="243">
        <f>MONTH(Tableau13[[#This Row],[Date fin intervention]])</f>
        <v>3</v>
      </c>
      <c r="O2118" s="243">
        <f>YEAR(Tableau13[[#This Row],[Date fin intervention]])</f>
        <v>2022</v>
      </c>
      <c r="P2118" s="241"/>
    </row>
    <row r="2119" spans="1:16">
      <c r="A2119" s="238">
        <v>44644</v>
      </c>
      <c r="B2119" s="239">
        <v>590</v>
      </c>
      <c r="C2119" s="240" t="str">
        <f>IF(ISNA(VLOOKUP(Tableau13[[#This Row],[Code machine]],'CODE mchn'!$A$4:$C$170,2,0)),"",VLOOKUP(Tableau13[[#This Row],[Code machine]],'CODE mchn'!$A$4:$C$170,2,0))</f>
        <v>Acier</v>
      </c>
      <c r="D2119" s="241" t="str">
        <f>IF(ISNA(VLOOKUP(Tableau13[[#This Row],[Code machine]],'CODE mchn'!$A$4:$C$170,3,0)),"",VLOOKUP(Tableau13[[#This Row],[Code machine]],'CODE mchn'!$A$4:$C$170,3,0))</f>
        <v>Teurema 3</v>
      </c>
      <c r="E2119" s="239">
        <v>26505</v>
      </c>
      <c r="F2119" s="241"/>
      <c r="G2119" s="241" t="s">
        <v>446</v>
      </c>
      <c r="H2119" s="241" t="s">
        <v>408</v>
      </c>
      <c r="I2119" s="241" t="s">
        <v>13</v>
      </c>
      <c r="J2119" s="249" t="s">
        <v>4069</v>
      </c>
      <c r="K2119" s="242">
        <v>44644</v>
      </c>
      <c r="L2119" s="241"/>
      <c r="M2119" s="243">
        <v>45</v>
      </c>
      <c r="N2119" s="243">
        <f>MONTH(Tableau13[[#This Row],[Date fin intervention]])</f>
        <v>3</v>
      </c>
      <c r="O2119" s="243">
        <f>YEAR(Tableau13[[#This Row],[Date fin intervention]])</f>
        <v>2022</v>
      </c>
      <c r="P2119" s="241"/>
    </row>
    <row r="2120" spans="1:16">
      <c r="A2120" s="238">
        <v>44646</v>
      </c>
      <c r="B2120" s="239">
        <v>580</v>
      </c>
      <c r="C2120" s="240" t="str">
        <f>IF(ISNA(VLOOKUP(Tableau13[[#This Row],[Code machine]],'CODE mchn'!$A$4:$C$170,2,0)),"",VLOOKUP(Tableau13[[#This Row],[Code machine]],'CODE mchn'!$A$4:$C$170,2,0))</f>
        <v>Acier</v>
      </c>
      <c r="D2120" s="241" t="str">
        <f>IF(ISNA(VLOOKUP(Tableau13[[#This Row],[Code machine]],'CODE mchn'!$A$4:$C$170,3,0)),"",VLOOKUP(Tableau13[[#This Row],[Code machine]],'CODE mchn'!$A$4:$C$170,3,0))</f>
        <v>Techno Impiante</v>
      </c>
      <c r="E2120" s="239">
        <v>26607</v>
      </c>
      <c r="F2120" s="241"/>
      <c r="G2120" s="241" t="s">
        <v>612</v>
      </c>
      <c r="H2120" s="241" t="s">
        <v>3960</v>
      </c>
      <c r="I2120" s="241" t="s">
        <v>13</v>
      </c>
      <c r="J2120" s="249" t="s">
        <v>1865</v>
      </c>
      <c r="K2120" s="242">
        <v>44646</v>
      </c>
      <c r="L2120" s="241"/>
      <c r="M2120" s="243">
        <f>7*60</f>
        <v>420</v>
      </c>
      <c r="N2120" s="243">
        <f>MONTH(Tableau13[[#This Row],[Date fin intervention]])</f>
        <v>3</v>
      </c>
      <c r="O2120" s="243">
        <f>YEAR(Tableau13[[#This Row],[Date fin intervention]])</f>
        <v>2022</v>
      </c>
      <c r="P2120" s="241"/>
    </row>
    <row r="2121" spans="1:16">
      <c r="A2121" s="238">
        <v>44648</v>
      </c>
      <c r="B2121" s="239">
        <v>581</v>
      </c>
      <c r="C2121" s="240" t="str">
        <f>IF(ISNA(VLOOKUP(Tableau13[[#This Row],[Code machine]],'CODE mchn'!$A$4:$C$170,2,0)),"",VLOOKUP(Tableau13[[#This Row],[Code machine]],'CODE mchn'!$A$4:$C$170,2,0))</f>
        <v>Acier</v>
      </c>
      <c r="D2121" s="241" t="str">
        <f>IF(ISNA(VLOOKUP(Tableau13[[#This Row],[Code machine]],'CODE mchn'!$A$4:$C$170,3,0)),"",VLOOKUP(Tableau13[[#This Row],[Code machine]],'CODE mchn'!$A$4:$C$170,3,0))</f>
        <v>Teurema 1</v>
      </c>
      <c r="E2121" s="239">
        <v>26609</v>
      </c>
      <c r="F2121" s="241"/>
      <c r="G2121" s="241" t="s">
        <v>70</v>
      </c>
      <c r="H2121" s="241" t="s">
        <v>3961</v>
      </c>
      <c r="I2121" s="241" t="s">
        <v>13</v>
      </c>
      <c r="J2121" s="249" t="s">
        <v>3962</v>
      </c>
      <c r="K2121" s="242">
        <v>44648</v>
      </c>
      <c r="L2121" s="241"/>
      <c r="M2121" s="243">
        <f>60+30</f>
        <v>90</v>
      </c>
      <c r="N2121" s="243">
        <f>MONTH(Tableau13[[#This Row],[Date fin intervention]])</f>
        <v>3</v>
      </c>
      <c r="O2121" s="243">
        <f>YEAR(Tableau13[[#This Row],[Date fin intervention]])</f>
        <v>2022</v>
      </c>
      <c r="P2121" s="241"/>
    </row>
    <row r="2122" spans="1:16">
      <c r="A2122" s="238">
        <v>44649</v>
      </c>
      <c r="B2122" s="239">
        <v>582</v>
      </c>
      <c r="C2122" s="240" t="str">
        <f>IF(ISNA(VLOOKUP(Tableau13[[#This Row],[Code machine]],'CODE mchn'!$A$4:$C$170,2,0)),"",VLOOKUP(Tableau13[[#This Row],[Code machine]],'CODE mchn'!$A$4:$C$170,2,0))</f>
        <v>Acier</v>
      </c>
      <c r="D2122" s="241" t="str">
        <f>IF(ISNA(VLOOKUP(Tableau13[[#This Row],[Code machine]],'CODE mchn'!$A$4:$C$170,3,0)),"",VLOOKUP(Tableau13[[#This Row],[Code machine]],'CODE mchn'!$A$4:$C$170,3,0))</f>
        <v>Teurema 2</v>
      </c>
      <c r="E2122" s="239">
        <v>26610</v>
      </c>
      <c r="F2122" s="241"/>
      <c r="G2122" s="241" t="s">
        <v>49</v>
      </c>
      <c r="H2122" s="241" t="s">
        <v>2851</v>
      </c>
      <c r="I2122" s="241" t="s">
        <v>101</v>
      </c>
      <c r="J2122" s="249" t="s">
        <v>3964</v>
      </c>
      <c r="K2122" s="242">
        <v>44649</v>
      </c>
      <c r="L2122" s="241"/>
      <c r="M2122" s="243">
        <v>60</v>
      </c>
      <c r="N2122" s="243">
        <f>MONTH(Tableau13[[#This Row],[Date fin intervention]])</f>
        <v>3</v>
      </c>
      <c r="O2122" s="243">
        <f>YEAR(Tableau13[[#This Row],[Date fin intervention]])</f>
        <v>2022</v>
      </c>
      <c r="P2122" s="241"/>
    </row>
    <row r="2123" spans="1:16">
      <c r="A2123" s="238">
        <v>44649</v>
      </c>
      <c r="B2123" s="239">
        <v>560</v>
      </c>
      <c r="C2123" s="240" t="str">
        <f>IF(ISNA(VLOOKUP(Tableau13[[#This Row],[Code machine]],'CODE mchn'!$A$4:$C$170,2,0)),"",VLOOKUP(Tableau13[[#This Row],[Code machine]],'CODE mchn'!$A$4:$C$170,2,0))</f>
        <v>Acier</v>
      </c>
      <c r="D2123" s="241" t="str">
        <f>IF(ISNA(VLOOKUP(Tableau13[[#This Row],[Code machine]],'CODE mchn'!$A$4:$C$170,3,0)),"",VLOOKUP(Tableau13[[#This Row],[Code machine]],'CODE mchn'!$A$4:$C$170,3,0))</f>
        <v>Schlatter</v>
      </c>
      <c r="E2123" s="239">
        <v>26506</v>
      </c>
      <c r="F2123" s="241"/>
      <c r="G2123" s="241" t="s">
        <v>726</v>
      </c>
      <c r="H2123" s="241" t="s">
        <v>4070</v>
      </c>
      <c r="I2123" s="241" t="s">
        <v>13</v>
      </c>
      <c r="J2123" s="249" t="s">
        <v>4071</v>
      </c>
      <c r="K2123" s="242">
        <v>44649</v>
      </c>
      <c r="L2123" s="241"/>
      <c r="M2123" s="243">
        <v>45</v>
      </c>
      <c r="N2123" s="243">
        <f>MONTH(Tableau13[[#This Row],[Date fin intervention]])</f>
        <v>3</v>
      </c>
      <c r="O2123" s="243">
        <f>YEAR(Tableau13[[#This Row],[Date fin intervention]])</f>
        <v>2022</v>
      </c>
      <c r="P2123" s="241"/>
    </row>
    <row r="2124" spans="1:16">
      <c r="A2124" s="238">
        <v>44650</v>
      </c>
      <c r="B2124" s="239">
        <v>582</v>
      </c>
      <c r="C2124" s="240" t="str">
        <f>IF(ISNA(VLOOKUP(Tableau13[[#This Row],[Code machine]],'CODE mchn'!$A$4:$C$170,2,0)),"",VLOOKUP(Tableau13[[#This Row],[Code machine]],'CODE mchn'!$A$4:$C$170,2,0))</f>
        <v>Acier</v>
      </c>
      <c r="D2124" s="241" t="str">
        <f>IF(ISNA(VLOOKUP(Tableau13[[#This Row],[Code machine]],'CODE mchn'!$A$4:$C$170,3,0)),"",VLOOKUP(Tableau13[[#This Row],[Code machine]],'CODE mchn'!$A$4:$C$170,3,0))</f>
        <v>Teurema 2</v>
      </c>
      <c r="E2124" s="239">
        <v>26611</v>
      </c>
      <c r="F2124" s="241"/>
      <c r="G2124" s="241" t="s">
        <v>3965</v>
      </c>
      <c r="H2124" s="241" t="s">
        <v>1936</v>
      </c>
      <c r="I2124" s="241" t="s">
        <v>13</v>
      </c>
      <c r="J2124" s="249" t="s">
        <v>3966</v>
      </c>
      <c r="K2124" s="242">
        <v>44650</v>
      </c>
      <c r="L2124" s="241"/>
      <c r="M2124" s="243">
        <f>60*8</f>
        <v>480</v>
      </c>
      <c r="N2124" s="243">
        <f>MONTH(Tableau13[[#This Row],[Date fin intervention]])</f>
        <v>3</v>
      </c>
      <c r="O2124" s="243">
        <f>YEAR(Tableau13[[#This Row],[Date fin intervention]])</f>
        <v>2022</v>
      </c>
      <c r="P2124" s="241"/>
    </row>
    <row r="2125" spans="1:16">
      <c r="A2125" s="238">
        <v>44651</v>
      </c>
      <c r="B2125" s="239">
        <v>582</v>
      </c>
      <c r="C2125" s="240" t="str">
        <f>IF(ISNA(VLOOKUP(Tableau13[[#This Row],[Code machine]],'CODE mchn'!$A$4:$C$170,2,0)),"",VLOOKUP(Tableau13[[#This Row],[Code machine]],'CODE mchn'!$A$4:$C$170,2,0))</f>
        <v>Acier</v>
      </c>
      <c r="D2125" s="241" t="str">
        <f>IF(ISNA(VLOOKUP(Tableau13[[#This Row],[Code machine]],'CODE mchn'!$A$4:$C$170,3,0)),"",VLOOKUP(Tableau13[[#This Row],[Code machine]],'CODE mchn'!$A$4:$C$170,3,0))</f>
        <v>Teurema 2</v>
      </c>
      <c r="E2125" s="239">
        <v>26612</v>
      </c>
      <c r="F2125" s="241"/>
      <c r="G2125" s="241" t="s">
        <v>1347</v>
      </c>
      <c r="H2125" s="241" t="s">
        <v>3967</v>
      </c>
      <c r="I2125" s="241" t="s">
        <v>13</v>
      </c>
      <c r="J2125" s="249" t="s">
        <v>3794</v>
      </c>
      <c r="K2125" s="242">
        <v>44651</v>
      </c>
      <c r="L2125" s="241"/>
      <c r="M2125" s="243">
        <v>40</v>
      </c>
      <c r="N2125" s="243">
        <f>MONTH(Tableau13[[#This Row],[Date fin intervention]])</f>
        <v>3</v>
      </c>
      <c r="O2125" s="243">
        <f>YEAR(Tableau13[[#This Row],[Date fin intervention]])</f>
        <v>2022</v>
      </c>
      <c r="P2125" s="241"/>
    </row>
    <row r="2126" spans="1:16">
      <c r="A2126" s="238">
        <v>44651</v>
      </c>
      <c r="B2126" s="239">
        <v>582</v>
      </c>
      <c r="C2126" s="240" t="str">
        <f>IF(ISNA(VLOOKUP(Tableau13[[#This Row],[Code machine]],'CODE mchn'!$A$4:$C$170,2,0)),"",VLOOKUP(Tableau13[[#This Row],[Code machine]],'CODE mchn'!$A$4:$C$170,2,0))</f>
        <v>Acier</v>
      </c>
      <c r="D2126" s="241" t="str">
        <f>IF(ISNA(VLOOKUP(Tableau13[[#This Row],[Code machine]],'CODE mchn'!$A$4:$C$170,3,0)),"",VLOOKUP(Tableau13[[#This Row],[Code machine]],'CODE mchn'!$A$4:$C$170,3,0))</f>
        <v>Teurema 2</v>
      </c>
      <c r="E2126" s="239">
        <v>26613</v>
      </c>
      <c r="F2126" s="241"/>
      <c r="G2126" s="241" t="s">
        <v>1803</v>
      </c>
      <c r="H2126" s="241" t="s">
        <v>458</v>
      </c>
      <c r="I2126" s="241" t="s">
        <v>13</v>
      </c>
      <c r="J2126" s="249" t="s">
        <v>3898</v>
      </c>
      <c r="K2126" s="242">
        <v>44651</v>
      </c>
      <c r="L2126" s="241"/>
      <c r="M2126" s="243">
        <v>30</v>
      </c>
      <c r="N2126" s="243">
        <f>MONTH(Tableau13[[#This Row],[Date fin intervention]])</f>
        <v>3</v>
      </c>
      <c r="O2126" s="243">
        <f>YEAR(Tableau13[[#This Row],[Date fin intervention]])</f>
        <v>2022</v>
      </c>
      <c r="P2126" s="241"/>
    </row>
    <row r="2127" spans="1:16">
      <c r="A2127" s="238">
        <v>44651</v>
      </c>
      <c r="B2127" s="239">
        <v>581</v>
      </c>
      <c r="C2127" s="240" t="str">
        <f>IF(ISNA(VLOOKUP(Tableau13[[#This Row],[Code machine]],'CODE mchn'!$A$4:$C$170,2,0)),"",VLOOKUP(Tableau13[[#This Row],[Code machine]],'CODE mchn'!$A$4:$C$170,2,0))</f>
        <v>Acier</v>
      </c>
      <c r="D2127" s="241" t="str">
        <f>IF(ISNA(VLOOKUP(Tableau13[[#This Row],[Code machine]],'CODE mchn'!$A$4:$C$170,3,0)),"",VLOOKUP(Tableau13[[#This Row],[Code machine]],'CODE mchn'!$A$4:$C$170,3,0))</f>
        <v>Teurema 1</v>
      </c>
      <c r="E2127" s="239">
        <v>26614</v>
      </c>
      <c r="F2127" s="241"/>
      <c r="G2127" s="241" t="s">
        <v>3882</v>
      </c>
      <c r="H2127" s="241" t="s">
        <v>1650</v>
      </c>
      <c r="I2127" s="241" t="s">
        <v>13</v>
      </c>
      <c r="J2127" s="249" t="s">
        <v>3968</v>
      </c>
      <c r="K2127" s="242">
        <v>44651</v>
      </c>
      <c r="L2127" s="241"/>
      <c r="M2127" s="243">
        <v>30</v>
      </c>
      <c r="N2127" s="243">
        <f>MONTH(Tableau13[[#This Row],[Date fin intervention]])</f>
        <v>3</v>
      </c>
      <c r="O2127" s="243">
        <f>YEAR(Tableau13[[#This Row],[Date fin intervention]])</f>
        <v>2022</v>
      </c>
      <c r="P2127" s="241"/>
    </row>
    <row r="2128" spans="1:16">
      <c r="A2128" s="238">
        <v>44651</v>
      </c>
      <c r="B2128" s="239">
        <v>581</v>
      </c>
      <c r="C2128" s="240" t="str">
        <f>IF(ISNA(VLOOKUP(Tableau13[[#This Row],[Code machine]],'CODE mchn'!$A$4:$C$170,2,0)),"",VLOOKUP(Tableau13[[#This Row],[Code machine]],'CODE mchn'!$A$4:$C$170,2,0))</f>
        <v>Acier</v>
      </c>
      <c r="D2128" s="241" t="str">
        <f>IF(ISNA(VLOOKUP(Tableau13[[#This Row],[Code machine]],'CODE mchn'!$A$4:$C$170,3,0)),"",VLOOKUP(Tableau13[[#This Row],[Code machine]],'CODE mchn'!$A$4:$C$170,3,0))</f>
        <v>Teurema 1</v>
      </c>
      <c r="E2128" s="239">
        <v>26615</v>
      </c>
      <c r="F2128" s="241"/>
      <c r="G2128" s="241" t="s">
        <v>3969</v>
      </c>
      <c r="H2128" s="241" t="s">
        <v>892</v>
      </c>
      <c r="I2128" s="241" t="s">
        <v>13</v>
      </c>
      <c r="J2128" s="249" t="s">
        <v>3970</v>
      </c>
      <c r="K2128" s="242">
        <v>44651</v>
      </c>
      <c r="L2128" s="241"/>
      <c r="M2128" s="243"/>
      <c r="N2128" s="243">
        <f>MONTH(Tableau13[[#This Row],[Date fin intervention]])</f>
        <v>3</v>
      </c>
      <c r="O2128" s="243">
        <f>YEAR(Tableau13[[#This Row],[Date fin intervention]])</f>
        <v>2022</v>
      </c>
      <c r="P2128" s="241"/>
    </row>
    <row r="2129" spans="1:16">
      <c r="A2129" s="238">
        <v>44652</v>
      </c>
      <c r="B2129" s="239">
        <v>534</v>
      </c>
      <c r="C2129" s="240" t="str">
        <f>IF(ISNA(VLOOKUP(Tableau13[[#This Row],[Code machine]],'CODE mchn'!$A$4:$C$170,2,0)),"",VLOOKUP(Tableau13[[#This Row],[Code machine]],'CODE mchn'!$A$4:$C$170,2,0))</f>
        <v>Enrobage</v>
      </c>
      <c r="D2129" s="241" t="str">
        <f>IF(ISNA(VLOOKUP(Tableau13[[#This Row],[Code machine]],'CODE mchn'!$A$4:$C$170,3,0)),"",VLOOKUP(Tableau13[[#This Row],[Code machine]],'CODE mchn'!$A$4:$C$170,3,0))</f>
        <v>ELKON 2</v>
      </c>
      <c r="E2129" s="239">
        <v>26523</v>
      </c>
      <c r="F2129" s="241"/>
      <c r="G2129" s="241" t="s">
        <v>4095</v>
      </c>
      <c r="H2129" s="241" t="s">
        <v>4096</v>
      </c>
      <c r="I2129" s="241" t="s">
        <v>13</v>
      </c>
      <c r="J2129" s="249" t="s">
        <v>4097</v>
      </c>
      <c r="K2129" s="242">
        <v>44652</v>
      </c>
      <c r="L2129" s="241"/>
      <c r="M2129" s="243">
        <v>60</v>
      </c>
      <c r="N2129" s="243">
        <f>MONTH(Tableau13[[#This Row],[Date fin intervention]])</f>
        <v>4</v>
      </c>
      <c r="O2129" s="243">
        <f>YEAR(Tableau13[[#This Row],[Date fin intervention]])</f>
        <v>2022</v>
      </c>
      <c r="P2129" s="241"/>
    </row>
    <row r="2130" spans="1:16" ht="28.5">
      <c r="A2130" s="238">
        <v>44656</v>
      </c>
      <c r="B2130" s="239">
        <v>583</v>
      </c>
      <c r="C2130" s="240" t="str">
        <f>IF(ISNA(VLOOKUP(Tableau13[[#This Row],[Code machine]],'CODE mchn'!$A$4:$C$170,2,0)),"",VLOOKUP(Tableau13[[#This Row],[Code machine]],'CODE mchn'!$A$4:$C$170,2,0))</f>
        <v>Ponts roulants</v>
      </c>
      <c r="D2130" s="241" t="str">
        <f>IF(ISNA(VLOOKUP(Tableau13[[#This Row],[Code machine]],'CODE mchn'!$A$4:$C$170,3,0)),"",VLOOKUP(Tableau13[[#This Row],[Code machine]],'CODE mchn'!$A$4:$C$170,3,0))</f>
        <v>Pont roulant Abus 5T (teurema1)</v>
      </c>
      <c r="E2130" s="239">
        <v>26617</v>
      </c>
      <c r="F2130" s="241"/>
      <c r="G2130" s="241" t="s">
        <v>35</v>
      </c>
      <c r="H2130" s="241" t="s">
        <v>3971</v>
      </c>
      <c r="I2130" s="241" t="s">
        <v>13</v>
      </c>
      <c r="J2130" s="249" t="s">
        <v>3972</v>
      </c>
      <c r="K2130" s="242">
        <v>44656</v>
      </c>
      <c r="L2130" s="241"/>
      <c r="M2130" s="243">
        <v>90</v>
      </c>
      <c r="N2130" s="243">
        <f>MONTH(Tableau13[[#This Row],[Date fin intervention]])</f>
        <v>4</v>
      </c>
      <c r="O2130" s="243">
        <f>YEAR(Tableau13[[#This Row],[Date fin intervention]])</f>
        <v>2022</v>
      </c>
      <c r="P2130" s="241"/>
    </row>
    <row r="2131" spans="1:16">
      <c r="A2131" s="238">
        <v>44656</v>
      </c>
      <c r="B2131" s="239">
        <v>581</v>
      </c>
      <c r="C2131" s="240" t="str">
        <f>IF(ISNA(VLOOKUP(Tableau13[[#This Row],[Code machine]],'CODE mchn'!$A$4:$C$170,2,0)),"",VLOOKUP(Tableau13[[#This Row],[Code machine]],'CODE mchn'!$A$4:$C$170,2,0))</f>
        <v>Acier</v>
      </c>
      <c r="D2131" s="241" t="str">
        <f>IF(ISNA(VLOOKUP(Tableau13[[#This Row],[Code machine]],'CODE mchn'!$A$4:$C$170,3,0)),"",VLOOKUP(Tableau13[[#This Row],[Code machine]],'CODE mchn'!$A$4:$C$170,3,0))</f>
        <v>Teurema 1</v>
      </c>
      <c r="E2131" s="239">
        <v>26619</v>
      </c>
      <c r="F2131" s="241"/>
      <c r="G2131" s="241" t="s">
        <v>446</v>
      </c>
      <c r="H2131" s="241" t="s">
        <v>3973</v>
      </c>
      <c r="I2131" s="241" t="s">
        <v>13</v>
      </c>
      <c r="J2131" s="249" t="s">
        <v>3974</v>
      </c>
      <c r="K2131" s="242">
        <v>44656</v>
      </c>
      <c r="L2131" s="241"/>
      <c r="M2131" s="243">
        <v>75</v>
      </c>
      <c r="N2131" s="243">
        <f>MONTH(Tableau13[[#This Row],[Date fin intervention]])</f>
        <v>4</v>
      </c>
      <c r="O2131" s="243">
        <f>YEAR(Tableau13[[#This Row],[Date fin intervention]])</f>
        <v>2022</v>
      </c>
      <c r="P2131" s="241"/>
    </row>
    <row r="2132" spans="1:16">
      <c r="A2132" s="238">
        <v>44657</v>
      </c>
      <c r="B2132" s="239">
        <v>700</v>
      </c>
      <c r="C2132" s="240" t="str">
        <f>IF(ISNA(VLOOKUP(Tableau13[[#This Row],[Code machine]],'CODE mchn'!$A$4:$C$170,2,0)),"",VLOOKUP(Tableau13[[#This Row],[Code machine]],'CODE mchn'!$A$4:$C$170,2,0))</f>
        <v>Béton</v>
      </c>
      <c r="D2132" s="241" t="str">
        <f>IF(ISNA(VLOOKUP(Tableau13[[#This Row],[Code machine]],'CODE mchn'!$A$4:$C$170,3,0)),"",VLOOKUP(Tableau13[[#This Row],[Code machine]],'CODE mchn'!$A$4:$C$170,3,0))</f>
        <v>Poyatos 1</v>
      </c>
      <c r="E2132" s="239">
        <v>26507</v>
      </c>
      <c r="F2132" s="241"/>
      <c r="G2132" s="241" t="s">
        <v>213</v>
      </c>
      <c r="H2132" s="241" t="s">
        <v>4072</v>
      </c>
      <c r="I2132" s="241" t="s">
        <v>13</v>
      </c>
      <c r="J2132" s="249" t="s">
        <v>1669</v>
      </c>
      <c r="K2132" s="242">
        <v>44657</v>
      </c>
      <c r="L2132" s="241"/>
      <c r="M2132" s="243">
        <v>90</v>
      </c>
      <c r="N2132" s="243">
        <f>MONTH(Tableau13[[#This Row],[Date fin intervention]])</f>
        <v>4</v>
      </c>
      <c r="O2132" s="243">
        <f>YEAR(Tableau13[[#This Row],[Date fin intervention]])</f>
        <v>2022</v>
      </c>
      <c r="P2132" s="241"/>
    </row>
    <row r="2133" spans="1:16">
      <c r="A2133" s="238">
        <v>44657</v>
      </c>
      <c r="B2133" s="239">
        <v>800</v>
      </c>
      <c r="C2133" s="240" t="str">
        <f>IF(ISNA(VLOOKUP(Tableau13[[#This Row],[Code machine]],'CODE mchn'!$A$4:$C$170,2,0)),"",VLOOKUP(Tableau13[[#This Row],[Code machine]],'CODE mchn'!$A$4:$C$170,2,0))</f>
        <v>Béton</v>
      </c>
      <c r="D2133" s="241" t="str">
        <f>IF(ISNA(VLOOKUP(Tableau13[[#This Row],[Code machine]],'CODE mchn'!$A$4:$C$170,3,0)),"",VLOOKUP(Tableau13[[#This Row],[Code machine]],'CODE mchn'!$A$4:$C$170,3,0))</f>
        <v>Poyatos 2</v>
      </c>
      <c r="E2133" s="239">
        <v>26508</v>
      </c>
      <c r="F2133" s="241"/>
      <c r="G2133" s="241" t="s">
        <v>232</v>
      </c>
      <c r="H2133" s="241" t="s">
        <v>4073</v>
      </c>
      <c r="I2133" s="241" t="s">
        <v>13</v>
      </c>
      <c r="J2133" s="249" t="s">
        <v>4074</v>
      </c>
      <c r="K2133" s="242">
        <v>44657</v>
      </c>
      <c r="L2133" s="241"/>
      <c r="M2133" s="243">
        <v>25</v>
      </c>
      <c r="N2133" s="243">
        <f>MONTH(Tableau13[[#This Row],[Date fin intervention]])</f>
        <v>4</v>
      </c>
      <c r="O2133" s="243">
        <f>YEAR(Tableau13[[#This Row],[Date fin intervention]])</f>
        <v>2022</v>
      </c>
      <c r="P2133" s="241"/>
    </row>
    <row r="2134" spans="1:16">
      <c r="A2134" s="238">
        <v>44658</v>
      </c>
      <c r="B2134" s="239">
        <v>565</v>
      </c>
      <c r="C2134" s="240" t="str">
        <f>IF(ISNA(VLOOKUP(Tableau13[[#This Row],[Code machine]],'CODE mchn'!$A$4:$C$170,2,0)),"",VLOOKUP(Tableau13[[#This Row],[Code machine]],'CODE mchn'!$A$4:$C$170,2,0))</f>
        <v>Acier</v>
      </c>
      <c r="D2134" s="241" t="str">
        <f>IF(ISNA(VLOOKUP(Tableau13[[#This Row],[Code machine]],'CODE mchn'!$A$4:$C$170,3,0)),"",VLOOKUP(Tableau13[[#This Row],[Code machine]],'CODE mchn'!$A$4:$C$170,3,0))</f>
        <v>EVG GE12</v>
      </c>
      <c r="E2134" s="239">
        <v>26509</v>
      </c>
      <c r="F2134" s="241"/>
      <c r="G2134" s="241" t="s">
        <v>4075</v>
      </c>
      <c r="H2134" s="241" t="s">
        <v>4076</v>
      </c>
      <c r="I2134" s="241" t="s">
        <v>13</v>
      </c>
      <c r="J2134" s="249" t="s">
        <v>4077</v>
      </c>
      <c r="K2134" s="242">
        <v>44658</v>
      </c>
      <c r="L2134" s="241"/>
      <c r="M2134" s="243">
        <v>65</v>
      </c>
      <c r="N2134" s="243">
        <f>MONTH(Tableau13[[#This Row],[Date fin intervention]])</f>
        <v>4</v>
      </c>
      <c r="O2134" s="243">
        <f>YEAR(Tableau13[[#This Row],[Date fin intervention]])</f>
        <v>2022</v>
      </c>
      <c r="P2134" s="241"/>
    </row>
    <row r="2135" spans="1:16">
      <c r="A2135" s="238">
        <v>44660</v>
      </c>
      <c r="B2135" s="239">
        <v>580</v>
      </c>
      <c r="C2135" s="240" t="str">
        <f>IF(ISNA(VLOOKUP(Tableau13[[#This Row],[Code machine]],'CODE mchn'!$A$4:$C$170,2,0)),"",VLOOKUP(Tableau13[[#This Row],[Code machine]],'CODE mchn'!$A$4:$C$170,2,0))</f>
        <v>Acier</v>
      </c>
      <c r="D2135" s="241" t="str">
        <f>IF(ISNA(VLOOKUP(Tableau13[[#This Row],[Code machine]],'CODE mchn'!$A$4:$C$170,3,0)),"",VLOOKUP(Tableau13[[#This Row],[Code machine]],'CODE mchn'!$A$4:$C$170,3,0))</f>
        <v>Techno Impiante</v>
      </c>
      <c r="E2135" s="239">
        <v>26623</v>
      </c>
      <c r="F2135" s="241"/>
      <c r="G2135" s="241" t="s">
        <v>612</v>
      </c>
      <c r="H2135" s="241" t="s">
        <v>3975</v>
      </c>
      <c r="I2135" s="241" t="s">
        <v>13</v>
      </c>
      <c r="J2135" s="249" t="s">
        <v>3976</v>
      </c>
      <c r="K2135" s="242">
        <v>44660</v>
      </c>
      <c r="L2135" s="241"/>
      <c r="M2135" s="243"/>
      <c r="N2135" s="243">
        <f>MONTH(Tableau13[[#This Row],[Date fin intervention]])</f>
        <v>4</v>
      </c>
      <c r="O2135" s="243">
        <f>YEAR(Tableau13[[#This Row],[Date fin intervention]])</f>
        <v>2022</v>
      </c>
      <c r="P2135" s="241"/>
    </row>
    <row r="2136" spans="1:16" ht="28.5">
      <c r="A2136" s="238">
        <v>44662</v>
      </c>
      <c r="B2136" s="239">
        <v>583</v>
      </c>
      <c r="C2136" s="240" t="str">
        <f>IF(ISNA(VLOOKUP(Tableau13[[#This Row],[Code machine]],'CODE mchn'!$A$4:$C$170,2,0)),"",VLOOKUP(Tableau13[[#This Row],[Code machine]],'CODE mchn'!$A$4:$C$170,2,0))</f>
        <v>Ponts roulants</v>
      </c>
      <c r="D2136" s="241" t="str">
        <f>IF(ISNA(VLOOKUP(Tableau13[[#This Row],[Code machine]],'CODE mchn'!$A$4:$C$170,3,0)),"",VLOOKUP(Tableau13[[#This Row],[Code machine]],'CODE mchn'!$A$4:$C$170,3,0))</f>
        <v>Pont roulant Abus 5T (teurema1)</v>
      </c>
      <c r="E2136" s="239">
        <v>26510</v>
      </c>
      <c r="F2136" s="241"/>
      <c r="G2136" s="241" t="s">
        <v>778</v>
      </c>
      <c r="H2136" s="241" t="s">
        <v>4078</v>
      </c>
      <c r="I2136" s="241" t="s">
        <v>13</v>
      </c>
      <c r="J2136" s="249" t="s">
        <v>4079</v>
      </c>
      <c r="K2136" s="242">
        <v>44662</v>
      </c>
      <c r="L2136" s="241"/>
      <c r="M2136" s="243">
        <v>90</v>
      </c>
      <c r="N2136" s="243">
        <f>MONTH(Tableau13[[#This Row],[Date fin intervention]])</f>
        <v>4</v>
      </c>
      <c r="O2136" s="243">
        <f>YEAR(Tableau13[[#This Row],[Date fin intervention]])</f>
        <v>2022</v>
      </c>
      <c r="P2136" s="241"/>
    </row>
    <row r="2137" spans="1:16">
      <c r="A2137" s="238">
        <v>44662</v>
      </c>
      <c r="B2137" s="239">
        <v>800</v>
      </c>
      <c r="C2137" s="240" t="str">
        <f>IF(ISNA(VLOOKUP(Tableau13[[#This Row],[Code machine]],'CODE mchn'!$A$4:$C$170,2,0)),"",VLOOKUP(Tableau13[[#This Row],[Code machine]],'CODE mchn'!$A$4:$C$170,2,0))</f>
        <v>Béton</v>
      </c>
      <c r="D2137" s="241" t="str">
        <f>IF(ISNA(VLOOKUP(Tableau13[[#This Row],[Code machine]],'CODE mchn'!$A$4:$C$170,3,0)),"",VLOOKUP(Tableau13[[#This Row],[Code machine]],'CODE mchn'!$A$4:$C$170,3,0))</f>
        <v>Poyatos 2</v>
      </c>
      <c r="E2137" s="239">
        <v>26518</v>
      </c>
      <c r="F2137" s="241"/>
      <c r="G2137" s="241" t="s">
        <v>128</v>
      </c>
      <c r="H2137" s="241" t="s">
        <v>1215</v>
      </c>
      <c r="I2137" s="241" t="s">
        <v>13</v>
      </c>
      <c r="J2137" s="249" t="s">
        <v>4086</v>
      </c>
      <c r="K2137" s="242">
        <v>44662</v>
      </c>
      <c r="L2137" s="241"/>
      <c r="M2137" s="243">
        <v>150</v>
      </c>
      <c r="N2137" s="243">
        <f>MONTH(Tableau13[[#This Row],[Date fin intervention]])</f>
        <v>4</v>
      </c>
      <c r="O2137" s="243">
        <f>YEAR(Tableau13[[#This Row],[Date fin intervention]])</f>
        <v>2022</v>
      </c>
      <c r="P2137" s="241"/>
    </row>
    <row r="2138" spans="1:16">
      <c r="A2138" s="238">
        <v>44663</v>
      </c>
      <c r="B2138" s="239">
        <v>700</v>
      </c>
      <c r="C2138" s="240" t="str">
        <f>IF(ISNA(VLOOKUP(Tableau13[[#This Row],[Code machine]],'CODE mchn'!$A$4:$C$170,2,0)),"",VLOOKUP(Tableau13[[#This Row],[Code machine]],'CODE mchn'!$A$4:$C$170,2,0))</f>
        <v>Béton</v>
      </c>
      <c r="D2138" s="241" t="str">
        <f>IF(ISNA(VLOOKUP(Tableau13[[#This Row],[Code machine]],'CODE mchn'!$A$4:$C$170,3,0)),"",VLOOKUP(Tableau13[[#This Row],[Code machine]],'CODE mchn'!$A$4:$C$170,3,0))</f>
        <v>Poyatos 1</v>
      </c>
      <c r="E2138" s="239">
        <v>26519</v>
      </c>
      <c r="F2138" s="241"/>
      <c r="G2138" s="241" t="s">
        <v>118</v>
      </c>
      <c r="H2138" s="241" t="s">
        <v>4087</v>
      </c>
      <c r="I2138" s="241" t="s">
        <v>13</v>
      </c>
      <c r="J2138" s="249" t="s">
        <v>4088</v>
      </c>
      <c r="K2138" s="242">
        <v>44663</v>
      </c>
      <c r="L2138" s="241"/>
      <c r="M2138" s="243">
        <v>700</v>
      </c>
      <c r="N2138" s="243">
        <f>MONTH(Tableau13[[#This Row],[Date fin intervention]])</f>
        <v>4</v>
      </c>
      <c r="O2138" s="243">
        <f>YEAR(Tableau13[[#This Row],[Date fin intervention]])</f>
        <v>2022</v>
      </c>
      <c r="P2138" s="241"/>
    </row>
    <row r="2139" spans="1:16">
      <c r="A2139" s="238">
        <v>44664</v>
      </c>
      <c r="B2139" s="239">
        <v>800</v>
      </c>
      <c r="C2139" s="240" t="str">
        <f>IF(ISNA(VLOOKUP(Tableau13[[#This Row],[Code machine]],'CODE mchn'!$A$4:$C$170,2,0)),"",VLOOKUP(Tableau13[[#This Row],[Code machine]],'CODE mchn'!$A$4:$C$170,2,0))</f>
        <v>Béton</v>
      </c>
      <c r="D2139" s="241" t="str">
        <f>IF(ISNA(VLOOKUP(Tableau13[[#This Row],[Code machine]],'CODE mchn'!$A$4:$C$170,3,0)),"",VLOOKUP(Tableau13[[#This Row],[Code machine]],'CODE mchn'!$A$4:$C$170,3,0))</f>
        <v>Poyatos 2</v>
      </c>
      <c r="E2139" s="239">
        <v>26513</v>
      </c>
      <c r="F2139" s="241"/>
      <c r="G2139" s="241" t="s">
        <v>1132</v>
      </c>
      <c r="H2139" s="241" t="s">
        <v>2915</v>
      </c>
      <c r="I2139" s="241" t="s">
        <v>13</v>
      </c>
      <c r="J2139" s="249" t="s">
        <v>4084</v>
      </c>
      <c r="K2139" s="242">
        <v>44664</v>
      </c>
      <c r="L2139" s="241"/>
      <c r="M2139" s="243">
        <v>60</v>
      </c>
      <c r="N2139" s="243">
        <f>MONTH(Tableau13[[#This Row],[Date fin intervention]])</f>
        <v>4</v>
      </c>
      <c r="O2139" s="243">
        <f>YEAR(Tableau13[[#This Row],[Date fin intervention]])</f>
        <v>2022</v>
      </c>
      <c r="P2139" s="241"/>
    </row>
    <row r="2140" spans="1:16">
      <c r="A2140" s="238">
        <v>44665</v>
      </c>
      <c r="B2140" s="239">
        <v>582</v>
      </c>
      <c r="C2140" s="240" t="str">
        <f>IF(ISNA(VLOOKUP(Tableau13[[#This Row],[Code machine]],'CODE mchn'!$A$4:$C$170,2,0)),"",VLOOKUP(Tableau13[[#This Row],[Code machine]],'CODE mchn'!$A$4:$C$170,2,0))</f>
        <v>Acier</v>
      </c>
      <c r="D2140" s="241" t="str">
        <f>IF(ISNA(VLOOKUP(Tableau13[[#This Row],[Code machine]],'CODE mchn'!$A$4:$C$170,3,0)),"",VLOOKUP(Tableau13[[#This Row],[Code machine]],'CODE mchn'!$A$4:$C$170,3,0))</f>
        <v>Teurema 2</v>
      </c>
      <c r="E2140" s="239">
        <v>26625</v>
      </c>
      <c r="F2140" s="241"/>
      <c r="G2140" s="241" t="s">
        <v>612</v>
      </c>
      <c r="H2140" s="241" t="s">
        <v>1064</v>
      </c>
      <c r="I2140" s="241" t="s">
        <v>13</v>
      </c>
      <c r="J2140" s="249" t="s">
        <v>1865</v>
      </c>
      <c r="K2140" s="242">
        <v>44665</v>
      </c>
      <c r="L2140" s="241"/>
      <c r="M2140" s="243">
        <f>6*60</f>
        <v>360</v>
      </c>
      <c r="N2140" s="243">
        <f>MONTH(Tableau13[[#This Row],[Date fin intervention]])</f>
        <v>4</v>
      </c>
      <c r="O2140" s="243">
        <f>YEAR(Tableau13[[#This Row],[Date fin intervention]])</f>
        <v>2022</v>
      </c>
      <c r="P2140" s="241"/>
    </row>
    <row r="2141" spans="1:16" ht="28.5">
      <c r="A2141" s="238">
        <v>44665</v>
      </c>
      <c r="B2141" s="239">
        <v>582</v>
      </c>
      <c r="C2141" s="240" t="str">
        <f>IF(ISNA(VLOOKUP(Tableau13[[#This Row],[Code machine]],'CODE mchn'!$A$4:$C$170,2,0)),"",VLOOKUP(Tableau13[[#This Row],[Code machine]],'CODE mchn'!$A$4:$C$170,2,0))</f>
        <v>Acier</v>
      </c>
      <c r="D2141" s="241" t="str">
        <f>IF(ISNA(VLOOKUP(Tableau13[[#This Row],[Code machine]],'CODE mchn'!$A$4:$C$170,3,0)),"",VLOOKUP(Tableau13[[#This Row],[Code machine]],'CODE mchn'!$A$4:$C$170,3,0))</f>
        <v>Teurema 2</v>
      </c>
      <c r="E2141" s="239">
        <v>26626</v>
      </c>
      <c r="F2141" s="241"/>
      <c r="G2141" s="241" t="s">
        <v>4026</v>
      </c>
      <c r="H2141" s="241" t="s">
        <v>3793</v>
      </c>
      <c r="I2141" s="241" t="s">
        <v>13</v>
      </c>
      <c r="J2141" s="249" t="s">
        <v>4027</v>
      </c>
      <c r="K2141" s="242">
        <v>44665</v>
      </c>
      <c r="L2141" s="241"/>
      <c r="M2141" s="243">
        <v>60</v>
      </c>
      <c r="N2141" s="243">
        <f>MONTH(Tableau13[[#This Row],[Date fin intervention]])</f>
        <v>4</v>
      </c>
      <c r="O2141" s="243">
        <f>YEAR(Tableau13[[#This Row],[Date fin intervention]])</f>
        <v>2022</v>
      </c>
      <c r="P2141" s="241"/>
    </row>
    <row r="2142" spans="1:16">
      <c r="A2142" s="238">
        <v>44665</v>
      </c>
      <c r="B2142" s="239">
        <v>582</v>
      </c>
      <c r="C2142" s="240" t="str">
        <f>IF(ISNA(VLOOKUP(Tableau13[[#This Row],[Code machine]],'CODE mchn'!$A$4:$C$170,2,0)),"",VLOOKUP(Tableau13[[#This Row],[Code machine]],'CODE mchn'!$A$4:$C$170,2,0))</f>
        <v>Acier</v>
      </c>
      <c r="D2142" s="241" t="str">
        <f>IF(ISNA(VLOOKUP(Tableau13[[#This Row],[Code machine]],'CODE mchn'!$A$4:$C$170,3,0)),"",VLOOKUP(Tableau13[[#This Row],[Code machine]],'CODE mchn'!$A$4:$C$170,3,0))</f>
        <v>Teurema 2</v>
      </c>
      <c r="E2142" s="239">
        <v>26627</v>
      </c>
      <c r="F2142" s="241"/>
      <c r="G2142" s="241" t="s">
        <v>1813</v>
      </c>
      <c r="H2142" s="241" t="s">
        <v>892</v>
      </c>
      <c r="I2142" s="241" t="s">
        <v>13</v>
      </c>
      <c r="J2142" s="249" t="s">
        <v>4028</v>
      </c>
      <c r="K2142" s="242">
        <v>44665</v>
      </c>
      <c r="L2142" s="241"/>
      <c r="M2142" s="243">
        <f>4*60</f>
        <v>240</v>
      </c>
      <c r="N2142" s="243">
        <f>MONTH(Tableau13[[#This Row],[Date fin intervention]])</f>
        <v>4</v>
      </c>
      <c r="O2142" s="243">
        <f>YEAR(Tableau13[[#This Row],[Date fin intervention]])</f>
        <v>2022</v>
      </c>
      <c r="P2142" s="241"/>
    </row>
    <row r="2143" spans="1:16">
      <c r="A2143" s="238">
        <v>44666</v>
      </c>
      <c r="B2143" s="239">
        <v>700</v>
      </c>
      <c r="C2143" s="240" t="str">
        <f>IF(ISNA(VLOOKUP(Tableau13[[#This Row],[Code machine]],'CODE mchn'!$A$4:$C$170,2,0)),"",VLOOKUP(Tableau13[[#This Row],[Code machine]],'CODE mchn'!$A$4:$C$170,2,0))</f>
        <v>Béton</v>
      </c>
      <c r="D2143" s="241" t="str">
        <f>IF(ISNA(VLOOKUP(Tableau13[[#This Row],[Code machine]],'CODE mchn'!$A$4:$C$170,3,0)),"",VLOOKUP(Tableau13[[#This Row],[Code machine]],'CODE mchn'!$A$4:$C$170,3,0))</f>
        <v>Poyatos 1</v>
      </c>
      <c r="E2143" s="239">
        <v>26511</v>
      </c>
      <c r="F2143" s="241"/>
      <c r="G2143" s="241" t="s">
        <v>1624</v>
      </c>
      <c r="H2143" s="241" t="s">
        <v>4080</v>
      </c>
      <c r="I2143" s="241" t="s">
        <v>13</v>
      </c>
      <c r="J2143" s="249" t="s">
        <v>4081</v>
      </c>
      <c r="K2143" s="242">
        <v>44666</v>
      </c>
      <c r="L2143" s="241"/>
      <c r="M2143" s="243">
        <v>60</v>
      </c>
      <c r="N2143" s="243">
        <f>MONTH(Tableau13[[#This Row],[Date fin intervention]])</f>
        <v>4</v>
      </c>
      <c r="O2143" s="243">
        <f>YEAR(Tableau13[[#This Row],[Date fin intervention]])</f>
        <v>2022</v>
      </c>
      <c r="P2143" s="241"/>
    </row>
    <row r="2144" spans="1:16">
      <c r="A2144" s="238">
        <v>44666</v>
      </c>
      <c r="B2144" s="239">
        <v>700</v>
      </c>
      <c r="C2144" s="240" t="str">
        <f>IF(ISNA(VLOOKUP(Tableau13[[#This Row],[Code machine]],'CODE mchn'!$A$4:$C$170,2,0)),"",VLOOKUP(Tableau13[[#This Row],[Code machine]],'CODE mchn'!$A$4:$C$170,2,0))</f>
        <v>Béton</v>
      </c>
      <c r="D2144" s="241" t="str">
        <f>IF(ISNA(VLOOKUP(Tableau13[[#This Row],[Code machine]],'CODE mchn'!$A$4:$C$170,3,0)),"",VLOOKUP(Tableau13[[#This Row],[Code machine]],'CODE mchn'!$A$4:$C$170,3,0))</f>
        <v>Poyatos 1</v>
      </c>
      <c r="E2144" s="239">
        <v>26512</v>
      </c>
      <c r="F2144" s="241"/>
      <c r="G2144" s="241" t="s">
        <v>291</v>
      </c>
      <c r="H2144" s="241" t="s">
        <v>4082</v>
      </c>
      <c r="I2144" s="241" t="s">
        <v>13</v>
      </c>
      <c r="J2144" s="249" t="s">
        <v>4083</v>
      </c>
      <c r="K2144" s="242">
        <v>44666</v>
      </c>
      <c r="L2144" s="241"/>
      <c r="M2144" s="243">
        <v>60</v>
      </c>
      <c r="N2144" s="243">
        <f>MONTH(Tableau13[[#This Row],[Date fin intervention]])</f>
        <v>4</v>
      </c>
      <c r="O2144" s="243">
        <f>YEAR(Tableau13[[#This Row],[Date fin intervention]])</f>
        <v>2022</v>
      </c>
      <c r="P2144" s="241"/>
    </row>
    <row r="2145" spans="1:16" ht="28.5">
      <c r="A2145" s="238">
        <v>44667</v>
      </c>
      <c r="B2145" s="239">
        <v>700</v>
      </c>
      <c r="C2145" s="240" t="str">
        <f>IF(ISNA(VLOOKUP(Tableau13[[#This Row],[Code machine]],'CODE mchn'!$A$4:$C$170,2,0)),"",VLOOKUP(Tableau13[[#This Row],[Code machine]],'CODE mchn'!$A$4:$C$170,2,0))</f>
        <v>Béton</v>
      </c>
      <c r="D2145" s="241" t="str">
        <f>IF(ISNA(VLOOKUP(Tableau13[[#This Row],[Code machine]],'CODE mchn'!$A$4:$C$170,3,0)),"",VLOOKUP(Tableau13[[#This Row],[Code machine]],'CODE mchn'!$A$4:$C$170,3,0))</f>
        <v>Poyatos 1</v>
      </c>
      <c r="E2145" s="239">
        <v>26520</v>
      </c>
      <c r="F2145" s="241"/>
      <c r="G2145" s="241" t="s">
        <v>291</v>
      </c>
      <c r="H2145" s="241" t="s">
        <v>4089</v>
      </c>
      <c r="I2145" s="241" t="s">
        <v>13</v>
      </c>
      <c r="J2145" s="249" t="s">
        <v>4090</v>
      </c>
      <c r="K2145" s="242">
        <v>44668</v>
      </c>
      <c r="L2145" s="241" t="s">
        <v>4091</v>
      </c>
      <c r="M2145" s="243">
        <f>8*60*4</f>
        <v>1920</v>
      </c>
      <c r="N2145" s="243">
        <f>MONTH(Tableau13[[#This Row],[Date fin intervention]])</f>
        <v>4</v>
      </c>
      <c r="O2145" s="243">
        <f>YEAR(Tableau13[[#This Row],[Date fin intervention]])</f>
        <v>2022</v>
      </c>
      <c r="P2145" s="241" t="s">
        <v>3028</v>
      </c>
    </row>
    <row r="2146" spans="1:16">
      <c r="A2146" s="238">
        <v>44669</v>
      </c>
      <c r="B2146" s="239">
        <v>582</v>
      </c>
      <c r="C2146" s="240" t="str">
        <f>IF(ISNA(VLOOKUP(Tableau13[[#This Row],[Code machine]],'CODE mchn'!$A$4:$C$170,2,0)),"",VLOOKUP(Tableau13[[#This Row],[Code machine]],'CODE mchn'!$A$4:$C$170,2,0))</f>
        <v>Acier</v>
      </c>
      <c r="D2146" s="241" t="str">
        <f>IF(ISNA(VLOOKUP(Tableau13[[#This Row],[Code machine]],'CODE mchn'!$A$4:$C$170,3,0)),"",VLOOKUP(Tableau13[[#This Row],[Code machine]],'CODE mchn'!$A$4:$C$170,3,0))</f>
        <v>Teurema 2</v>
      </c>
      <c r="E2146" s="239">
        <v>26628</v>
      </c>
      <c r="F2146" s="241"/>
      <c r="G2146" s="241" t="s">
        <v>70</v>
      </c>
      <c r="H2146" s="241" t="s">
        <v>4029</v>
      </c>
      <c r="I2146" s="241" t="s">
        <v>13</v>
      </c>
      <c r="J2146" s="249" t="s">
        <v>4030</v>
      </c>
      <c r="K2146" s="242">
        <v>44669</v>
      </c>
      <c r="L2146" s="241"/>
      <c r="M2146" s="243">
        <v>60</v>
      </c>
      <c r="N2146" s="243">
        <f>MONTH(Tableau13[[#This Row],[Date fin intervention]])</f>
        <v>4</v>
      </c>
      <c r="O2146" s="243">
        <f>YEAR(Tableau13[[#This Row],[Date fin intervention]])</f>
        <v>2022</v>
      </c>
      <c r="P2146" s="241"/>
    </row>
    <row r="2147" spans="1:16">
      <c r="A2147" s="238">
        <v>44669</v>
      </c>
      <c r="B2147" s="239">
        <v>582</v>
      </c>
      <c r="C2147" s="240" t="str">
        <f>IF(ISNA(VLOOKUP(Tableau13[[#This Row],[Code machine]],'CODE mchn'!$A$4:$C$170,2,0)),"",VLOOKUP(Tableau13[[#This Row],[Code machine]],'CODE mchn'!$A$4:$C$170,2,0))</f>
        <v>Acier</v>
      </c>
      <c r="D2147" s="241" t="str">
        <f>IF(ISNA(VLOOKUP(Tableau13[[#This Row],[Code machine]],'CODE mchn'!$A$4:$C$170,3,0)),"",VLOOKUP(Tableau13[[#This Row],[Code machine]],'CODE mchn'!$A$4:$C$170,3,0))</f>
        <v>Teurema 2</v>
      </c>
      <c r="E2147" s="239">
        <v>26629</v>
      </c>
      <c r="F2147" s="241"/>
      <c r="G2147" s="241" t="s">
        <v>4031</v>
      </c>
      <c r="H2147" s="241" t="s">
        <v>1697</v>
      </c>
      <c r="I2147" s="241" t="s">
        <v>13</v>
      </c>
      <c r="J2147" s="249" t="s">
        <v>4032</v>
      </c>
      <c r="K2147" s="242">
        <v>44669</v>
      </c>
      <c r="L2147" s="241"/>
      <c r="M2147" s="243">
        <f>3*60</f>
        <v>180</v>
      </c>
      <c r="N2147" s="243">
        <f>MONTH(Tableau13[[#This Row],[Date fin intervention]])</f>
        <v>4</v>
      </c>
      <c r="O2147" s="243">
        <f>YEAR(Tableau13[[#This Row],[Date fin intervention]])</f>
        <v>2022</v>
      </c>
      <c r="P2147" s="241"/>
    </row>
    <row r="2148" spans="1:16">
      <c r="A2148" s="238">
        <v>44670</v>
      </c>
      <c r="B2148" s="239">
        <v>590</v>
      </c>
      <c r="C2148" s="240" t="str">
        <f>IF(ISNA(VLOOKUP(Tableau13[[#This Row],[Code machine]],'CODE mchn'!$A$4:$C$170,2,0)),"",VLOOKUP(Tableau13[[#This Row],[Code machine]],'CODE mchn'!$A$4:$C$170,2,0))</f>
        <v>Acier</v>
      </c>
      <c r="D2148" s="241" t="str">
        <f>IF(ISNA(VLOOKUP(Tableau13[[#This Row],[Code machine]],'CODE mchn'!$A$4:$C$170,3,0)),"",VLOOKUP(Tableau13[[#This Row],[Code machine]],'CODE mchn'!$A$4:$C$170,3,0))</f>
        <v>Teurema 3</v>
      </c>
      <c r="E2148" s="239">
        <v>26515</v>
      </c>
      <c r="F2148" s="241"/>
      <c r="G2148" s="241" t="s">
        <v>78</v>
      </c>
      <c r="H2148" s="241" t="s">
        <v>2852</v>
      </c>
      <c r="I2148" s="241" t="s">
        <v>13</v>
      </c>
      <c r="J2148" s="249" t="s">
        <v>405</v>
      </c>
      <c r="K2148" s="242">
        <v>44670</v>
      </c>
      <c r="L2148" s="241"/>
      <c r="M2148" s="243">
        <v>90</v>
      </c>
      <c r="N2148" s="243">
        <f>MONTH(Tableau13[[#This Row],[Date fin intervention]])</f>
        <v>4</v>
      </c>
      <c r="O2148" s="243">
        <f>YEAR(Tableau13[[#This Row],[Date fin intervention]])</f>
        <v>2022</v>
      </c>
      <c r="P2148" s="241"/>
    </row>
    <row r="2149" spans="1:16">
      <c r="A2149" s="238">
        <v>44671</v>
      </c>
      <c r="B2149" s="239">
        <v>582</v>
      </c>
      <c r="C2149" s="240" t="str">
        <f>IF(ISNA(VLOOKUP(Tableau13[[#This Row],[Code machine]],'CODE mchn'!$A$4:$C$170,2,0)),"",VLOOKUP(Tableau13[[#This Row],[Code machine]],'CODE mchn'!$A$4:$C$170,2,0))</f>
        <v>Acier</v>
      </c>
      <c r="D2149" s="241" t="str">
        <f>IF(ISNA(VLOOKUP(Tableau13[[#This Row],[Code machine]],'CODE mchn'!$A$4:$C$170,3,0)),"",VLOOKUP(Tableau13[[#This Row],[Code machine]],'CODE mchn'!$A$4:$C$170,3,0))</f>
        <v>Teurema 2</v>
      </c>
      <c r="E2149" s="239">
        <v>26630</v>
      </c>
      <c r="F2149" s="241"/>
      <c r="G2149" s="241" t="s">
        <v>4033</v>
      </c>
      <c r="H2149" s="241" t="s">
        <v>1064</v>
      </c>
      <c r="I2149" s="241" t="s">
        <v>13</v>
      </c>
      <c r="J2149" s="249" t="s">
        <v>4034</v>
      </c>
      <c r="K2149" s="242">
        <v>44671</v>
      </c>
      <c r="L2149" s="241"/>
      <c r="M2149" s="243">
        <f>6*60</f>
        <v>360</v>
      </c>
      <c r="N2149" s="243">
        <f>MONTH(Tableau13[[#This Row],[Date fin intervention]])</f>
        <v>4</v>
      </c>
      <c r="O2149" s="243">
        <f>YEAR(Tableau13[[#This Row],[Date fin intervention]])</f>
        <v>2022</v>
      </c>
      <c r="P2149" s="241"/>
    </row>
    <row r="2150" spans="1:16">
      <c r="A2150" s="238">
        <v>44671</v>
      </c>
      <c r="B2150" s="239">
        <v>581</v>
      </c>
      <c r="C2150" s="240" t="str">
        <f>IF(ISNA(VLOOKUP(Tableau13[[#This Row],[Code machine]],'CODE mchn'!$A$4:$C$170,2,0)),"",VLOOKUP(Tableau13[[#This Row],[Code machine]],'CODE mchn'!$A$4:$C$170,2,0))</f>
        <v>Acier</v>
      </c>
      <c r="D2150" s="241" t="str">
        <f>IF(ISNA(VLOOKUP(Tableau13[[#This Row],[Code machine]],'CODE mchn'!$A$4:$C$170,3,0)),"",VLOOKUP(Tableau13[[#This Row],[Code machine]],'CODE mchn'!$A$4:$C$170,3,0))</f>
        <v>Teurema 1</v>
      </c>
      <c r="E2150" s="239">
        <v>26801</v>
      </c>
      <c r="F2150" s="241"/>
      <c r="G2150" s="241" t="s">
        <v>2599</v>
      </c>
      <c r="H2150" s="241" t="s">
        <v>3978</v>
      </c>
      <c r="I2150" s="241" t="s">
        <v>13</v>
      </c>
      <c r="J2150" s="249" t="s">
        <v>3979</v>
      </c>
      <c r="K2150" s="242">
        <v>44671</v>
      </c>
      <c r="L2150" s="241"/>
      <c r="M2150" s="243">
        <v>45</v>
      </c>
      <c r="N2150" s="243">
        <f>MONTH(Tableau13[[#This Row],[Date fin intervention]])</f>
        <v>4</v>
      </c>
      <c r="O2150" s="243">
        <f>YEAR(Tableau13[[#This Row],[Date fin intervention]])</f>
        <v>2022</v>
      </c>
      <c r="P2150" s="241"/>
    </row>
    <row r="2151" spans="1:16">
      <c r="A2151" s="238">
        <v>44674</v>
      </c>
      <c r="B2151" s="239">
        <v>581</v>
      </c>
      <c r="C2151" s="240" t="str">
        <f>IF(ISNA(VLOOKUP(Tableau13[[#This Row],[Code machine]],'CODE mchn'!$A$4:$C$170,2,0)),"",VLOOKUP(Tableau13[[#This Row],[Code machine]],'CODE mchn'!$A$4:$C$170,2,0))</f>
        <v>Acier</v>
      </c>
      <c r="D2151" s="241" t="str">
        <f>IF(ISNA(VLOOKUP(Tableau13[[#This Row],[Code machine]],'CODE mchn'!$A$4:$C$170,3,0)),"",VLOOKUP(Tableau13[[#This Row],[Code machine]],'CODE mchn'!$A$4:$C$170,3,0))</f>
        <v>Teurema 1</v>
      </c>
      <c r="E2151" s="239">
        <v>26802</v>
      </c>
      <c r="F2151" s="241"/>
      <c r="G2151" s="241" t="s">
        <v>2360</v>
      </c>
      <c r="H2151" s="241" t="s">
        <v>892</v>
      </c>
      <c r="I2151" s="241" t="s">
        <v>13</v>
      </c>
      <c r="J2151" s="249" t="s">
        <v>4035</v>
      </c>
      <c r="K2151" s="242">
        <v>44674</v>
      </c>
      <c r="L2151" s="241"/>
      <c r="M2151" s="243">
        <f>4*60</f>
        <v>240</v>
      </c>
      <c r="N2151" s="243">
        <f>MONTH(Tableau13[[#This Row],[Date fin intervention]])</f>
        <v>4</v>
      </c>
      <c r="O2151" s="243">
        <f>YEAR(Tableau13[[#This Row],[Date fin intervention]])</f>
        <v>2022</v>
      </c>
      <c r="P2151" s="241"/>
    </row>
    <row r="2152" spans="1:16">
      <c r="A2152" s="238">
        <v>44676</v>
      </c>
      <c r="B2152" s="239">
        <v>582</v>
      </c>
      <c r="C2152" s="240" t="str">
        <f>IF(ISNA(VLOOKUP(Tableau13[[#This Row],[Code machine]],'CODE mchn'!$A$4:$C$170,2,0)),"",VLOOKUP(Tableau13[[#This Row],[Code machine]],'CODE mchn'!$A$4:$C$170,2,0))</f>
        <v>Acier</v>
      </c>
      <c r="D2152" s="241" t="str">
        <f>IF(ISNA(VLOOKUP(Tableau13[[#This Row],[Code machine]],'CODE mchn'!$A$4:$C$170,3,0)),"",VLOOKUP(Tableau13[[#This Row],[Code machine]],'CODE mchn'!$A$4:$C$170,3,0))</f>
        <v>Teurema 2</v>
      </c>
      <c r="E2152" s="239">
        <v>26803</v>
      </c>
      <c r="F2152" s="241"/>
      <c r="G2152" s="241" t="s">
        <v>2871</v>
      </c>
      <c r="H2152" s="241" t="s">
        <v>4036</v>
      </c>
      <c r="I2152" s="241" t="s">
        <v>13</v>
      </c>
      <c r="J2152" s="249" t="s">
        <v>4037</v>
      </c>
      <c r="K2152" s="242">
        <v>44676</v>
      </c>
      <c r="L2152" s="241"/>
      <c r="M2152" s="243">
        <v>45</v>
      </c>
      <c r="N2152" s="243">
        <f>MONTH(Tableau13[[#This Row],[Date fin intervention]])</f>
        <v>4</v>
      </c>
      <c r="O2152" s="243">
        <f>YEAR(Tableau13[[#This Row],[Date fin intervention]])</f>
        <v>2022</v>
      </c>
      <c r="P2152" s="241"/>
    </row>
    <row r="2153" spans="1:16">
      <c r="A2153" s="238">
        <v>44677</v>
      </c>
      <c r="B2153" s="239">
        <v>581</v>
      </c>
      <c r="C2153" s="240" t="str">
        <f>IF(ISNA(VLOOKUP(Tableau13[[#This Row],[Code machine]],'CODE mchn'!$A$4:$C$170,2,0)),"",VLOOKUP(Tableau13[[#This Row],[Code machine]],'CODE mchn'!$A$4:$C$170,2,0))</f>
        <v>Acier</v>
      </c>
      <c r="D2153" s="241" t="str">
        <f>IF(ISNA(VLOOKUP(Tableau13[[#This Row],[Code machine]],'CODE mchn'!$A$4:$C$170,3,0)),"",VLOOKUP(Tableau13[[#This Row],[Code machine]],'CODE mchn'!$A$4:$C$170,3,0))</f>
        <v>Teurema 1</v>
      </c>
      <c r="E2153" s="239">
        <v>26805</v>
      </c>
      <c r="F2153" s="241"/>
      <c r="G2153" s="241" t="s">
        <v>647</v>
      </c>
      <c r="H2153" s="241" t="s">
        <v>1811</v>
      </c>
      <c r="I2153" s="241" t="s">
        <v>13</v>
      </c>
      <c r="J2153" s="249" t="s">
        <v>4038</v>
      </c>
      <c r="K2153" s="242">
        <v>44677</v>
      </c>
      <c r="L2153" s="241"/>
      <c r="M2153" s="243">
        <v>90</v>
      </c>
      <c r="N2153" s="243">
        <f>MONTH(Tableau13[[#This Row],[Date fin intervention]])</f>
        <v>4</v>
      </c>
      <c r="O2153" s="243">
        <f>YEAR(Tableau13[[#This Row],[Date fin intervention]])</f>
        <v>2022</v>
      </c>
      <c r="P2153" s="241"/>
    </row>
    <row r="2154" spans="1:16">
      <c r="A2154" s="238">
        <v>44678</v>
      </c>
      <c r="B2154" s="239">
        <v>700</v>
      </c>
      <c r="C2154" s="240" t="str">
        <f>IF(ISNA(VLOOKUP(Tableau13[[#This Row],[Code machine]],'CODE mchn'!$A$4:$C$170,2,0)),"",VLOOKUP(Tableau13[[#This Row],[Code machine]],'CODE mchn'!$A$4:$C$170,2,0))</f>
        <v>Béton</v>
      </c>
      <c r="D2154" s="241" t="str">
        <f>IF(ISNA(VLOOKUP(Tableau13[[#This Row],[Code machine]],'CODE mchn'!$A$4:$C$170,3,0)),"",VLOOKUP(Tableau13[[#This Row],[Code machine]],'CODE mchn'!$A$4:$C$170,3,0))</f>
        <v>Poyatos 1</v>
      </c>
      <c r="E2154" s="239">
        <v>26516</v>
      </c>
      <c r="F2154" s="241"/>
      <c r="G2154" s="241" t="s">
        <v>213</v>
      </c>
      <c r="H2154" s="241" t="s">
        <v>408</v>
      </c>
      <c r="I2154" s="241" t="s">
        <v>13</v>
      </c>
      <c r="J2154" s="249" t="s">
        <v>4085</v>
      </c>
      <c r="K2154" s="242">
        <v>44678</v>
      </c>
      <c r="L2154" s="241"/>
      <c r="M2154" s="243">
        <v>60</v>
      </c>
      <c r="N2154" s="243">
        <f>MONTH(Tableau13[[#This Row],[Date fin intervention]])</f>
        <v>4</v>
      </c>
      <c r="O2154" s="243">
        <f>YEAR(Tableau13[[#This Row],[Date fin intervention]])</f>
        <v>2022</v>
      </c>
      <c r="P2154" s="241"/>
    </row>
    <row r="2155" spans="1:16">
      <c r="A2155" s="238">
        <v>44682</v>
      </c>
      <c r="B2155" s="239">
        <v>700</v>
      </c>
      <c r="C2155" s="240" t="str">
        <f>IF(ISNA(VLOOKUP(Tableau13[[#This Row],[Code machine]],'CODE mchn'!$A$4:$C$170,2,0)),"",VLOOKUP(Tableau13[[#This Row],[Code machine]],'CODE mchn'!$A$4:$C$170,2,0))</f>
        <v>Béton</v>
      </c>
      <c r="D2155" s="241" t="str">
        <f>IF(ISNA(VLOOKUP(Tableau13[[#This Row],[Code machine]],'CODE mchn'!$A$4:$C$170,3,0)),"",VLOOKUP(Tableau13[[#This Row],[Code machine]],'CODE mchn'!$A$4:$C$170,3,0))</f>
        <v>Poyatos 1</v>
      </c>
      <c r="E2155" s="239"/>
      <c r="F2155" s="241"/>
      <c r="G2155" s="241" t="s">
        <v>4127</v>
      </c>
      <c r="H2155" s="241" t="s">
        <v>4120</v>
      </c>
      <c r="I2155" s="241" t="s">
        <v>30</v>
      </c>
      <c r="J2155" s="249" t="s">
        <v>4126</v>
      </c>
      <c r="K2155" s="242">
        <v>44682</v>
      </c>
      <c r="L2155" s="241"/>
      <c r="M2155" s="243">
        <v>45</v>
      </c>
      <c r="N2155" s="243">
        <f>MONTH(Tableau13[[#This Row],[Date fin intervention]])</f>
        <v>5</v>
      </c>
      <c r="O2155" s="243">
        <f>YEAR(Tableau13[[#This Row],[Date fin intervention]])</f>
        <v>2022</v>
      </c>
      <c r="P2155" s="241"/>
    </row>
    <row r="2156" spans="1:16">
      <c r="A2156" s="238">
        <v>44685</v>
      </c>
      <c r="B2156" s="239">
        <v>700</v>
      </c>
      <c r="C2156" s="240" t="str">
        <f>IF(ISNA(VLOOKUP(Tableau13[[#This Row],[Code machine]],'CODE mchn'!$A$4:$C$170,2,0)),"",VLOOKUP(Tableau13[[#This Row],[Code machine]],'CODE mchn'!$A$4:$C$170,2,0))</f>
        <v>Béton</v>
      </c>
      <c r="D2156" s="241" t="str">
        <f>IF(ISNA(VLOOKUP(Tableau13[[#This Row],[Code machine]],'CODE mchn'!$A$4:$C$170,3,0)),"",VLOOKUP(Tableau13[[#This Row],[Code machine]],'CODE mchn'!$A$4:$C$170,3,0))</f>
        <v>Poyatos 1</v>
      </c>
      <c r="E2156" s="239">
        <v>26573</v>
      </c>
      <c r="F2156" s="241"/>
      <c r="G2156" s="241" t="s">
        <v>185</v>
      </c>
      <c r="H2156" s="241" t="s">
        <v>654</v>
      </c>
      <c r="I2156" s="241" t="s">
        <v>13</v>
      </c>
      <c r="J2156" s="249" t="s">
        <v>4000</v>
      </c>
      <c r="K2156" s="242">
        <v>44685</v>
      </c>
      <c r="L2156" s="241"/>
      <c r="M2156" s="243">
        <v>120</v>
      </c>
      <c r="N2156" s="243">
        <f>MONTH(Tableau13[[#This Row],[Date fin intervention]])</f>
        <v>5</v>
      </c>
      <c r="O2156" s="243">
        <f>YEAR(Tableau13[[#This Row],[Date fin intervention]])</f>
        <v>2022</v>
      </c>
      <c r="P2156" s="241"/>
    </row>
    <row r="2157" spans="1:16">
      <c r="A2157" s="238">
        <v>44686</v>
      </c>
      <c r="B2157" s="239">
        <v>582</v>
      </c>
      <c r="C2157" s="240" t="str">
        <f>IF(ISNA(VLOOKUP(Tableau13[[#This Row],[Code machine]],'CODE mchn'!$A$4:$C$170,2,0)),"",VLOOKUP(Tableau13[[#This Row],[Code machine]],'CODE mchn'!$A$4:$C$170,2,0))</f>
        <v>Acier</v>
      </c>
      <c r="D2157" s="241" t="str">
        <f>IF(ISNA(VLOOKUP(Tableau13[[#This Row],[Code machine]],'CODE mchn'!$A$4:$C$170,3,0)),"",VLOOKUP(Tableau13[[#This Row],[Code machine]],'CODE mchn'!$A$4:$C$170,3,0))</f>
        <v>Teurema 2</v>
      </c>
      <c r="E2157" s="239">
        <v>26807</v>
      </c>
      <c r="F2157" s="241"/>
      <c r="G2157" s="241" t="s">
        <v>1347</v>
      </c>
      <c r="H2157" s="241" t="s">
        <v>3977</v>
      </c>
      <c r="I2157" s="241" t="s">
        <v>13</v>
      </c>
      <c r="J2157" s="249" t="s">
        <v>3966</v>
      </c>
      <c r="K2157" s="242">
        <v>44686</v>
      </c>
      <c r="L2157" s="241"/>
      <c r="M2157" s="243">
        <v>75</v>
      </c>
      <c r="N2157" s="243">
        <f>MONTH(Tableau13[[#This Row],[Date fin intervention]])</f>
        <v>5</v>
      </c>
      <c r="O2157" s="243">
        <f>YEAR(Tableau13[[#This Row],[Date fin intervention]])</f>
        <v>2022</v>
      </c>
      <c r="P2157" s="241"/>
    </row>
    <row r="2158" spans="1:16">
      <c r="A2158" s="238">
        <v>44686</v>
      </c>
      <c r="B2158" s="239">
        <v>582</v>
      </c>
      <c r="C2158" s="240" t="str">
        <f>IF(ISNA(VLOOKUP(Tableau13[[#This Row],[Code machine]],'CODE mchn'!$A$4:$C$170,2,0)),"",VLOOKUP(Tableau13[[#This Row],[Code machine]],'CODE mchn'!$A$4:$C$170,2,0))</f>
        <v>Acier</v>
      </c>
      <c r="D2158" s="241" t="str">
        <f>IF(ISNA(VLOOKUP(Tableau13[[#This Row],[Code machine]],'CODE mchn'!$A$4:$C$170,3,0)),"",VLOOKUP(Tableau13[[#This Row],[Code machine]],'CODE mchn'!$A$4:$C$170,3,0))</f>
        <v>Teurema 2</v>
      </c>
      <c r="E2158" s="239">
        <v>26808</v>
      </c>
      <c r="F2158" s="241"/>
      <c r="G2158" s="241" t="s">
        <v>880</v>
      </c>
      <c r="H2158" s="241" t="s">
        <v>892</v>
      </c>
      <c r="I2158" s="241" t="s">
        <v>13</v>
      </c>
      <c r="J2158" s="249" t="s">
        <v>3235</v>
      </c>
      <c r="K2158" s="242">
        <v>44686</v>
      </c>
      <c r="L2158" s="241"/>
      <c r="M2158" s="243">
        <f>4*60</f>
        <v>240</v>
      </c>
      <c r="N2158" s="243">
        <f>MONTH(Tableau13[[#This Row],[Date fin intervention]])</f>
        <v>5</v>
      </c>
      <c r="O2158" s="243">
        <f>YEAR(Tableau13[[#This Row],[Date fin intervention]])</f>
        <v>2022</v>
      </c>
      <c r="P2158" s="241"/>
    </row>
    <row r="2159" spans="1:16" ht="42.75">
      <c r="A2159" s="238">
        <v>44686</v>
      </c>
      <c r="B2159" s="239">
        <v>700</v>
      </c>
      <c r="C2159" s="240" t="str">
        <f>IF(ISNA(VLOOKUP(Tableau13[[#This Row],[Code machine]],'CODE mchn'!$A$4:$C$170,2,0)),"",VLOOKUP(Tableau13[[#This Row],[Code machine]],'CODE mchn'!$A$4:$C$170,2,0))</f>
        <v>Béton</v>
      </c>
      <c r="D2159" s="241" t="str">
        <f>IF(ISNA(VLOOKUP(Tableau13[[#This Row],[Code machine]],'CODE mchn'!$A$4:$C$170,3,0)),"",VLOOKUP(Tableau13[[#This Row],[Code machine]],'CODE mchn'!$A$4:$C$170,3,0))</f>
        <v>Poyatos 1</v>
      </c>
      <c r="E2159" s="239" t="s">
        <v>4007</v>
      </c>
      <c r="F2159" s="241"/>
      <c r="G2159" s="241" t="s">
        <v>3</v>
      </c>
      <c r="H2159" s="241" t="s">
        <v>1612</v>
      </c>
      <c r="I2159" s="241" t="s">
        <v>13</v>
      </c>
      <c r="J2159" s="249" t="s">
        <v>4008</v>
      </c>
      <c r="K2159" s="242">
        <v>44688</v>
      </c>
      <c r="L2159" s="241"/>
      <c r="M2159" s="243">
        <f>3*2*60*8</f>
        <v>2880</v>
      </c>
      <c r="N2159" s="243">
        <f>MONTH(Tableau13[[#This Row],[Date fin intervention]])</f>
        <v>5</v>
      </c>
      <c r="O2159" s="243">
        <f>YEAR(Tableau13[[#This Row],[Date fin intervention]])</f>
        <v>2022</v>
      </c>
      <c r="P2159" s="241"/>
    </row>
    <row r="2160" spans="1:16">
      <c r="A2160" s="238">
        <v>44687</v>
      </c>
      <c r="B2160" s="239">
        <v>565</v>
      </c>
      <c r="C2160" s="240" t="str">
        <f>IF(ISNA(VLOOKUP(Tableau13[[#This Row],[Code machine]],'CODE mchn'!$A$4:$C$170,2,0)),"",VLOOKUP(Tableau13[[#This Row],[Code machine]],'CODE mchn'!$A$4:$C$170,2,0))</f>
        <v>Acier</v>
      </c>
      <c r="D2160" s="241" t="str">
        <f>IF(ISNA(VLOOKUP(Tableau13[[#This Row],[Code machine]],'CODE mchn'!$A$4:$C$170,3,0)),"",VLOOKUP(Tableau13[[#This Row],[Code machine]],'CODE mchn'!$A$4:$C$170,3,0))</f>
        <v>EVG GE12</v>
      </c>
      <c r="E2160" s="239">
        <v>26683</v>
      </c>
      <c r="F2160" s="241"/>
      <c r="G2160" s="241" t="s">
        <v>2243</v>
      </c>
      <c r="H2160" s="241" t="s">
        <v>3991</v>
      </c>
      <c r="I2160" s="241" t="s">
        <v>13</v>
      </c>
      <c r="J2160" s="249" t="s">
        <v>3992</v>
      </c>
      <c r="K2160" s="242">
        <v>44687</v>
      </c>
      <c r="L2160" s="241"/>
      <c r="M2160" s="243">
        <f>8*60</f>
        <v>480</v>
      </c>
      <c r="N2160" s="243">
        <f>MONTH(Tableau13[[#This Row],[Date fin intervention]])</f>
        <v>5</v>
      </c>
      <c r="O2160" s="243">
        <f>YEAR(Tableau13[[#This Row],[Date fin intervention]])</f>
        <v>2022</v>
      </c>
      <c r="P2160" s="241"/>
    </row>
    <row r="2161" spans="1:16">
      <c r="A2161" s="238">
        <v>44690</v>
      </c>
      <c r="B2161" s="239">
        <v>700</v>
      </c>
      <c r="C2161" s="240" t="str">
        <f>IF(ISNA(VLOOKUP(Tableau13[[#This Row],[Code machine]],'CODE mchn'!$A$4:$C$170,2,0)),"",VLOOKUP(Tableau13[[#This Row],[Code machine]],'CODE mchn'!$A$4:$C$170,2,0))</f>
        <v>Béton</v>
      </c>
      <c r="D2161" s="241" t="str">
        <f>IF(ISNA(VLOOKUP(Tableau13[[#This Row],[Code machine]],'CODE mchn'!$A$4:$C$170,3,0)),"",VLOOKUP(Tableau13[[#This Row],[Code machine]],'CODE mchn'!$A$4:$C$170,3,0))</f>
        <v>Poyatos 1</v>
      </c>
      <c r="E2161" s="239">
        <v>26574</v>
      </c>
      <c r="F2161" s="241"/>
      <c r="G2161" s="241" t="s">
        <v>4001</v>
      </c>
      <c r="H2161" s="241" t="s">
        <v>4002</v>
      </c>
      <c r="I2161" s="241" t="s">
        <v>13</v>
      </c>
      <c r="J2161" s="249" t="s">
        <v>4003</v>
      </c>
      <c r="K2161" s="242">
        <v>44690</v>
      </c>
      <c r="L2161" s="241"/>
      <c r="M2161" s="243">
        <v>40</v>
      </c>
      <c r="N2161" s="243">
        <f>MONTH(Tableau13[[#This Row],[Date fin intervention]])</f>
        <v>5</v>
      </c>
      <c r="O2161" s="243">
        <f>YEAR(Tableau13[[#This Row],[Date fin intervention]])</f>
        <v>2022</v>
      </c>
      <c r="P2161" s="241"/>
    </row>
    <row r="2162" spans="1:16">
      <c r="A2162" s="238">
        <v>44691</v>
      </c>
      <c r="B2162" s="239">
        <v>582</v>
      </c>
      <c r="C2162" s="240" t="str">
        <f>IF(ISNA(VLOOKUP(Tableau13[[#This Row],[Code machine]],'CODE mchn'!$A$4:$C$170,2,0)),"",VLOOKUP(Tableau13[[#This Row],[Code machine]],'CODE mchn'!$A$4:$C$170,2,0))</f>
        <v>Acier</v>
      </c>
      <c r="D2162" s="241" t="str">
        <f>IF(ISNA(VLOOKUP(Tableau13[[#This Row],[Code machine]],'CODE mchn'!$A$4:$C$170,3,0)),"",VLOOKUP(Tableau13[[#This Row],[Code machine]],'CODE mchn'!$A$4:$C$170,3,0))</f>
        <v>Teurema 2</v>
      </c>
      <c r="E2162" s="239">
        <v>26810</v>
      </c>
      <c r="F2162" s="241"/>
      <c r="G2162" s="241" t="s">
        <v>446</v>
      </c>
      <c r="H2162" s="241" t="s">
        <v>3978</v>
      </c>
      <c r="I2162" s="241" t="s">
        <v>13</v>
      </c>
      <c r="J2162" s="249" t="s">
        <v>3979</v>
      </c>
      <c r="K2162" s="242">
        <v>44691</v>
      </c>
      <c r="L2162" s="241"/>
      <c r="M2162" s="243">
        <v>60</v>
      </c>
      <c r="N2162" s="243">
        <f>MONTH(Tableau13[[#This Row],[Date fin intervention]])</f>
        <v>5</v>
      </c>
      <c r="O2162" s="243">
        <f>YEAR(Tableau13[[#This Row],[Date fin intervention]])</f>
        <v>2022</v>
      </c>
      <c r="P2162" s="241"/>
    </row>
    <row r="2163" spans="1:16">
      <c r="A2163" s="238">
        <v>44691</v>
      </c>
      <c r="B2163" s="239">
        <v>800</v>
      </c>
      <c r="C2163" s="240" t="str">
        <f>IF(ISNA(VLOOKUP(Tableau13[[#This Row],[Code machine]],'CODE mchn'!$A$4:$C$170,2,0)),"",VLOOKUP(Tableau13[[#This Row],[Code machine]],'CODE mchn'!$A$4:$C$170,2,0))</f>
        <v>Béton</v>
      </c>
      <c r="D2163" s="241" t="str">
        <f>IF(ISNA(VLOOKUP(Tableau13[[#This Row],[Code machine]],'CODE mchn'!$A$4:$C$170,3,0)),"",VLOOKUP(Tableau13[[#This Row],[Code machine]],'CODE mchn'!$A$4:$C$170,3,0))</f>
        <v>Poyatos 2</v>
      </c>
      <c r="E2163" s="239">
        <v>26575</v>
      </c>
      <c r="F2163" s="241"/>
      <c r="G2163" s="241" t="s">
        <v>118</v>
      </c>
      <c r="H2163" s="241" t="s">
        <v>4004</v>
      </c>
      <c r="I2163" s="241" t="s">
        <v>13</v>
      </c>
      <c r="J2163" s="249" t="s">
        <v>4005</v>
      </c>
      <c r="K2163" s="242">
        <v>44691</v>
      </c>
      <c r="L2163" s="241"/>
      <c r="M2163" s="243">
        <v>240</v>
      </c>
      <c r="N2163" s="243">
        <f>MONTH(Tableau13[[#This Row],[Date fin intervention]])</f>
        <v>5</v>
      </c>
      <c r="O2163" s="243">
        <f>YEAR(Tableau13[[#This Row],[Date fin intervention]])</f>
        <v>2022</v>
      </c>
      <c r="P2163" s="241"/>
    </row>
    <row r="2164" spans="1:16">
      <c r="A2164" s="238">
        <v>44692</v>
      </c>
      <c r="B2164" s="239">
        <v>582</v>
      </c>
      <c r="C2164" s="240" t="str">
        <f>IF(ISNA(VLOOKUP(Tableau13[[#This Row],[Code machine]],'CODE mchn'!$A$4:$C$170,2,0)),"",VLOOKUP(Tableau13[[#This Row],[Code machine]],'CODE mchn'!$A$4:$C$170,2,0))</f>
        <v>Acier</v>
      </c>
      <c r="D2164" s="241" t="str">
        <f>IF(ISNA(VLOOKUP(Tableau13[[#This Row],[Code machine]],'CODE mchn'!$A$4:$C$170,3,0)),"",VLOOKUP(Tableau13[[#This Row],[Code machine]],'CODE mchn'!$A$4:$C$170,3,0))</f>
        <v>Teurema 2</v>
      </c>
      <c r="E2164" s="239">
        <v>26811</v>
      </c>
      <c r="F2164" s="241"/>
      <c r="G2164" s="241" t="s">
        <v>880</v>
      </c>
      <c r="H2164" s="241" t="s">
        <v>458</v>
      </c>
      <c r="I2164" s="241" t="s">
        <v>13</v>
      </c>
      <c r="J2164" s="249" t="s">
        <v>3980</v>
      </c>
      <c r="K2164" s="242">
        <v>44692</v>
      </c>
      <c r="L2164" s="241"/>
      <c r="M2164" s="243">
        <v>45</v>
      </c>
      <c r="N2164" s="243">
        <f>MONTH(Tableau13[[#This Row],[Date fin intervention]])</f>
        <v>5</v>
      </c>
      <c r="O2164" s="243">
        <f>YEAR(Tableau13[[#This Row],[Date fin intervention]])</f>
        <v>2022</v>
      </c>
      <c r="P2164" s="241"/>
    </row>
    <row r="2165" spans="1:16">
      <c r="A2165" s="238">
        <v>44692</v>
      </c>
      <c r="B2165" s="239">
        <v>582</v>
      </c>
      <c r="C2165" s="240" t="str">
        <f>IF(ISNA(VLOOKUP(Tableau13[[#This Row],[Code machine]],'CODE mchn'!$A$4:$C$170,2,0)),"",VLOOKUP(Tableau13[[#This Row],[Code machine]],'CODE mchn'!$A$4:$C$170,2,0))</f>
        <v>Acier</v>
      </c>
      <c r="D2165" s="241" t="str">
        <f>IF(ISNA(VLOOKUP(Tableau13[[#This Row],[Code machine]],'CODE mchn'!$A$4:$C$170,3,0)),"",VLOOKUP(Tableau13[[#This Row],[Code machine]],'CODE mchn'!$A$4:$C$170,3,0))</f>
        <v>Teurema 2</v>
      </c>
      <c r="E2165" s="239">
        <v>26812</v>
      </c>
      <c r="F2165" s="241"/>
      <c r="G2165" s="241" t="s">
        <v>3965</v>
      </c>
      <c r="H2165" s="241" t="s">
        <v>1064</v>
      </c>
      <c r="I2165" s="241" t="s">
        <v>3130</v>
      </c>
      <c r="J2165" s="249" t="s">
        <v>3981</v>
      </c>
      <c r="K2165" s="242">
        <v>44692</v>
      </c>
      <c r="L2165" s="241"/>
      <c r="M2165" s="243">
        <f>10*60</f>
        <v>600</v>
      </c>
      <c r="N2165" s="243">
        <f>MONTH(Tableau13[[#This Row],[Date fin intervention]])</f>
        <v>5</v>
      </c>
      <c r="O2165" s="243">
        <f>YEAR(Tableau13[[#This Row],[Date fin intervention]])</f>
        <v>2022</v>
      </c>
      <c r="P2165" s="241"/>
    </row>
    <row r="2166" spans="1:16">
      <c r="A2166" s="238">
        <v>44692</v>
      </c>
      <c r="B2166" s="239">
        <v>565</v>
      </c>
      <c r="C2166" s="240" t="str">
        <f>IF(ISNA(VLOOKUP(Tableau13[[#This Row],[Code machine]],'CODE mchn'!$A$4:$C$170,2,0)),"",VLOOKUP(Tableau13[[#This Row],[Code machine]],'CODE mchn'!$A$4:$C$170,2,0))</f>
        <v>Acier</v>
      </c>
      <c r="D2166" s="241" t="str">
        <f>IF(ISNA(VLOOKUP(Tableau13[[#This Row],[Code machine]],'CODE mchn'!$A$4:$C$170,3,0)),"",VLOOKUP(Tableau13[[#This Row],[Code machine]],'CODE mchn'!$A$4:$C$170,3,0))</f>
        <v>EVG GE12</v>
      </c>
      <c r="E2166" s="239">
        <v>26684</v>
      </c>
      <c r="F2166" s="241"/>
      <c r="G2166" s="241" t="s">
        <v>2243</v>
      </c>
      <c r="H2166" s="241" t="s">
        <v>3993</v>
      </c>
      <c r="I2166" s="241" t="s">
        <v>13</v>
      </c>
      <c r="J2166" s="249" t="s">
        <v>1519</v>
      </c>
      <c r="K2166" s="242">
        <v>44692</v>
      </c>
      <c r="L2166" s="241"/>
      <c r="M2166" s="243">
        <v>30</v>
      </c>
      <c r="N2166" s="243">
        <f>MONTH(Tableau13[[#This Row],[Date fin intervention]])</f>
        <v>5</v>
      </c>
      <c r="O2166" s="243">
        <f>YEAR(Tableau13[[#This Row],[Date fin intervention]])</f>
        <v>2022</v>
      </c>
      <c r="P2166" s="241"/>
    </row>
    <row r="2167" spans="1:16">
      <c r="A2167" s="238">
        <v>44692</v>
      </c>
      <c r="B2167" s="239">
        <v>800</v>
      </c>
      <c r="C2167" s="240" t="str">
        <f>IF(ISNA(VLOOKUP(Tableau13[[#This Row],[Code machine]],'CODE mchn'!$A$4:$C$170,2,0)),"",VLOOKUP(Tableau13[[#This Row],[Code machine]],'CODE mchn'!$A$4:$C$170,2,0))</f>
        <v>Béton</v>
      </c>
      <c r="D2167" s="241" t="str">
        <f>IF(ISNA(VLOOKUP(Tableau13[[#This Row],[Code machine]],'CODE mchn'!$A$4:$C$170,3,0)),"",VLOOKUP(Tableau13[[#This Row],[Code machine]],'CODE mchn'!$A$4:$C$170,3,0))</f>
        <v>Poyatos 2</v>
      </c>
      <c r="E2167" s="239">
        <v>26576</v>
      </c>
      <c r="F2167" s="241"/>
      <c r="G2167" s="241" t="s">
        <v>289</v>
      </c>
      <c r="H2167" s="241" t="s">
        <v>4006</v>
      </c>
      <c r="I2167" s="241" t="s">
        <v>13</v>
      </c>
      <c r="J2167" s="249" t="s">
        <v>3136</v>
      </c>
      <c r="K2167" s="242">
        <v>44692</v>
      </c>
      <c r="L2167" s="241"/>
      <c r="M2167" s="243">
        <v>40</v>
      </c>
      <c r="N2167" s="243">
        <f>MONTH(Tableau13[[#This Row],[Date fin intervention]])</f>
        <v>5</v>
      </c>
      <c r="O2167" s="243">
        <f>YEAR(Tableau13[[#This Row],[Date fin intervention]])</f>
        <v>2022</v>
      </c>
      <c r="P2167" s="241"/>
    </row>
    <row r="2168" spans="1:16">
      <c r="A2168" s="238">
        <v>44693</v>
      </c>
      <c r="B2168" s="239">
        <v>606</v>
      </c>
      <c r="C2168" s="240" t="str">
        <f>IF(ISNA(VLOOKUP(Tableau13[[#This Row],[Code machine]],'CODE mchn'!$A$4:$C$170,2,0)),"",VLOOKUP(Tableau13[[#This Row],[Code machine]],'CODE mchn'!$A$4:$C$170,2,0))</f>
        <v>Acier</v>
      </c>
      <c r="D2168" s="241" t="str">
        <f>IF(ISNA(VLOOKUP(Tableau13[[#This Row],[Code machine]],'CODE mchn'!$A$4:$C$170,3,0)),"",VLOOKUP(Tableau13[[#This Row],[Code machine]],'CODE mchn'!$A$4:$C$170,3,0))</f>
        <v>Vitari 2</v>
      </c>
      <c r="E2168" s="239">
        <v>26686</v>
      </c>
      <c r="F2168" s="241"/>
      <c r="G2168" s="241" t="s">
        <v>664</v>
      </c>
      <c r="H2168" s="241" t="s">
        <v>3994</v>
      </c>
      <c r="I2168" s="241" t="s">
        <v>13</v>
      </c>
      <c r="J2168" s="249" t="s">
        <v>545</v>
      </c>
      <c r="K2168" s="242">
        <v>44693</v>
      </c>
      <c r="L2168" s="241"/>
      <c r="M2168" s="243">
        <v>90</v>
      </c>
      <c r="N2168" s="243">
        <f>MONTH(Tableau13[[#This Row],[Date fin intervention]])</f>
        <v>5</v>
      </c>
      <c r="O2168" s="243">
        <f>YEAR(Tableau13[[#This Row],[Date fin intervention]])</f>
        <v>2022</v>
      </c>
      <c r="P2168" s="241"/>
    </row>
    <row r="2169" spans="1:16">
      <c r="A2169" s="238">
        <v>44698</v>
      </c>
      <c r="B2169" s="239">
        <v>582</v>
      </c>
      <c r="C2169" s="240" t="str">
        <f>IF(ISNA(VLOOKUP(Tableau13[[#This Row],[Code machine]],'CODE mchn'!$A$4:$C$170,2,0)),"",VLOOKUP(Tableau13[[#This Row],[Code machine]],'CODE mchn'!$A$4:$C$170,2,0))</f>
        <v>Acier</v>
      </c>
      <c r="D2169" s="241" t="str">
        <f>IF(ISNA(VLOOKUP(Tableau13[[#This Row],[Code machine]],'CODE mchn'!$A$4:$C$170,3,0)),"",VLOOKUP(Tableau13[[#This Row],[Code machine]],'CODE mchn'!$A$4:$C$170,3,0))</f>
        <v>Teurema 2</v>
      </c>
      <c r="E2169" s="239">
        <v>26813</v>
      </c>
      <c r="F2169" s="241"/>
      <c r="G2169" s="241" t="s">
        <v>880</v>
      </c>
      <c r="H2169" s="241" t="s">
        <v>3982</v>
      </c>
      <c r="I2169" s="241" t="s">
        <v>13</v>
      </c>
      <c r="J2169" s="249" t="s">
        <v>3983</v>
      </c>
      <c r="K2169" s="242">
        <v>44698</v>
      </c>
      <c r="L2169" s="241"/>
      <c r="M2169" s="243">
        <v>120</v>
      </c>
      <c r="N2169" s="243">
        <f>MONTH(Tableau13[[#This Row],[Date fin intervention]])</f>
        <v>5</v>
      </c>
      <c r="O2169" s="243">
        <f>YEAR(Tableau13[[#This Row],[Date fin intervention]])</f>
        <v>2022</v>
      </c>
      <c r="P2169" s="241"/>
    </row>
    <row r="2170" spans="1:16">
      <c r="A2170" s="238">
        <v>44698</v>
      </c>
      <c r="B2170" s="239">
        <v>581</v>
      </c>
      <c r="C2170" s="240" t="str">
        <f>IF(ISNA(VLOOKUP(Tableau13[[#This Row],[Code machine]],'CODE mchn'!$A$4:$C$170,2,0)),"",VLOOKUP(Tableau13[[#This Row],[Code machine]],'CODE mchn'!$A$4:$C$170,2,0))</f>
        <v>Acier</v>
      </c>
      <c r="D2170" s="241" t="str">
        <f>IF(ISNA(VLOOKUP(Tableau13[[#This Row],[Code machine]],'CODE mchn'!$A$4:$C$170,3,0)),"",VLOOKUP(Tableau13[[#This Row],[Code machine]],'CODE mchn'!$A$4:$C$170,3,0))</f>
        <v>Teurema 1</v>
      </c>
      <c r="E2170" s="239">
        <v>26815</v>
      </c>
      <c r="F2170" s="241"/>
      <c r="G2170" s="241" t="s">
        <v>2361</v>
      </c>
      <c r="H2170" s="241" t="s">
        <v>764</v>
      </c>
      <c r="I2170" s="241" t="s">
        <v>13</v>
      </c>
      <c r="J2170" s="249" t="s">
        <v>3984</v>
      </c>
      <c r="K2170" s="242">
        <v>44698</v>
      </c>
      <c r="L2170" s="241"/>
      <c r="M2170" s="243">
        <f>4*60</f>
        <v>240</v>
      </c>
      <c r="N2170" s="243">
        <f>MONTH(Tableau13[[#This Row],[Date fin intervention]])</f>
        <v>5</v>
      </c>
      <c r="O2170" s="243">
        <f>YEAR(Tableau13[[#This Row],[Date fin intervention]])</f>
        <v>2022</v>
      </c>
      <c r="P2170" s="241"/>
    </row>
    <row r="2171" spans="1:16">
      <c r="A2171" s="238">
        <v>44699</v>
      </c>
      <c r="B2171" s="239">
        <v>582</v>
      </c>
      <c r="C2171" s="240" t="str">
        <f>IF(ISNA(VLOOKUP(Tableau13[[#This Row],[Code machine]],'CODE mchn'!$A$4:$C$170,2,0)),"",VLOOKUP(Tableau13[[#This Row],[Code machine]],'CODE mchn'!$A$4:$C$170,2,0))</f>
        <v>Acier</v>
      </c>
      <c r="D2171" s="241" t="str">
        <f>IF(ISNA(VLOOKUP(Tableau13[[#This Row],[Code machine]],'CODE mchn'!$A$4:$C$170,3,0)),"",VLOOKUP(Tableau13[[#This Row],[Code machine]],'CODE mchn'!$A$4:$C$170,3,0))</f>
        <v>Teurema 2</v>
      </c>
      <c r="E2171" s="239">
        <v>26816</v>
      </c>
      <c r="F2171" s="241"/>
      <c r="G2171" s="241" t="s">
        <v>49</v>
      </c>
      <c r="H2171" s="241" t="s">
        <v>3985</v>
      </c>
      <c r="I2171" s="241" t="s">
        <v>13</v>
      </c>
      <c r="J2171" s="249" t="s">
        <v>3986</v>
      </c>
      <c r="K2171" s="242">
        <v>44699</v>
      </c>
      <c r="L2171" s="241"/>
      <c r="M2171" s="243">
        <v>60</v>
      </c>
      <c r="N2171" s="243">
        <f>MONTH(Tableau13[[#This Row],[Date fin intervention]])</f>
        <v>5</v>
      </c>
      <c r="O2171" s="243">
        <f>YEAR(Tableau13[[#This Row],[Date fin intervention]])</f>
        <v>2022</v>
      </c>
      <c r="P2171" s="241"/>
    </row>
    <row r="2172" spans="1:16">
      <c r="A2172" s="238">
        <v>44699</v>
      </c>
      <c r="B2172" s="239">
        <v>582</v>
      </c>
      <c r="C2172" s="240" t="str">
        <f>IF(ISNA(VLOOKUP(Tableau13[[#This Row],[Code machine]],'CODE mchn'!$A$4:$C$170,2,0)),"",VLOOKUP(Tableau13[[#This Row],[Code machine]],'CODE mchn'!$A$4:$C$170,2,0))</f>
        <v>Acier</v>
      </c>
      <c r="D2172" s="241" t="str">
        <f>IF(ISNA(VLOOKUP(Tableau13[[#This Row],[Code machine]],'CODE mchn'!$A$4:$C$170,3,0)),"",VLOOKUP(Tableau13[[#This Row],[Code machine]],'CODE mchn'!$A$4:$C$170,3,0))</f>
        <v>Teurema 2</v>
      </c>
      <c r="E2172" s="239">
        <v>26817</v>
      </c>
      <c r="F2172" s="241"/>
      <c r="G2172" s="241" t="s">
        <v>1347</v>
      </c>
      <c r="H2172" s="241" t="s">
        <v>776</v>
      </c>
      <c r="I2172" s="241" t="s">
        <v>13</v>
      </c>
      <c r="J2172" s="249" t="s">
        <v>3987</v>
      </c>
      <c r="K2172" s="242">
        <v>44699</v>
      </c>
      <c r="L2172" s="241"/>
      <c r="M2172" s="243">
        <v>30</v>
      </c>
      <c r="N2172" s="243">
        <f>MONTH(Tableau13[[#This Row],[Date fin intervention]])</f>
        <v>5</v>
      </c>
      <c r="O2172" s="243">
        <f>YEAR(Tableau13[[#This Row],[Date fin intervention]])</f>
        <v>2022</v>
      </c>
      <c r="P2172" s="241"/>
    </row>
    <row r="2173" spans="1:16">
      <c r="A2173" s="238">
        <v>44699</v>
      </c>
      <c r="B2173" s="239">
        <v>605</v>
      </c>
      <c r="C2173" s="240" t="str">
        <f>IF(ISNA(VLOOKUP(Tableau13[[#This Row],[Code machine]],'CODE mchn'!$A$4:$C$170,2,0)),"",VLOOKUP(Tableau13[[#This Row],[Code machine]],'CODE mchn'!$A$4:$C$170,2,0))</f>
        <v>Acier</v>
      </c>
      <c r="D2173" s="241" t="str">
        <f>IF(ISNA(VLOOKUP(Tableau13[[#This Row],[Code machine]],'CODE mchn'!$A$4:$C$170,3,0)),"",VLOOKUP(Tableau13[[#This Row],[Code machine]],'CODE mchn'!$A$4:$C$170,3,0))</f>
        <v>Vitari 1</v>
      </c>
      <c r="E2173" s="239">
        <v>26687</v>
      </c>
      <c r="F2173" s="241"/>
      <c r="G2173" s="241" t="s">
        <v>78</v>
      </c>
      <c r="H2173" s="241" t="s">
        <v>3995</v>
      </c>
      <c r="I2173" s="241" t="s">
        <v>13</v>
      </c>
      <c r="J2173" s="249" t="s">
        <v>1119</v>
      </c>
      <c r="K2173" s="242">
        <v>44699</v>
      </c>
      <c r="L2173" s="241"/>
      <c r="M2173" s="243">
        <v>20</v>
      </c>
      <c r="N2173" s="243">
        <f>MONTH(Tableau13[[#This Row],[Date fin intervention]])</f>
        <v>5</v>
      </c>
      <c r="O2173" s="243">
        <f>YEAR(Tableau13[[#This Row],[Date fin intervention]])</f>
        <v>2022</v>
      </c>
      <c r="P2173" s="241"/>
    </row>
    <row r="2174" spans="1:16" ht="28.5">
      <c r="A2174" s="238">
        <v>44699</v>
      </c>
      <c r="B2174" s="239">
        <v>584</v>
      </c>
      <c r="C2174" s="240" t="str">
        <f>IF(ISNA(VLOOKUP(Tableau13[[#This Row],[Code machine]],'CODE mchn'!$A$4:$C$170,2,0)),"",VLOOKUP(Tableau13[[#This Row],[Code machine]],'CODE mchn'!$A$4:$C$170,2,0))</f>
        <v>Ponts roulants</v>
      </c>
      <c r="D2174" s="241" t="str">
        <f>IF(ISNA(VLOOKUP(Tableau13[[#This Row],[Code machine]],'CODE mchn'!$A$4:$C$170,3,0)),"",VLOOKUP(Tableau13[[#This Row],[Code machine]],'CODE mchn'!$A$4:$C$170,3,0))</f>
        <v>Pont roulant Demag 3,2T (teurema2)</v>
      </c>
      <c r="E2174" s="239">
        <v>26522</v>
      </c>
      <c r="F2174" s="241"/>
      <c r="G2174" s="241" t="s">
        <v>128</v>
      </c>
      <c r="H2174" s="241" t="s">
        <v>4024</v>
      </c>
      <c r="I2174" s="241" t="s">
        <v>13</v>
      </c>
      <c r="J2174" s="249" t="s">
        <v>4025</v>
      </c>
      <c r="K2174" s="242">
        <v>44699</v>
      </c>
      <c r="L2174" s="241"/>
      <c r="M2174" s="243">
        <f>150</f>
        <v>150</v>
      </c>
      <c r="N2174" s="243">
        <f>MONTH(Tableau13[[#This Row],[Date fin intervention]])</f>
        <v>5</v>
      </c>
      <c r="O2174" s="243">
        <f>YEAR(Tableau13[[#This Row],[Date fin intervention]])</f>
        <v>2022</v>
      </c>
      <c r="P2174" s="241"/>
    </row>
    <row r="2175" spans="1:16" ht="28.5">
      <c r="A2175" s="238">
        <v>44699</v>
      </c>
      <c r="B2175" s="239">
        <v>584</v>
      </c>
      <c r="C2175" s="240" t="str">
        <f>IF(ISNA(VLOOKUP(Tableau13[[#This Row],[Code machine]],'CODE mchn'!$A$4:$C$170,2,0)),"",VLOOKUP(Tableau13[[#This Row],[Code machine]],'CODE mchn'!$A$4:$C$170,2,0))</f>
        <v>Ponts roulants</v>
      </c>
      <c r="D2175" s="241" t="str">
        <f>IF(ISNA(VLOOKUP(Tableau13[[#This Row],[Code machine]],'CODE mchn'!$A$4:$C$170,3,0)),"",VLOOKUP(Tableau13[[#This Row],[Code machine]],'CODE mchn'!$A$4:$C$170,3,0))</f>
        <v>Pont roulant Demag 3,2T (teurema2)</v>
      </c>
      <c r="E2175" s="239">
        <v>26522</v>
      </c>
      <c r="F2175" s="241"/>
      <c r="G2175" s="241" t="s">
        <v>4092</v>
      </c>
      <c r="H2175" s="241" t="s">
        <v>4093</v>
      </c>
      <c r="I2175" s="241" t="s">
        <v>13</v>
      </c>
      <c r="J2175" s="249" t="s">
        <v>4094</v>
      </c>
      <c r="K2175" s="242">
        <v>44699</v>
      </c>
      <c r="L2175" s="241"/>
      <c r="M2175" s="243">
        <v>150</v>
      </c>
      <c r="N2175" s="243">
        <f>MONTH(Tableau13[[#This Row],[Date fin intervention]])</f>
        <v>5</v>
      </c>
      <c r="O2175" s="243">
        <f>YEAR(Tableau13[[#This Row],[Date fin intervention]])</f>
        <v>2022</v>
      </c>
      <c r="P2175" s="241"/>
    </row>
    <row r="2176" spans="1:16">
      <c r="A2176" s="238">
        <v>44700</v>
      </c>
      <c r="B2176" s="239">
        <v>582</v>
      </c>
      <c r="C2176" s="240" t="str">
        <f>IF(ISNA(VLOOKUP(Tableau13[[#This Row],[Code machine]],'CODE mchn'!$A$4:$C$170,2,0)),"",VLOOKUP(Tableau13[[#This Row],[Code machine]],'CODE mchn'!$A$4:$C$170,2,0))</f>
        <v>Acier</v>
      </c>
      <c r="D2176" s="241" t="str">
        <f>IF(ISNA(VLOOKUP(Tableau13[[#This Row],[Code machine]],'CODE mchn'!$A$4:$C$170,3,0)),"",VLOOKUP(Tableau13[[#This Row],[Code machine]],'CODE mchn'!$A$4:$C$170,3,0))</f>
        <v>Teurema 2</v>
      </c>
      <c r="E2176" s="239">
        <v>26818</v>
      </c>
      <c r="F2176" s="241"/>
      <c r="G2176" s="241" t="s">
        <v>4113</v>
      </c>
      <c r="H2176" s="241" t="s">
        <v>3988</v>
      </c>
      <c r="I2176" s="241" t="s">
        <v>13</v>
      </c>
      <c r="J2176" s="249" t="s">
        <v>3989</v>
      </c>
      <c r="K2176" s="242">
        <v>44700</v>
      </c>
      <c r="L2176" s="241"/>
      <c r="M2176" s="243">
        <f>60+60+15</f>
        <v>135</v>
      </c>
      <c r="N2176" s="243">
        <f>MONTH(Tableau13[[#This Row],[Date fin intervention]])</f>
        <v>5</v>
      </c>
      <c r="O2176" s="243">
        <f>YEAR(Tableau13[[#This Row],[Date fin intervention]])</f>
        <v>2022</v>
      </c>
      <c r="P2176" s="241"/>
    </row>
    <row r="2177" spans="1:16">
      <c r="A2177" s="238">
        <v>44700</v>
      </c>
      <c r="B2177" s="239">
        <v>700</v>
      </c>
      <c r="C2177" s="240" t="str">
        <f>IF(ISNA(VLOOKUP(Tableau13[[#This Row],[Code machine]],'CODE mchn'!$A$4:$C$170,2,0)),"",VLOOKUP(Tableau13[[#This Row],[Code machine]],'CODE mchn'!$A$4:$C$170,2,0))</f>
        <v>Béton</v>
      </c>
      <c r="D2177" s="241" t="str">
        <f>IF(ISNA(VLOOKUP(Tableau13[[#This Row],[Code machine]],'CODE mchn'!$A$4:$C$170,3,0)),"",VLOOKUP(Tableau13[[#This Row],[Code machine]],'CODE mchn'!$A$4:$C$170,3,0))</f>
        <v>Poyatos 1</v>
      </c>
      <c r="E2177" s="239">
        <v>26580</v>
      </c>
      <c r="F2177" s="241"/>
      <c r="G2177" s="241" t="s">
        <v>375</v>
      </c>
      <c r="H2177" s="241" t="s">
        <v>4009</v>
      </c>
      <c r="I2177" s="241" t="s">
        <v>101</v>
      </c>
      <c r="J2177" s="249" t="s">
        <v>4010</v>
      </c>
      <c r="K2177" s="242">
        <v>44700</v>
      </c>
      <c r="L2177" s="241"/>
      <c r="M2177" s="243">
        <f>4*60</f>
        <v>240</v>
      </c>
      <c r="N2177" s="243">
        <f>MONTH(Tableau13[[#This Row],[Date fin intervention]])</f>
        <v>5</v>
      </c>
      <c r="O2177" s="243">
        <f>YEAR(Tableau13[[#This Row],[Date fin intervention]])</f>
        <v>2022</v>
      </c>
      <c r="P2177" s="241"/>
    </row>
    <row r="2178" spans="1:16" ht="28.5">
      <c r="A2178" s="238">
        <v>44700</v>
      </c>
      <c r="B2178" s="239">
        <v>583</v>
      </c>
      <c r="C2178" s="240" t="str">
        <f>IF(ISNA(VLOOKUP(Tableau13[[#This Row],[Code machine]],'CODE mchn'!$A$4:$C$170,2,0)),"",VLOOKUP(Tableau13[[#This Row],[Code machine]],'CODE mchn'!$A$4:$C$170,2,0))</f>
        <v>Ponts roulants</v>
      </c>
      <c r="D2178" s="241" t="str">
        <f>IF(ISNA(VLOOKUP(Tableau13[[#This Row],[Code machine]],'CODE mchn'!$A$4:$C$170,3,0)),"",VLOOKUP(Tableau13[[#This Row],[Code machine]],'CODE mchn'!$A$4:$C$170,3,0))</f>
        <v>Pont roulant Abus 5T (teurema1)</v>
      </c>
      <c r="E2178" s="239">
        <v>26517</v>
      </c>
      <c r="F2178" s="241"/>
      <c r="G2178" s="241" t="s">
        <v>35</v>
      </c>
      <c r="H2178" s="241" t="s">
        <v>4022</v>
      </c>
      <c r="I2178" s="241" t="s">
        <v>13</v>
      </c>
      <c r="J2178" s="249" t="s">
        <v>4023</v>
      </c>
      <c r="K2178" s="242">
        <v>44700</v>
      </c>
      <c r="L2178" s="241"/>
      <c r="M2178" s="243">
        <f>3*60</f>
        <v>180</v>
      </c>
      <c r="N2178" s="243">
        <f>MONTH(Tableau13[[#This Row],[Date fin intervention]])</f>
        <v>5</v>
      </c>
      <c r="O2178" s="243">
        <f>YEAR(Tableau13[[#This Row],[Date fin intervention]])</f>
        <v>2022</v>
      </c>
      <c r="P2178" s="241"/>
    </row>
    <row r="2179" spans="1:16">
      <c r="A2179" s="238">
        <v>44701</v>
      </c>
      <c r="B2179" s="239">
        <v>590</v>
      </c>
      <c r="C2179" s="240" t="str">
        <f>IF(ISNA(VLOOKUP(Tableau13[[#This Row],[Code machine]],'CODE mchn'!$A$4:$C$170,2,0)),"",VLOOKUP(Tableau13[[#This Row],[Code machine]],'CODE mchn'!$A$4:$C$170,2,0))</f>
        <v>Acier</v>
      </c>
      <c r="D2179" s="241" t="str">
        <f>IF(ISNA(VLOOKUP(Tableau13[[#This Row],[Code machine]],'CODE mchn'!$A$4:$C$170,3,0)),"",VLOOKUP(Tableau13[[#This Row],[Code machine]],'CODE mchn'!$A$4:$C$170,3,0))</f>
        <v>Teurema 3</v>
      </c>
      <c r="E2179" s="239">
        <v>26818</v>
      </c>
      <c r="F2179" s="241"/>
      <c r="G2179" s="241" t="s">
        <v>49</v>
      </c>
      <c r="H2179" s="241" t="s">
        <v>1194</v>
      </c>
      <c r="I2179" s="241" t="s">
        <v>13</v>
      </c>
      <c r="J2179" s="249" t="s">
        <v>3990</v>
      </c>
      <c r="K2179" s="242">
        <v>44701</v>
      </c>
      <c r="L2179" s="241"/>
      <c r="M2179" s="243"/>
      <c r="N2179" s="243">
        <f>MONTH(Tableau13[[#This Row],[Date fin intervention]])</f>
        <v>5</v>
      </c>
      <c r="O2179" s="243">
        <f>YEAR(Tableau13[[#This Row],[Date fin intervention]])</f>
        <v>2022</v>
      </c>
      <c r="P2179" s="241"/>
    </row>
    <row r="2180" spans="1:16">
      <c r="A2180" s="238">
        <v>44701</v>
      </c>
      <c r="B2180" s="239">
        <v>582</v>
      </c>
      <c r="C2180" s="240" t="str">
        <f>IF(ISNA(VLOOKUP(Tableau13[[#This Row],[Code machine]],'CODE mchn'!$A$4:$C$170,2,0)),"",VLOOKUP(Tableau13[[#This Row],[Code machine]],'CODE mchn'!$A$4:$C$170,2,0))</f>
        <v>Acier</v>
      </c>
      <c r="D2180" s="241" t="str">
        <f>IF(ISNA(VLOOKUP(Tableau13[[#This Row],[Code machine]],'CODE mchn'!$A$4:$C$170,3,0)),"",VLOOKUP(Tableau13[[#This Row],[Code machine]],'CODE mchn'!$A$4:$C$170,3,0))</f>
        <v>Teurema 2</v>
      </c>
      <c r="E2180" s="239">
        <v>26820</v>
      </c>
      <c r="F2180" s="241"/>
      <c r="G2180" s="241" t="s">
        <v>1775</v>
      </c>
      <c r="H2180" s="241" t="s">
        <v>1212</v>
      </c>
      <c r="I2180" s="241" t="s">
        <v>13</v>
      </c>
      <c r="J2180" s="249" t="s">
        <v>1150</v>
      </c>
      <c r="K2180" s="242">
        <v>44701</v>
      </c>
      <c r="L2180" s="241"/>
      <c r="M2180" s="243">
        <v>120</v>
      </c>
      <c r="N2180" s="243">
        <f>MONTH(Tableau13[[#This Row],[Date fin intervention]])</f>
        <v>5</v>
      </c>
      <c r="O2180" s="243">
        <f>YEAR(Tableau13[[#This Row],[Date fin intervention]])</f>
        <v>2022</v>
      </c>
      <c r="P2180" s="241"/>
    </row>
    <row r="2181" spans="1:16">
      <c r="A2181" s="238">
        <v>44702</v>
      </c>
      <c r="B2181" s="239">
        <v>700</v>
      </c>
      <c r="C2181" s="240" t="str">
        <f>IF(ISNA(VLOOKUP(Tableau13[[#This Row],[Code machine]],'CODE mchn'!$A$4:$C$170,2,0)),"",VLOOKUP(Tableau13[[#This Row],[Code machine]],'CODE mchn'!$A$4:$C$170,2,0))</f>
        <v>Béton</v>
      </c>
      <c r="D2181" s="241" t="str">
        <f>IF(ISNA(VLOOKUP(Tableau13[[#This Row],[Code machine]],'CODE mchn'!$A$4:$C$170,3,0)),"",VLOOKUP(Tableau13[[#This Row],[Code machine]],'CODE mchn'!$A$4:$C$170,3,0))</f>
        <v>Poyatos 1</v>
      </c>
      <c r="E2181" s="239">
        <v>26581</v>
      </c>
      <c r="F2181" s="241"/>
      <c r="G2181" s="241" t="s">
        <v>49</v>
      </c>
      <c r="H2181" s="241" t="s">
        <v>4012</v>
      </c>
      <c r="I2181" s="241" t="s">
        <v>13</v>
      </c>
      <c r="J2181" s="249" t="s">
        <v>4011</v>
      </c>
      <c r="K2181" s="242">
        <v>44702</v>
      </c>
      <c r="L2181" s="241"/>
      <c r="M2181" s="243">
        <v>120</v>
      </c>
      <c r="N2181" s="243">
        <f>MONTH(Tableau13[[#This Row],[Date fin intervention]])</f>
        <v>5</v>
      </c>
      <c r="O2181" s="243">
        <f>YEAR(Tableau13[[#This Row],[Date fin intervention]])</f>
        <v>2022</v>
      </c>
      <c r="P2181" s="241"/>
    </row>
    <row r="2182" spans="1:16">
      <c r="A2182" s="238">
        <v>44704</v>
      </c>
      <c r="B2182" s="239">
        <v>582</v>
      </c>
      <c r="C2182" s="240" t="str">
        <f>IF(ISNA(VLOOKUP(Tableau13[[#This Row],[Code machine]],'CODE mchn'!$A$4:$C$170,2,0)),"",VLOOKUP(Tableau13[[#This Row],[Code machine]],'CODE mchn'!$A$4:$C$170,2,0))</f>
        <v>Acier</v>
      </c>
      <c r="D2182" s="241" t="str">
        <f>IF(ISNA(VLOOKUP(Tableau13[[#This Row],[Code machine]],'CODE mchn'!$A$4:$C$170,3,0)),"",VLOOKUP(Tableau13[[#This Row],[Code machine]],'CODE mchn'!$A$4:$C$170,3,0))</f>
        <v>Teurema 2</v>
      </c>
      <c r="E2182" s="239">
        <v>26951</v>
      </c>
      <c r="F2182" s="241"/>
      <c r="G2182" s="241" t="s">
        <v>4108</v>
      </c>
      <c r="H2182" s="241" t="s">
        <v>4109</v>
      </c>
      <c r="I2182" s="241" t="s">
        <v>13</v>
      </c>
      <c r="J2182" s="249" t="s">
        <v>302</v>
      </c>
      <c r="K2182" s="242">
        <v>44704</v>
      </c>
      <c r="L2182" s="241"/>
      <c r="M2182" s="243">
        <v>120</v>
      </c>
      <c r="N2182" s="243">
        <f>MONTH(Tableau13[[#This Row],[Date fin intervention]])</f>
        <v>5</v>
      </c>
      <c r="O2182" s="243">
        <f>YEAR(Tableau13[[#This Row],[Date fin intervention]])</f>
        <v>2022</v>
      </c>
      <c r="P2182" s="241"/>
    </row>
    <row r="2183" spans="1:16">
      <c r="A2183" s="238">
        <v>44705</v>
      </c>
      <c r="B2183" s="239">
        <v>605</v>
      </c>
      <c r="C2183" s="240" t="str">
        <f>IF(ISNA(VLOOKUP(Tableau13[[#This Row],[Code machine]],'CODE mchn'!$A$4:$C$170,2,0)),"",VLOOKUP(Tableau13[[#This Row],[Code machine]],'CODE mchn'!$A$4:$C$170,2,0))</f>
        <v>Acier</v>
      </c>
      <c r="D2183" s="241" t="str">
        <f>IF(ISNA(VLOOKUP(Tableau13[[#This Row],[Code machine]],'CODE mchn'!$A$4:$C$170,3,0)),"",VLOOKUP(Tableau13[[#This Row],[Code machine]],'CODE mchn'!$A$4:$C$170,3,0))</f>
        <v>Vitari 1</v>
      </c>
      <c r="E2183" s="239">
        <v>26688</v>
      </c>
      <c r="F2183" s="241"/>
      <c r="G2183" s="241" t="s">
        <v>664</v>
      </c>
      <c r="H2183" s="241" t="s">
        <v>1306</v>
      </c>
      <c r="I2183" s="241" t="s">
        <v>13</v>
      </c>
      <c r="J2183" s="249" t="s">
        <v>3996</v>
      </c>
      <c r="K2183" s="242">
        <v>44705</v>
      </c>
      <c r="L2183" s="241"/>
      <c r="M2183" s="243">
        <f>4*60</f>
        <v>240</v>
      </c>
      <c r="N2183" s="243">
        <f>MONTH(Tableau13[[#This Row],[Date fin intervention]])</f>
        <v>5</v>
      </c>
      <c r="O2183" s="243">
        <f>YEAR(Tableau13[[#This Row],[Date fin intervention]])</f>
        <v>2022</v>
      </c>
      <c r="P2183" s="241"/>
    </row>
    <row r="2184" spans="1:16">
      <c r="A2184" s="238">
        <v>44705</v>
      </c>
      <c r="B2184" s="239">
        <v>565</v>
      </c>
      <c r="C2184" s="240" t="str">
        <f>IF(ISNA(VLOOKUP(Tableau13[[#This Row],[Code machine]],'CODE mchn'!$A$4:$C$170,2,0)),"",VLOOKUP(Tableau13[[#This Row],[Code machine]],'CODE mchn'!$A$4:$C$170,2,0))</f>
        <v>Acier</v>
      </c>
      <c r="D2184" s="241" t="str">
        <f>IF(ISNA(VLOOKUP(Tableau13[[#This Row],[Code machine]],'CODE mchn'!$A$4:$C$170,3,0)),"",VLOOKUP(Tableau13[[#This Row],[Code machine]],'CODE mchn'!$A$4:$C$170,3,0))</f>
        <v>EVG GE12</v>
      </c>
      <c r="E2184" s="239">
        <v>26689</v>
      </c>
      <c r="F2184" s="241"/>
      <c r="G2184" s="241" t="s">
        <v>3997</v>
      </c>
      <c r="H2184" s="241" t="s">
        <v>3998</v>
      </c>
      <c r="I2184" s="241" t="s">
        <v>13</v>
      </c>
      <c r="J2184" s="249" t="s">
        <v>3999</v>
      </c>
      <c r="K2184" s="242">
        <v>44705</v>
      </c>
      <c r="L2184" s="241"/>
      <c r="M2184" s="243">
        <v>40</v>
      </c>
      <c r="N2184" s="243">
        <f>MONTH(Tableau13[[#This Row],[Date fin intervention]])</f>
        <v>5</v>
      </c>
      <c r="O2184" s="243">
        <f>YEAR(Tableau13[[#This Row],[Date fin intervention]])</f>
        <v>2022</v>
      </c>
      <c r="P2184" s="241"/>
    </row>
    <row r="2185" spans="1:16">
      <c r="A2185" s="238">
        <v>44705</v>
      </c>
      <c r="B2185" s="239">
        <v>582</v>
      </c>
      <c r="C2185" s="240" t="str">
        <f>IF(ISNA(VLOOKUP(Tableau13[[#This Row],[Code machine]],'CODE mchn'!$A$4:$C$170,2,0)),"",VLOOKUP(Tableau13[[#This Row],[Code machine]],'CODE mchn'!$A$4:$C$170,2,0))</f>
        <v>Acier</v>
      </c>
      <c r="D2185" s="241" t="str">
        <f>IF(ISNA(VLOOKUP(Tableau13[[#This Row],[Code machine]],'CODE mchn'!$A$4:$C$170,3,0)),"",VLOOKUP(Tableau13[[#This Row],[Code machine]],'CODE mchn'!$A$4:$C$170,3,0))</f>
        <v>Teurema 2</v>
      </c>
      <c r="E2185" s="239">
        <v>26952</v>
      </c>
      <c r="F2185" s="241"/>
      <c r="G2185" s="241" t="s">
        <v>3183</v>
      </c>
      <c r="H2185" s="241" t="s">
        <v>4110</v>
      </c>
      <c r="I2185" s="241" t="s">
        <v>13</v>
      </c>
      <c r="J2185" s="249" t="s">
        <v>4111</v>
      </c>
      <c r="K2185" s="242">
        <v>44705</v>
      </c>
      <c r="L2185" s="241"/>
      <c r="M2185" s="243">
        <v>45</v>
      </c>
      <c r="N2185" s="243">
        <f>MONTH(Tableau13[[#This Row],[Date fin intervention]])</f>
        <v>5</v>
      </c>
      <c r="O2185" s="243">
        <f>YEAR(Tableau13[[#This Row],[Date fin intervention]])</f>
        <v>2022</v>
      </c>
      <c r="P2185" s="241"/>
    </row>
    <row r="2186" spans="1:16">
      <c r="A2186" s="238">
        <v>44706</v>
      </c>
      <c r="B2186" s="239">
        <v>800</v>
      </c>
      <c r="C2186" s="240" t="str">
        <f>IF(ISNA(VLOOKUP(Tableau13[[#This Row],[Code machine]],'CODE mchn'!$A$4:$C$170,2,0)),"",VLOOKUP(Tableau13[[#This Row],[Code machine]],'CODE mchn'!$A$4:$C$170,2,0))</f>
        <v>Béton</v>
      </c>
      <c r="D2186" s="241" t="str">
        <f>IF(ISNA(VLOOKUP(Tableau13[[#This Row],[Code machine]],'CODE mchn'!$A$4:$C$170,3,0)),"",VLOOKUP(Tableau13[[#This Row],[Code machine]],'CODE mchn'!$A$4:$C$170,3,0))</f>
        <v>Poyatos 2</v>
      </c>
      <c r="E2186" s="239">
        <v>26582</v>
      </c>
      <c r="F2186" s="241"/>
      <c r="G2186" s="241" t="s">
        <v>185</v>
      </c>
      <c r="H2186" s="241" t="s">
        <v>4013</v>
      </c>
      <c r="I2186" s="241" t="s">
        <v>13</v>
      </c>
      <c r="J2186" s="249" t="s">
        <v>4014</v>
      </c>
      <c r="K2186" s="242">
        <v>44706</v>
      </c>
      <c r="L2186" s="241"/>
      <c r="M2186" s="243">
        <v>215</v>
      </c>
      <c r="N2186" s="243">
        <f>MONTH(Tableau13[[#This Row],[Date fin intervention]])</f>
        <v>5</v>
      </c>
      <c r="O2186" s="243">
        <f>YEAR(Tableau13[[#This Row],[Date fin intervention]])</f>
        <v>2022</v>
      </c>
      <c r="P2186" s="241"/>
    </row>
    <row r="2187" spans="1:16">
      <c r="A2187" s="238">
        <v>44708</v>
      </c>
      <c r="B2187" s="239">
        <v>700</v>
      </c>
      <c r="C2187" s="240" t="str">
        <f>IF(ISNA(VLOOKUP(Tableau13[[#This Row],[Code machine]],'CODE mchn'!$A$4:$C$170,2,0)),"",VLOOKUP(Tableau13[[#This Row],[Code machine]],'CODE mchn'!$A$4:$C$170,2,0))</f>
        <v>Béton</v>
      </c>
      <c r="D2187" s="241" t="str">
        <f>IF(ISNA(VLOOKUP(Tableau13[[#This Row],[Code machine]],'CODE mchn'!$A$4:$C$170,3,0)),"",VLOOKUP(Tableau13[[#This Row],[Code machine]],'CODE mchn'!$A$4:$C$170,3,0))</f>
        <v>Poyatos 1</v>
      </c>
      <c r="E2187" s="239">
        <v>26583</v>
      </c>
      <c r="F2187" s="241"/>
      <c r="G2187" s="241" t="s">
        <v>291</v>
      </c>
      <c r="H2187" s="241" t="s">
        <v>4015</v>
      </c>
      <c r="I2187" s="241" t="s">
        <v>13</v>
      </c>
      <c r="J2187" s="249" t="s">
        <v>4016</v>
      </c>
      <c r="K2187" s="242">
        <v>44708</v>
      </c>
      <c r="L2187" s="241"/>
      <c r="M2187" s="243">
        <v>120</v>
      </c>
      <c r="N2187" s="243">
        <f>MONTH(Tableau13[[#This Row],[Date fin intervention]])</f>
        <v>5</v>
      </c>
      <c r="O2187" s="243">
        <f>YEAR(Tableau13[[#This Row],[Date fin intervention]])</f>
        <v>2022</v>
      </c>
      <c r="P2187" s="241"/>
    </row>
    <row r="2188" spans="1:16">
      <c r="A2188" s="238">
        <v>44709</v>
      </c>
      <c r="B2188" s="239">
        <v>800</v>
      </c>
      <c r="C2188" s="240" t="str">
        <f>IF(ISNA(VLOOKUP(Tableau13[[#This Row],[Code machine]],'CODE mchn'!$A$4:$C$170,2,0)),"",VLOOKUP(Tableau13[[#This Row],[Code machine]],'CODE mchn'!$A$4:$C$170,2,0))</f>
        <v>Béton</v>
      </c>
      <c r="D2188" s="241" t="str">
        <f>IF(ISNA(VLOOKUP(Tableau13[[#This Row],[Code machine]],'CODE mchn'!$A$4:$C$170,3,0)),"",VLOOKUP(Tableau13[[#This Row],[Code machine]],'CODE mchn'!$A$4:$C$170,3,0))</f>
        <v>Poyatos 2</v>
      </c>
      <c r="E2188" s="239">
        <v>26584</v>
      </c>
      <c r="F2188" s="241"/>
      <c r="G2188" s="241" t="s">
        <v>4017</v>
      </c>
      <c r="H2188" s="241" t="s">
        <v>4018</v>
      </c>
      <c r="I2188" s="241" t="s">
        <v>13</v>
      </c>
      <c r="J2188" s="249" t="s">
        <v>4019</v>
      </c>
      <c r="K2188" s="242">
        <v>44709</v>
      </c>
      <c r="L2188" s="241"/>
      <c r="M2188" s="243">
        <v>90</v>
      </c>
      <c r="N2188" s="243">
        <f>MONTH(Tableau13[[#This Row],[Date fin intervention]])</f>
        <v>5</v>
      </c>
      <c r="O2188" s="243">
        <f>YEAR(Tableau13[[#This Row],[Date fin intervention]])</f>
        <v>2022</v>
      </c>
      <c r="P2188" s="241"/>
    </row>
    <row r="2189" spans="1:16">
      <c r="A2189" s="238">
        <v>44709</v>
      </c>
      <c r="B2189" s="239">
        <v>582</v>
      </c>
      <c r="C2189" s="240" t="str">
        <f>IF(ISNA(VLOOKUP(Tableau13[[#This Row],[Code machine]],'CODE mchn'!$A$4:$C$170,2,0)),"",VLOOKUP(Tableau13[[#This Row],[Code machine]],'CODE mchn'!$A$4:$C$170,2,0))</f>
        <v>Acier</v>
      </c>
      <c r="D2189" s="241" t="str">
        <f>IF(ISNA(VLOOKUP(Tableau13[[#This Row],[Code machine]],'CODE mchn'!$A$4:$C$170,3,0)),"",VLOOKUP(Tableau13[[#This Row],[Code machine]],'CODE mchn'!$A$4:$C$170,3,0))</f>
        <v>Teurema 2</v>
      </c>
      <c r="E2189" s="239">
        <v>26953</v>
      </c>
      <c r="F2189" s="241"/>
      <c r="G2189" s="241" t="s">
        <v>1813</v>
      </c>
      <c r="H2189" s="241" t="s">
        <v>764</v>
      </c>
      <c r="I2189" s="241" t="s">
        <v>13</v>
      </c>
      <c r="J2189" s="249" t="s">
        <v>4112</v>
      </c>
      <c r="K2189" s="242">
        <v>44709</v>
      </c>
      <c r="L2189" s="241"/>
      <c r="M2189" s="243"/>
      <c r="N2189" s="243">
        <f>MONTH(Tableau13[[#This Row],[Date fin intervention]])</f>
        <v>5</v>
      </c>
      <c r="O2189" s="243">
        <f>YEAR(Tableau13[[#This Row],[Date fin intervention]])</f>
        <v>2022</v>
      </c>
      <c r="P2189" s="241"/>
    </row>
    <row r="2190" spans="1:16">
      <c r="A2190" s="238">
        <v>44709</v>
      </c>
      <c r="B2190" s="239">
        <v>580</v>
      </c>
      <c r="C2190" s="240" t="str">
        <f>IF(ISNA(VLOOKUP(Tableau13[[#This Row],[Code machine]],'CODE mchn'!$A$4:$C$170,2,0)),"",VLOOKUP(Tableau13[[#This Row],[Code machine]],'CODE mchn'!$A$4:$C$170,2,0))</f>
        <v>Acier</v>
      </c>
      <c r="D2190" s="241" t="str">
        <f>IF(ISNA(VLOOKUP(Tableau13[[#This Row],[Code machine]],'CODE mchn'!$A$4:$C$170,3,0)),"",VLOOKUP(Tableau13[[#This Row],[Code machine]],'CODE mchn'!$A$4:$C$170,3,0))</f>
        <v>Techno Impiante</v>
      </c>
      <c r="E2190" s="239">
        <v>26954</v>
      </c>
      <c r="F2190" s="241"/>
      <c r="G2190" s="241" t="s">
        <v>78</v>
      </c>
      <c r="H2190" s="241" t="s">
        <v>4114</v>
      </c>
      <c r="I2190" s="241" t="s">
        <v>101</v>
      </c>
      <c r="J2190" s="249" t="s">
        <v>4115</v>
      </c>
      <c r="K2190" s="242">
        <v>44709</v>
      </c>
      <c r="L2190" s="241"/>
      <c r="M2190" s="243">
        <v>90</v>
      </c>
      <c r="N2190" s="243">
        <f>MONTH(Tableau13[[#This Row],[Date fin intervention]])</f>
        <v>5</v>
      </c>
      <c r="O2190" s="243">
        <f>YEAR(Tableau13[[#This Row],[Date fin intervention]])</f>
        <v>2022</v>
      </c>
      <c r="P2190" s="241"/>
    </row>
    <row r="2191" spans="1:16">
      <c r="A2191" s="104">
        <v>44709</v>
      </c>
      <c r="B2191" s="105">
        <v>580</v>
      </c>
      <c r="C2191" s="106" t="str">
        <f>IF(ISNA(VLOOKUP(Tableau13[[#This Row],[Code machine]],'CODE mchn'!$A$4:$C$170,2,0)),"",VLOOKUP(Tableau13[[#This Row],[Code machine]],'CODE mchn'!$A$4:$C$170,2,0))</f>
        <v>Acier</v>
      </c>
      <c r="D2191" s="36" t="str">
        <f>IF(ISNA(VLOOKUP(Tableau13[[#This Row],[Code machine]],'CODE mchn'!$A$4:$C$170,3,0)),"",VLOOKUP(Tableau13[[#This Row],[Code machine]],'CODE mchn'!$A$4:$C$170,3,0))</f>
        <v>Techno Impiante</v>
      </c>
      <c r="E2191" s="105">
        <v>26955</v>
      </c>
      <c r="F2191" s="36"/>
      <c r="G2191" s="36" t="s">
        <v>612</v>
      </c>
      <c r="H2191" s="36" t="s">
        <v>4136</v>
      </c>
      <c r="I2191" s="36" t="s">
        <v>13</v>
      </c>
      <c r="J2191" s="252" t="s">
        <v>1915</v>
      </c>
      <c r="K2191" s="71">
        <v>44709</v>
      </c>
      <c r="L2191" s="36"/>
      <c r="M2191" s="108">
        <v>120</v>
      </c>
      <c r="N2191" s="108">
        <f>MONTH(Tableau13[[#This Row],[Date fin intervention]])</f>
        <v>5</v>
      </c>
      <c r="O2191" s="108">
        <f>YEAR(Tableau13[[#This Row],[Date fin intervention]])</f>
        <v>2022</v>
      </c>
      <c r="P2191" s="36"/>
    </row>
    <row r="2192" spans="1:16">
      <c r="A2192" s="104">
        <v>44709</v>
      </c>
      <c r="B2192" s="105">
        <v>580</v>
      </c>
      <c r="C2192" s="106" t="str">
        <f>IF(ISNA(VLOOKUP(Tableau13[[#This Row],[Code machine]],'CODE mchn'!$A$4:$C$170,2,0)),"",VLOOKUP(Tableau13[[#This Row],[Code machine]],'CODE mchn'!$A$4:$C$170,2,0))</f>
        <v>Acier</v>
      </c>
      <c r="D2192" s="36" t="str">
        <f>IF(ISNA(VLOOKUP(Tableau13[[#This Row],[Code machine]],'CODE mchn'!$A$4:$C$170,3,0)),"",VLOOKUP(Tableau13[[#This Row],[Code machine]],'CODE mchn'!$A$4:$C$170,3,0))</f>
        <v>Techno Impiante</v>
      </c>
      <c r="E2192" s="105">
        <v>26956</v>
      </c>
      <c r="F2192" s="36"/>
      <c r="G2192" s="36" t="s">
        <v>612</v>
      </c>
      <c r="H2192" s="36" t="s">
        <v>4137</v>
      </c>
      <c r="I2192" s="36" t="s">
        <v>13</v>
      </c>
      <c r="J2192" s="252" t="s">
        <v>4138</v>
      </c>
      <c r="K2192" s="71">
        <v>44709</v>
      </c>
      <c r="L2192" s="36"/>
      <c r="M2192" s="108">
        <v>90</v>
      </c>
      <c r="N2192" s="108">
        <f>MONTH(Tableau13[[#This Row],[Date fin intervention]])</f>
        <v>5</v>
      </c>
      <c r="O2192" s="108">
        <f>YEAR(Tableau13[[#This Row],[Date fin intervention]])</f>
        <v>2022</v>
      </c>
      <c r="P2192" s="36"/>
    </row>
    <row r="2193" spans="1:16">
      <c r="A2193" s="104">
        <v>44709</v>
      </c>
      <c r="B2193" s="105">
        <v>580</v>
      </c>
      <c r="C2193" s="106" t="str">
        <f>IF(ISNA(VLOOKUP(Tableau13[[#This Row],[Code machine]],'CODE mchn'!$A$4:$C$170,2,0)),"",VLOOKUP(Tableau13[[#This Row],[Code machine]],'CODE mchn'!$A$4:$C$170,2,0))</f>
        <v>Acier</v>
      </c>
      <c r="D2193" s="36" t="str">
        <f>IF(ISNA(VLOOKUP(Tableau13[[#This Row],[Code machine]],'CODE mchn'!$A$4:$C$170,3,0)),"",VLOOKUP(Tableau13[[#This Row],[Code machine]],'CODE mchn'!$A$4:$C$170,3,0))</f>
        <v>Techno Impiante</v>
      </c>
      <c r="E2193" s="105">
        <v>26957</v>
      </c>
      <c r="F2193" s="36"/>
      <c r="G2193" s="36" t="s">
        <v>700</v>
      </c>
      <c r="H2193" s="36" t="s">
        <v>2975</v>
      </c>
      <c r="I2193" s="36" t="s">
        <v>13</v>
      </c>
      <c r="J2193" s="252" t="s">
        <v>4139</v>
      </c>
      <c r="K2193" s="71">
        <v>44709</v>
      </c>
      <c r="L2193" s="36"/>
      <c r="M2193" s="108">
        <v>8</v>
      </c>
      <c r="N2193" s="108">
        <f>MONTH(Tableau13[[#This Row],[Date fin intervention]])</f>
        <v>5</v>
      </c>
      <c r="O2193" s="108">
        <f>YEAR(Tableau13[[#This Row],[Date fin intervention]])</f>
        <v>2022</v>
      </c>
      <c r="P2193" s="36"/>
    </row>
    <row r="2194" spans="1:16">
      <c r="A2194" s="238">
        <v>44711</v>
      </c>
      <c r="B2194" s="239">
        <v>700</v>
      </c>
      <c r="C2194" s="240" t="str">
        <f>IF(ISNA(VLOOKUP(Tableau13[[#This Row],[Code machine]],'CODE mchn'!$A$4:$C$170,2,0)),"",VLOOKUP(Tableau13[[#This Row],[Code machine]],'CODE mchn'!$A$4:$C$170,2,0))</f>
        <v>Béton</v>
      </c>
      <c r="D2194" s="241" t="str">
        <f>IF(ISNA(VLOOKUP(Tableau13[[#This Row],[Code machine]],'CODE mchn'!$A$4:$C$170,3,0)),"",VLOOKUP(Tableau13[[#This Row],[Code machine]],'CODE mchn'!$A$4:$C$170,3,0))</f>
        <v>Poyatos 1</v>
      </c>
      <c r="E2194" s="239">
        <v>26585</v>
      </c>
      <c r="F2194" s="241"/>
      <c r="G2194" s="241" t="s">
        <v>118</v>
      </c>
      <c r="H2194" s="241" t="s">
        <v>4020</v>
      </c>
      <c r="I2194" s="241" t="s">
        <v>13</v>
      </c>
      <c r="J2194" s="249" t="s">
        <v>4021</v>
      </c>
      <c r="K2194" s="242">
        <v>44711</v>
      </c>
      <c r="L2194" s="241"/>
      <c r="M2194" s="243">
        <v>120</v>
      </c>
      <c r="N2194" s="243">
        <f>MONTH(Tableau13[[#This Row],[Date fin intervention]])</f>
        <v>5</v>
      </c>
      <c r="O2194" s="243">
        <f>YEAR(Tableau13[[#This Row],[Date fin intervention]])</f>
        <v>2022</v>
      </c>
      <c r="P2194" s="241"/>
    </row>
    <row r="2195" spans="1:16">
      <c r="A2195" s="238">
        <v>44713</v>
      </c>
      <c r="B2195" s="239">
        <v>581</v>
      </c>
      <c r="C2195" s="240" t="str">
        <f>IF(ISNA(VLOOKUP(Tableau13[[#This Row],[Code machine]],'CODE mchn'!$A$4:$C$170,2,0)),"",VLOOKUP(Tableau13[[#This Row],[Code machine]],'CODE mchn'!$A$4:$C$170,2,0))</f>
        <v>Acier</v>
      </c>
      <c r="D2195" s="241" t="str">
        <f>IF(ISNA(VLOOKUP(Tableau13[[#This Row],[Code machine]],'CODE mchn'!$A$4:$C$170,3,0)),"",VLOOKUP(Tableau13[[#This Row],[Code machine]],'CODE mchn'!$A$4:$C$170,3,0))</f>
        <v>Teurema 1</v>
      </c>
      <c r="E2195" s="239">
        <v>24501</v>
      </c>
      <c r="F2195" s="241" t="s">
        <v>4140</v>
      </c>
      <c r="G2195" s="241" t="s">
        <v>2801</v>
      </c>
      <c r="H2195" s="241" t="s">
        <v>2795</v>
      </c>
      <c r="I2195" s="241" t="s">
        <v>107</v>
      </c>
      <c r="J2195" s="249" t="s">
        <v>2796</v>
      </c>
      <c r="K2195" s="242">
        <v>44713</v>
      </c>
      <c r="L2195" s="241"/>
      <c r="M2195" s="243"/>
      <c r="N2195" s="243">
        <f>MONTH(Tableau13[[#This Row],[Date fin intervention]])</f>
        <v>6</v>
      </c>
      <c r="O2195" s="243">
        <f>YEAR(Tableau13[[#This Row],[Date fin intervention]])</f>
        <v>2022</v>
      </c>
      <c r="P2195" s="241"/>
    </row>
    <row r="2196" spans="1:16">
      <c r="A2196" s="238">
        <v>44713</v>
      </c>
      <c r="B2196" s="239">
        <v>582</v>
      </c>
      <c r="C2196" s="240" t="str">
        <f>IF(ISNA(VLOOKUP(Tableau13[[#This Row],[Code machine]],'CODE mchn'!$A$4:$C$170,2,0)),"",VLOOKUP(Tableau13[[#This Row],[Code machine]],'CODE mchn'!$A$4:$C$170,2,0))</f>
        <v>Acier</v>
      </c>
      <c r="D2196" s="241" t="str">
        <f>IF(ISNA(VLOOKUP(Tableau13[[#This Row],[Code machine]],'CODE mchn'!$A$4:$C$170,3,0)),"",VLOOKUP(Tableau13[[#This Row],[Code machine]],'CODE mchn'!$A$4:$C$170,3,0))</f>
        <v>Teurema 2</v>
      </c>
      <c r="E2196" s="239">
        <v>24502</v>
      </c>
      <c r="F2196" s="241" t="s">
        <v>4140</v>
      </c>
      <c r="G2196" s="241" t="s">
        <v>1640</v>
      </c>
      <c r="H2196" s="241" t="s">
        <v>2797</v>
      </c>
      <c r="I2196" s="241" t="s">
        <v>107</v>
      </c>
      <c r="J2196" s="249" t="s">
        <v>2798</v>
      </c>
      <c r="K2196" s="242">
        <v>44713</v>
      </c>
      <c r="L2196" s="241"/>
      <c r="M2196" s="243">
        <v>30</v>
      </c>
      <c r="N2196" s="243">
        <f>MONTH(Tableau13[[#This Row],[Date fin intervention]])</f>
        <v>6</v>
      </c>
      <c r="O2196" s="243">
        <f>YEAR(Tableau13[[#This Row],[Date fin intervention]])</f>
        <v>2022</v>
      </c>
      <c r="P2196" s="241"/>
    </row>
    <row r="2197" spans="1:16">
      <c r="A2197" s="238">
        <v>44713</v>
      </c>
      <c r="B2197" s="239">
        <v>581</v>
      </c>
      <c r="C2197" s="240" t="str">
        <f>IF(ISNA(VLOOKUP(Tableau13[[#This Row],[Code machine]],'CODE mchn'!$A$4:$C$170,2,0)),"",VLOOKUP(Tableau13[[#This Row],[Code machine]],'CODE mchn'!$A$4:$C$170,2,0))</f>
        <v>Acier</v>
      </c>
      <c r="D2197" s="241" t="str">
        <f>IF(ISNA(VLOOKUP(Tableau13[[#This Row],[Code machine]],'CODE mchn'!$A$4:$C$170,3,0)),"",VLOOKUP(Tableau13[[#This Row],[Code machine]],'CODE mchn'!$A$4:$C$170,3,0))</f>
        <v>Teurema 1</v>
      </c>
      <c r="E2197" s="239">
        <v>24503</v>
      </c>
      <c r="F2197" s="241" t="s">
        <v>4140</v>
      </c>
      <c r="G2197" s="241" t="s">
        <v>2801</v>
      </c>
      <c r="H2197" s="241" t="s">
        <v>2799</v>
      </c>
      <c r="I2197" s="241" t="s">
        <v>107</v>
      </c>
      <c r="J2197" s="249" t="s">
        <v>2800</v>
      </c>
      <c r="K2197" s="242">
        <v>44713</v>
      </c>
      <c r="L2197" s="241"/>
      <c r="M2197" s="243">
        <v>180</v>
      </c>
      <c r="N2197" s="243">
        <f>MONTH(Tableau13[[#This Row],[Date fin intervention]])</f>
        <v>6</v>
      </c>
      <c r="O2197" s="243">
        <f>YEAR(Tableau13[[#This Row],[Date fin intervention]])</f>
        <v>2022</v>
      </c>
      <c r="P2197" s="241"/>
    </row>
    <row r="2198" spans="1:16">
      <c r="A2198" s="238">
        <v>44713</v>
      </c>
      <c r="B2198" s="239">
        <v>700</v>
      </c>
      <c r="C2198" s="240" t="str">
        <f>IF(ISNA(VLOOKUP(Tableau13[[#This Row],[Code machine]],'CODE mchn'!$A$4:$C$170,2,0)),"",VLOOKUP(Tableau13[[#This Row],[Code machine]],'CODE mchn'!$A$4:$C$170,2,0))</f>
        <v>Béton</v>
      </c>
      <c r="D2198" s="241" t="str">
        <f>IF(ISNA(VLOOKUP(Tableau13[[#This Row],[Code machine]],'CODE mchn'!$A$4:$C$170,3,0)),"",VLOOKUP(Tableau13[[#This Row],[Code machine]],'CODE mchn'!$A$4:$C$170,3,0))</f>
        <v>Poyatos 1</v>
      </c>
      <c r="E2198" s="239">
        <v>25501</v>
      </c>
      <c r="F2198" s="241" t="s">
        <v>4140</v>
      </c>
      <c r="G2198" s="241" t="s">
        <v>2816</v>
      </c>
      <c r="H2198" s="241" t="s">
        <v>2870</v>
      </c>
      <c r="I2198" s="241" t="s">
        <v>107</v>
      </c>
      <c r="J2198" s="249" t="s">
        <v>2817</v>
      </c>
      <c r="K2198" s="242">
        <v>44713</v>
      </c>
      <c r="L2198" s="241"/>
      <c r="M2198" s="243">
        <v>45</v>
      </c>
      <c r="N2198" s="243">
        <f>MONTH(Tableau13[[#This Row],[Date fin intervention]])</f>
        <v>6</v>
      </c>
      <c r="O2198" s="243">
        <f>YEAR(Tableau13[[#This Row],[Date fin intervention]])</f>
        <v>2022</v>
      </c>
      <c r="P2198" s="241"/>
    </row>
    <row r="2199" spans="1:16">
      <c r="A2199" s="238">
        <v>44713</v>
      </c>
      <c r="B2199" s="239">
        <v>700</v>
      </c>
      <c r="C2199" s="240" t="str">
        <f>IF(ISNA(VLOOKUP(Tableau13[[#This Row],[Code machine]],'CODE mchn'!$A$4:$C$170,2,0)),"",VLOOKUP(Tableau13[[#This Row],[Code machine]],'CODE mchn'!$A$4:$C$170,2,0))</f>
        <v>Béton</v>
      </c>
      <c r="D2199" s="241" t="str">
        <f>IF(ISNA(VLOOKUP(Tableau13[[#This Row],[Code machine]],'CODE mchn'!$A$4:$C$170,3,0)),"",VLOOKUP(Tableau13[[#This Row],[Code machine]],'CODE mchn'!$A$4:$C$170,3,0))</f>
        <v>Poyatos 1</v>
      </c>
      <c r="E2199" s="239">
        <v>25502</v>
      </c>
      <c r="F2199" s="241" t="s">
        <v>4140</v>
      </c>
      <c r="G2199" s="241" t="s">
        <v>2818</v>
      </c>
      <c r="H2199" s="241" t="s">
        <v>2819</v>
      </c>
      <c r="I2199" s="241" t="s">
        <v>107</v>
      </c>
      <c r="J2199" s="249" t="s">
        <v>2820</v>
      </c>
      <c r="K2199" s="242">
        <v>44713</v>
      </c>
      <c r="L2199" s="241"/>
      <c r="M2199" s="243">
        <v>60</v>
      </c>
      <c r="N2199" s="243">
        <f>MONTH(Tableau13[[#This Row],[Date fin intervention]])</f>
        <v>6</v>
      </c>
      <c r="O2199" s="243">
        <f>YEAR(Tableau13[[#This Row],[Date fin intervention]])</f>
        <v>2022</v>
      </c>
      <c r="P2199" s="241"/>
    </row>
    <row r="2200" spans="1:16">
      <c r="A2200" s="238">
        <v>44713</v>
      </c>
      <c r="B2200" s="239">
        <v>565</v>
      </c>
      <c r="C2200" s="240" t="str">
        <f>IF(ISNA(VLOOKUP(Tableau13[[#This Row],[Code machine]],'CODE mchn'!$A$4:$C$170,2,0)),"",VLOOKUP(Tableau13[[#This Row],[Code machine]],'CODE mchn'!$A$4:$C$170,2,0))</f>
        <v>Acier</v>
      </c>
      <c r="D2200" s="241" t="str">
        <f>IF(ISNA(VLOOKUP(Tableau13[[#This Row],[Code machine]],'CODE mchn'!$A$4:$C$170,3,0)),"",VLOOKUP(Tableau13[[#This Row],[Code machine]],'CODE mchn'!$A$4:$C$170,3,0))</f>
        <v>EVG GE12</v>
      </c>
      <c r="E2200" s="239">
        <v>25551</v>
      </c>
      <c r="F2200" s="241" t="s">
        <v>4140</v>
      </c>
      <c r="G2200" s="241" t="s">
        <v>2853</v>
      </c>
      <c r="H2200" s="241" t="s">
        <v>2854</v>
      </c>
      <c r="I2200" s="241" t="s">
        <v>107</v>
      </c>
      <c r="J2200" s="249" t="s">
        <v>2855</v>
      </c>
      <c r="K2200" s="242">
        <v>44713</v>
      </c>
      <c r="L2200" s="241"/>
      <c r="M2200" s="243">
        <v>25</v>
      </c>
      <c r="N2200" s="243">
        <f>MONTH(Tableau13[[#This Row],[Date fin intervention]])</f>
        <v>6</v>
      </c>
      <c r="O2200" s="243">
        <f>YEAR(Tableau13[[#This Row],[Date fin intervention]])</f>
        <v>2022</v>
      </c>
      <c r="P2200" s="241"/>
    </row>
    <row r="2201" spans="1:16">
      <c r="A2201" s="238">
        <v>44713</v>
      </c>
      <c r="B2201" s="239">
        <v>607</v>
      </c>
      <c r="C2201" s="240" t="str">
        <f>IF(ISNA(VLOOKUP(Tableau13[[#This Row],[Code machine]],'CODE mchn'!$A$4:$C$170,2,0)),"",VLOOKUP(Tableau13[[#This Row],[Code machine]],'CODE mchn'!$A$4:$C$170,2,0))</f>
        <v>Acier</v>
      </c>
      <c r="D2201" s="241" t="str">
        <f>IF(ISNA(VLOOKUP(Tableau13[[#This Row],[Code machine]],'CODE mchn'!$A$4:$C$170,3,0)),"",VLOOKUP(Tableau13[[#This Row],[Code machine]],'CODE mchn'!$A$4:$C$170,3,0))</f>
        <v>Vitari 3</v>
      </c>
      <c r="E2201" s="239"/>
      <c r="F2201" s="241" t="s">
        <v>4140</v>
      </c>
      <c r="G2201" s="241" t="s">
        <v>10</v>
      </c>
      <c r="H2201" s="241" t="s">
        <v>479</v>
      </c>
      <c r="I2201" s="241"/>
      <c r="J2201" s="249" t="s">
        <v>2893</v>
      </c>
      <c r="K2201" s="242">
        <v>44742</v>
      </c>
      <c r="L2201" s="241"/>
      <c r="M2201" s="243">
        <v>24960</v>
      </c>
      <c r="N2201" s="243">
        <f>MONTH(Tableau13[[#This Row],[Date fin intervention]])</f>
        <v>6</v>
      </c>
      <c r="O2201" s="243">
        <f>YEAR(Tableau13[[#This Row],[Date fin intervention]])</f>
        <v>2022</v>
      </c>
      <c r="P2201" s="241"/>
    </row>
    <row r="2202" spans="1:16" ht="28.5">
      <c r="A2202" s="238">
        <v>44714</v>
      </c>
      <c r="B2202" s="239">
        <v>562</v>
      </c>
      <c r="C2202" s="240" t="str">
        <f>IF(ISNA(VLOOKUP(Tableau13[[#This Row],[Code machine]],'CODE mchn'!$A$4:$C$170,2,0)),"",VLOOKUP(Tableau13[[#This Row],[Code machine]],'CODE mchn'!$A$4:$C$170,2,0))</f>
        <v>Ponts roulants</v>
      </c>
      <c r="D2202" s="241" t="str">
        <f>IF(ISNA(VLOOKUP(Tableau13[[#This Row],[Code machine]],'CODE mchn'!$A$4:$C$170,3,0)),"",VLOOKUP(Tableau13[[#This Row],[Code machine]],'CODE mchn'!$A$4:$C$170,3,0))</f>
        <v>Pont roulant GH Beasain 12T</v>
      </c>
      <c r="E2202" s="239">
        <v>26524</v>
      </c>
      <c r="F2202" s="241"/>
      <c r="G2202" s="241" t="s">
        <v>1347</v>
      </c>
      <c r="H2202" s="241" t="s">
        <v>3228</v>
      </c>
      <c r="I2202" s="241" t="s">
        <v>13</v>
      </c>
      <c r="J2202" s="249" t="s">
        <v>4098</v>
      </c>
      <c r="K2202" s="242">
        <v>44714</v>
      </c>
      <c r="L2202" s="241"/>
      <c r="M2202" s="243">
        <v>90</v>
      </c>
      <c r="N2202" s="243">
        <f>MONTH(Tableau13[[#This Row],[Date fin intervention]])</f>
        <v>6</v>
      </c>
      <c r="O2202" s="243">
        <f>YEAR(Tableau13[[#This Row],[Date fin intervention]])</f>
        <v>2022</v>
      </c>
      <c r="P2202" s="241"/>
    </row>
    <row r="2203" spans="1:16">
      <c r="A2203" s="238">
        <v>44714</v>
      </c>
      <c r="B2203" s="239">
        <v>800</v>
      </c>
      <c r="C2203" s="240" t="str">
        <f>IF(ISNA(VLOOKUP(Tableau13[[#This Row],[Code machine]],'CODE mchn'!$A$4:$C$170,2,0)),"",VLOOKUP(Tableau13[[#This Row],[Code machine]],'CODE mchn'!$A$4:$C$170,2,0))</f>
        <v>Béton</v>
      </c>
      <c r="D2203" s="241" t="str">
        <f>IF(ISNA(VLOOKUP(Tableau13[[#This Row],[Code machine]],'CODE mchn'!$A$4:$C$170,3,0)),"",VLOOKUP(Tableau13[[#This Row],[Code machine]],'CODE mchn'!$A$4:$C$170,3,0))</f>
        <v>Poyatos 2</v>
      </c>
      <c r="E2203" s="239">
        <v>25503</v>
      </c>
      <c r="F2203" s="241" t="s">
        <v>4140</v>
      </c>
      <c r="G2203" s="241" t="s">
        <v>185</v>
      </c>
      <c r="H2203" s="241" t="s">
        <v>2821</v>
      </c>
      <c r="I2203" s="241" t="s">
        <v>8</v>
      </c>
      <c r="J2203" s="249" t="s">
        <v>2822</v>
      </c>
      <c r="K2203" s="242">
        <v>44714</v>
      </c>
      <c r="L2203" s="241"/>
      <c r="M2203" s="243">
        <v>120</v>
      </c>
      <c r="N2203" s="243">
        <f>MONTH(Tableau13[[#This Row],[Date fin intervention]])</f>
        <v>6</v>
      </c>
      <c r="O2203" s="243">
        <f>YEAR(Tableau13[[#This Row],[Date fin intervention]])</f>
        <v>2022</v>
      </c>
      <c r="P2203" s="241"/>
    </row>
    <row r="2204" spans="1:16">
      <c r="A2204" s="238">
        <v>44714</v>
      </c>
      <c r="B2204" s="239">
        <v>604</v>
      </c>
      <c r="C2204" s="240" t="str">
        <f>IF(ISNA(VLOOKUP(Tableau13[[#This Row],[Code machine]],'CODE mchn'!$A$4:$C$170,2,0)),"",VLOOKUP(Tableau13[[#This Row],[Code machine]],'CODE mchn'!$A$4:$C$170,2,0))</f>
        <v>Acier</v>
      </c>
      <c r="D2204" s="241" t="str">
        <f>IF(ISNA(VLOOKUP(Tableau13[[#This Row],[Code machine]],'CODE mchn'!$A$4:$C$170,3,0)),"",VLOOKUP(Tableau13[[#This Row],[Code machine]],'CODE mchn'!$A$4:$C$170,3,0))</f>
        <v>TI</v>
      </c>
      <c r="E2204" s="239">
        <v>24551</v>
      </c>
      <c r="F2204" s="241" t="s">
        <v>4140</v>
      </c>
      <c r="G2204" s="241" t="s">
        <v>10</v>
      </c>
      <c r="H2204" s="241" t="s">
        <v>2787</v>
      </c>
      <c r="I2204" s="241" t="s">
        <v>107</v>
      </c>
      <c r="J2204" s="249" t="s">
        <v>549</v>
      </c>
      <c r="K2204" s="242">
        <v>44714</v>
      </c>
      <c r="L2204" s="241"/>
      <c r="M2204" s="243">
        <v>60</v>
      </c>
      <c r="N2204" s="243">
        <f>MONTH(Tableau13[[#This Row],[Date fin intervention]])</f>
        <v>6</v>
      </c>
      <c r="O2204" s="243">
        <f>YEAR(Tableau13[[#This Row],[Date fin intervention]])</f>
        <v>2022</v>
      </c>
      <c r="P2204" s="241"/>
    </row>
    <row r="2205" spans="1:16">
      <c r="A2205" s="238">
        <v>44714</v>
      </c>
      <c r="B2205" s="239">
        <v>560</v>
      </c>
      <c r="C2205" s="240" t="str">
        <f>IF(ISNA(VLOOKUP(Tableau13[[#This Row],[Code machine]],'CODE mchn'!$A$4:$C$170,2,0)),"",VLOOKUP(Tableau13[[#This Row],[Code machine]],'CODE mchn'!$A$4:$C$170,2,0))</f>
        <v>Acier</v>
      </c>
      <c r="D2205" s="241" t="str">
        <f>IF(ISNA(VLOOKUP(Tableau13[[#This Row],[Code machine]],'CODE mchn'!$A$4:$C$170,3,0)),"",VLOOKUP(Tableau13[[#This Row],[Code machine]],'CODE mchn'!$A$4:$C$170,3,0))</f>
        <v>Schlatter</v>
      </c>
      <c r="E2205" s="239">
        <v>25552</v>
      </c>
      <c r="F2205" s="241" t="s">
        <v>4140</v>
      </c>
      <c r="G2205" s="241" t="s">
        <v>2856</v>
      </c>
      <c r="H2205" s="241" t="s">
        <v>2857</v>
      </c>
      <c r="I2205" s="241" t="s">
        <v>107</v>
      </c>
      <c r="J2205" s="249" t="s">
        <v>2858</v>
      </c>
      <c r="K2205" s="242">
        <v>44714</v>
      </c>
      <c r="L2205" s="241"/>
      <c r="M2205" s="243">
        <v>15</v>
      </c>
      <c r="N2205" s="243">
        <f>MONTH(Tableau13[[#This Row],[Date fin intervention]])</f>
        <v>6</v>
      </c>
      <c r="O2205" s="243">
        <f>YEAR(Tableau13[[#This Row],[Date fin intervention]])</f>
        <v>2022</v>
      </c>
      <c r="P2205" s="241"/>
    </row>
    <row r="2206" spans="1:16">
      <c r="A2206" s="238">
        <v>44715</v>
      </c>
      <c r="B2206" s="239">
        <v>580</v>
      </c>
      <c r="C2206" s="240" t="str">
        <f>IF(ISNA(VLOOKUP(Tableau13[[#This Row],[Code machine]],'CODE mchn'!$A$4:$C$170,2,0)),"",VLOOKUP(Tableau13[[#This Row],[Code machine]],'CODE mchn'!$A$4:$C$170,2,0))</f>
        <v>Acier</v>
      </c>
      <c r="D2206" s="241" t="str">
        <f>IF(ISNA(VLOOKUP(Tableau13[[#This Row],[Code machine]],'CODE mchn'!$A$4:$C$170,3,0)),"",VLOOKUP(Tableau13[[#This Row],[Code machine]],'CODE mchn'!$A$4:$C$170,3,0))</f>
        <v>Techno Impiante</v>
      </c>
      <c r="E2206" s="239">
        <v>26525</v>
      </c>
      <c r="F2206" s="241"/>
      <c r="G2206" s="241" t="s">
        <v>4099</v>
      </c>
      <c r="H2206" s="241" t="s">
        <v>507</v>
      </c>
      <c r="I2206" s="241" t="s">
        <v>13</v>
      </c>
      <c r="J2206" s="249" t="s">
        <v>2023</v>
      </c>
      <c r="K2206" s="242">
        <v>44715</v>
      </c>
      <c r="L2206" s="241"/>
      <c r="M2206" s="243">
        <v>120</v>
      </c>
      <c r="N2206" s="243">
        <f>MONTH(Tableau13[[#This Row],[Date fin intervention]])</f>
        <v>6</v>
      </c>
      <c r="O2206" s="243">
        <f>YEAR(Tableau13[[#This Row],[Date fin intervention]])</f>
        <v>2022</v>
      </c>
      <c r="P2206" s="241"/>
    </row>
    <row r="2207" spans="1:16">
      <c r="A2207" s="238">
        <v>44715</v>
      </c>
      <c r="B2207" s="239">
        <v>800</v>
      </c>
      <c r="C2207" s="240" t="str">
        <f>IF(ISNA(VLOOKUP(Tableau13[[#This Row],[Code machine]],'CODE mchn'!$A$4:$C$170,2,0)),"",VLOOKUP(Tableau13[[#This Row],[Code machine]],'CODE mchn'!$A$4:$C$170,2,0))</f>
        <v>Béton</v>
      </c>
      <c r="D2207" s="241" t="str">
        <f>IF(ISNA(VLOOKUP(Tableau13[[#This Row],[Code machine]],'CODE mchn'!$A$4:$C$170,3,0)),"",VLOOKUP(Tableau13[[#This Row],[Code machine]],'CODE mchn'!$A$4:$C$170,3,0))</f>
        <v>Poyatos 2</v>
      </c>
      <c r="E2207" s="239">
        <v>25504</v>
      </c>
      <c r="F2207" s="241" t="s">
        <v>4140</v>
      </c>
      <c r="G2207" s="241" t="s">
        <v>49</v>
      </c>
      <c r="H2207" s="241" t="s">
        <v>2823</v>
      </c>
      <c r="I2207" s="241" t="s">
        <v>107</v>
      </c>
      <c r="J2207" s="249" t="s">
        <v>2824</v>
      </c>
      <c r="K2207" s="242">
        <v>44715</v>
      </c>
      <c r="L2207" s="241"/>
      <c r="M2207" s="243">
        <v>60</v>
      </c>
      <c r="N2207" s="243">
        <f>MONTH(Tableau13[[#This Row],[Date fin intervention]])</f>
        <v>6</v>
      </c>
      <c r="O2207" s="243">
        <f>YEAR(Tableau13[[#This Row],[Date fin intervention]])</f>
        <v>2022</v>
      </c>
      <c r="P2207" s="241"/>
    </row>
    <row r="2208" spans="1:16">
      <c r="A2208" s="238">
        <v>44715</v>
      </c>
      <c r="B2208" s="239">
        <v>700</v>
      </c>
      <c r="C2208" s="240" t="str">
        <f>IF(ISNA(VLOOKUP(Tableau13[[#This Row],[Code machine]],'CODE mchn'!$A$4:$C$170,2,0)),"",VLOOKUP(Tableau13[[#This Row],[Code machine]],'CODE mchn'!$A$4:$C$170,2,0))</f>
        <v>Béton</v>
      </c>
      <c r="D2208" s="241" t="str">
        <f>IF(ISNA(VLOOKUP(Tableau13[[#This Row],[Code machine]],'CODE mchn'!$A$4:$C$170,3,0)),"",VLOOKUP(Tableau13[[#This Row],[Code machine]],'CODE mchn'!$A$4:$C$170,3,0))</f>
        <v>Poyatos 1</v>
      </c>
      <c r="E2208" s="239">
        <v>25505</v>
      </c>
      <c r="F2208" s="241" t="s">
        <v>4140</v>
      </c>
      <c r="G2208" s="241" t="s">
        <v>2774</v>
      </c>
      <c r="H2208" s="241" t="s">
        <v>2825</v>
      </c>
      <c r="I2208" s="241" t="s">
        <v>182</v>
      </c>
      <c r="J2208" s="249" t="s">
        <v>2826</v>
      </c>
      <c r="K2208" s="242">
        <v>44715</v>
      </c>
      <c r="L2208" s="241"/>
      <c r="M2208" s="243">
        <v>15</v>
      </c>
      <c r="N2208" s="243">
        <f>MONTH(Tableau13[[#This Row],[Date fin intervention]])</f>
        <v>6</v>
      </c>
      <c r="O2208" s="243">
        <f>YEAR(Tableau13[[#This Row],[Date fin intervention]])</f>
        <v>2022</v>
      </c>
      <c r="P2208" s="241"/>
    </row>
    <row r="2209" spans="1:16">
      <c r="A2209" s="238">
        <v>44715</v>
      </c>
      <c r="B2209" s="239">
        <v>700</v>
      </c>
      <c r="C2209" s="240" t="str">
        <f>IF(ISNA(VLOOKUP(Tableau13[[#This Row],[Code machine]],'CODE mchn'!$A$4:$C$170,2,0)),"",VLOOKUP(Tableau13[[#This Row],[Code machine]],'CODE mchn'!$A$4:$C$170,2,0))</f>
        <v>Béton</v>
      </c>
      <c r="D2209" s="241" t="str">
        <f>IF(ISNA(VLOOKUP(Tableau13[[#This Row],[Code machine]],'CODE mchn'!$A$4:$C$170,3,0)),"",VLOOKUP(Tableau13[[#This Row],[Code machine]],'CODE mchn'!$A$4:$C$170,3,0))</f>
        <v>Poyatos 1</v>
      </c>
      <c r="E2209" s="239">
        <v>25506</v>
      </c>
      <c r="F2209" s="241" t="s">
        <v>4140</v>
      </c>
      <c r="G2209" s="241" t="s">
        <v>2827</v>
      </c>
      <c r="H2209" s="241" t="s">
        <v>2828</v>
      </c>
      <c r="I2209" s="241" t="s">
        <v>107</v>
      </c>
      <c r="J2209" s="249" t="s">
        <v>2829</v>
      </c>
      <c r="K2209" s="242">
        <v>44715</v>
      </c>
      <c r="L2209" s="241"/>
      <c r="M2209" s="243">
        <v>35</v>
      </c>
      <c r="N2209" s="243">
        <f>MONTH(Tableau13[[#This Row],[Date fin intervention]])</f>
        <v>6</v>
      </c>
      <c r="O2209" s="243">
        <f>YEAR(Tableau13[[#This Row],[Date fin intervention]])</f>
        <v>2022</v>
      </c>
      <c r="P2209" s="241"/>
    </row>
    <row r="2210" spans="1:16">
      <c r="A2210" s="238">
        <v>44716</v>
      </c>
      <c r="B2210" s="239">
        <v>700</v>
      </c>
      <c r="C2210" s="240" t="str">
        <f>IF(ISNA(VLOOKUP(Tableau13[[#This Row],[Code machine]],'CODE mchn'!$A$4:$C$170,2,0)),"",VLOOKUP(Tableau13[[#This Row],[Code machine]],'CODE mchn'!$A$4:$C$170,2,0))</f>
        <v>Béton</v>
      </c>
      <c r="D2210" s="241" t="str">
        <f>IF(ISNA(VLOOKUP(Tableau13[[#This Row],[Code machine]],'CODE mchn'!$A$4:$C$170,3,0)),"",VLOOKUP(Tableau13[[#This Row],[Code machine]],'CODE mchn'!$A$4:$C$170,3,0))</f>
        <v>Poyatos 1</v>
      </c>
      <c r="E2210" s="239">
        <v>26526</v>
      </c>
      <c r="F2210" s="241"/>
      <c r="G2210" s="241" t="s">
        <v>4100</v>
      </c>
      <c r="H2210" s="241" t="s">
        <v>4101</v>
      </c>
      <c r="I2210" s="241" t="s">
        <v>13</v>
      </c>
      <c r="J2210" s="249" t="s">
        <v>4102</v>
      </c>
      <c r="K2210" s="242">
        <v>44716</v>
      </c>
      <c r="L2210" s="241"/>
      <c r="M2210" s="243">
        <v>45</v>
      </c>
      <c r="N2210" s="243">
        <f>MONTH(Tableau13[[#This Row],[Date fin intervention]])</f>
        <v>6</v>
      </c>
      <c r="O2210" s="243">
        <f>YEAR(Tableau13[[#This Row],[Date fin intervention]])</f>
        <v>2022</v>
      </c>
      <c r="P2210" s="241"/>
    </row>
    <row r="2211" spans="1:16" ht="28.5">
      <c r="A2211" s="238">
        <v>44716</v>
      </c>
      <c r="B2211" s="239">
        <v>581</v>
      </c>
      <c r="C2211" s="240" t="str">
        <f>IF(ISNA(VLOOKUP(Tableau13[[#This Row],[Code machine]],'CODE mchn'!$A$4:$C$170,2,0)),"",VLOOKUP(Tableau13[[#This Row],[Code machine]],'CODE mchn'!$A$4:$C$170,2,0))</f>
        <v>Acier</v>
      </c>
      <c r="D2211" s="241" t="str">
        <f>IF(ISNA(VLOOKUP(Tableau13[[#This Row],[Code machine]],'CODE mchn'!$A$4:$C$170,3,0)),"",VLOOKUP(Tableau13[[#This Row],[Code machine]],'CODE mchn'!$A$4:$C$170,3,0))</f>
        <v>Teurema 1</v>
      </c>
      <c r="E2211" s="239">
        <v>24504</v>
      </c>
      <c r="F2211" s="241" t="s">
        <v>4140</v>
      </c>
      <c r="G2211" s="241" t="s">
        <v>2802</v>
      </c>
      <c r="H2211" s="241" t="s">
        <v>2803</v>
      </c>
      <c r="I2211" s="241" t="s">
        <v>107</v>
      </c>
      <c r="J2211" s="249" t="s">
        <v>2804</v>
      </c>
      <c r="K2211" s="242">
        <v>44716</v>
      </c>
      <c r="L2211" s="241"/>
      <c r="M2211" s="243">
        <v>150</v>
      </c>
      <c r="N2211" s="243">
        <f>MONTH(Tableau13[[#This Row],[Date fin intervention]])</f>
        <v>6</v>
      </c>
      <c r="O2211" s="243">
        <f>YEAR(Tableau13[[#This Row],[Date fin intervention]])</f>
        <v>2022</v>
      </c>
      <c r="P2211" s="241"/>
    </row>
    <row r="2212" spans="1:16" ht="28.5">
      <c r="A2212" s="238">
        <v>44716</v>
      </c>
      <c r="B2212" s="239">
        <v>571</v>
      </c>
      <c r="C2212" s="240" t="str">
        <f>IF(ISNA(VLOOKUP(Tableau13[[#This Row],[Code machine]],'CODE mchn'!$A$4:$C$170,2,0)),"",VLOOKUP(Tableau13[[#This Row],[Code machine]],'CODE mchn'!$A$4:$C$170,2,0))</f>
        <v>Acier</v>
      </c>
      <c r="D2212" s="241" t="str">
        <f>IF(ISNA(VLOOKUP(Tableau13[[#This Row],[Code machine]],'CODE mchn'!$A$4:$C$170,3,0)),"",VLOOKUP(Tableau13[[#This Row],[Code machine]],'CODE mchn'!$A$4:$C$170,3,0))</f>
        <v>EVG PN 1</v>
      </c>
      <c r="E2212" s="239">
        <v>24554</v>
      </c>
      <c r="F2212" s="241" t="s">
        <v>4140</v>
      </c>
      <c r="G2212" s="241" t="s">
        <v>2848</v>
      </c>
      <c r="H2212" s="241" t="s">
        <v>2849</v>
      </c>
      <c r="I2212" s="241" t="s">
        <v>107</v>
      </c>
      <c r="J2212" s="249" t="s">
        <v>2850</v>
      </c>
      <c r="K2212" s="242">
        <v>44716</v>
      </c>
      <c r="L2212" s="241"/>
      <c r="M2212" s="243">
        <v>45</v>
      </c>
      <c r="N2212" s="243">
        <f>MONTH(Tableau13[[#This Row],[Date fin intervention]])</f>
        <v>6</v>
      </c>
      <c r="O2212" s="243">
        <f>YEAR(Tableau13[[#This Row],[Date fin intervention]])</f>
        <v>2022</v>
      </c>
      <c r="P2212" s="241"/>
    </row>
    <row r="2213" spans="1:16">
      <c r="A2213" s="238">
        <v>44716</v>
      </c>
      <c r="B2213" s="239">
        <v>606</v>
      </c>
      <c r="C2213" s="240" t="str">
        <f>IF(ISNA(VLOOKUP(Tableau13[[#This Row],[Code machine]],'CODE mchn'!$A$4:$C$170,2,0)),"",VLOOKUP(Tableau13[[#This Row],[Code machine]],'CODE mchn'!$A$4:$C$170,2,0))</f>
        <v>Acier</v>
      </c>
      <c r="D2213" s="241" t="str">
        <f>IF(ISNA(VLOOKUP(Tableau13[[#This Row],[Code machine]],'CODE mchn'!$A$4:$C$170,3,0)),"",VLOOKUP(Tableau13[[#This Row],[Code machine]],'CODE mchn'!$A$4:$C$170,3,0))</f>
        <v>Vitari 2</v>
      </c>
      <c r="E2213" s="239">
        <v>25553</v>
      </c>
      <c r="F2213" s="241" t="s">
        <v>4140</v>
      </c>
      <c r="G2213" s="241" t="s">
        <v>2859</v>
      </c>
      <c r="H2213" s="241" t="s">
        <v>2860</v>
      </c>
      <c r="I2213" s="241" t="s">
        <v>107</v>
      </c>
      <c r="J2213" s="249" t="s">
        <v>2861</v>
      </c>
      <c r="K2213" s="242">
        <v>44716</v>
      </c>
      <c r="L2213" s="241"/>
      <c r="M2213" s="243">
        <v>45</v>
      </c>
      <c r="N2213" s="243">
        <f>MONTH(Tableau13[[#This Row],[Date fin intervention]])</f>
        <v>6</v>
      </c>
      <c r="O2213" s="243">
        <f>YEAR(Tableau13[[#This Row],[Date fin intervention]])</f>
        <v>2022</v>
      </c>
      <c r="P2213" s="241"/>
    </row>
    <row r="2214" spans="1:16">
      <c r="A2214" s="238">
        <v>44717</v>
      </c>
      <c r="B2214" s="239">
        <v>800</v>
      </c>
      <c r="C2214" s="240" t="str">
        <f>IF(ISNA(VLOOKUP(Tableau13[[#This Row],[Code machine]],'CODE mchn'!$A$4:$C$170,2,0)),"",VLOOKUP(Tableau13[[#This Row],[Code machine]],'CODE mchn'!$A$4:$C$170,2,0))</f>
        <v>Béton</v>
      </c>
      <c r="D2214" s="241" t="str">
        <f>IF(ISNA(VLOOKUP(Tableau13[[#This Row],[Code machine]],'CODE mchn'!$A$4:$C$170,3,0)),"",VLOOKUP(Tableau13[[#This Row],[Code machine]],'CODE mchn'!$A$4:$C$170,3,0))</f>
        <v>Poyatos 2</v>
      </c>
      <c r="E2214" s="239">
        <v>25507</v>
      </c>
      <c r="F2214" s="241" t="s">
        <v>4140</v>
      </c>
      <c r="G2214" s="241" t="s">
        <v>110</v>
      </c>
      <c r="H2214" s="241" t="s">
        <v>2830</v>
      </c>
      <c r="I2214" s="241" t="s">
        <v>107</v>
      </c>
      <c r="J2214" s="249" t="s">
        <v>2831</v>
      </c>
      <c r="K2214" s="242">
        <v>44717</v>
      </c>
      <c r="L2214" s="241"/>
      <c r="M2214" s="243">
        <v>90</v>
      </c>
      <c r="N2214" s="243">
        <f>MONTH(Tableau13[[#This Row],[Date fin intervention]])</f>
        <v>6</v>
      </c>
      <c r="O2214" s="243">
        <f>YEAR(Tableau13[[#This Row],[Date fin intervention]])</f>
        <v>2022</v>
      </c>
      <c r="P2214" s="241"/>
    </row>
    <row r="2215" spans="1:16">
      <c r="A2215" s="238">
        <v>44717</v>
      </c>
      <c r="B2215" s="239">
        <v>700</v>
      </c>
      <c r="C2215" s="240" t="str">
        <f>IF(ISNA(VLOOKUP(Tableau13[[#This Row],[Code machine]],'CODE mchn'!$A$4:$C$170,2,0)),"",VLOOKUP(Tableau13[[#This Row],[Code machine]],'CODE mchn'!$A$4:$C$170,2,0))</f>
        <v>Béton</v>
      </c>
      <c r="D2215" s="241" t="str">
        <f>IF(ISNA(VLOOKUP(Tableau13[[#This Row],[Code machine]],'CODE mchn'!$A$4:$C$170,3,0)),"",VLOOKUP(Tableau13[[#This Row],[Code machine]],'CODE mchn'!$A$4:$C$170,3,0))</f>
        <v>Poyatos 1</v>
      </c>
      <c r="E2215" s="239">
        <v>25508</v>
      </c>
      <c r="F2215" s="241" t="s">
        <v>4140</v>
      </c>
      <c r="G2215" s="241" t="s">
        <v>2832</v>
      </c>
      <c r="H2215" s="241" t="s">
        <v>2833</v>
      </c>
      <c r="I2215" s="241" t="s">
        <v>107</v>
      </c>
      <c r="J2215" s="249" t="s">
        <v>2834</v>
      </c>
      <c r="K2215" s="242">
        <v>44717</v>
      </c>
      <c r="L2215" s="241"/>
      <c r="M2215" s="243">
        <v>45</v>
      </c>
      <c r="N2215" s="243">
        <f>MONTH(Tableau13[[#This Row],[Date fin intervention]])</f>
        <v>6</v>
      </c>
      <c r="O2215" s="243">
        <f>YEAR(Tableau13[[#This Row],[Date fin intervention]])</f>
        <v>2022</v>
      </c>
      <c r="P2215" s="241"/>
    </row>
    <row r="2216" spans="1:16">
      <c r="A2216" s="238">
        <v>44717</v>
      </c>
      <c r="B2216" s="239">
        <v>620</v>
      </c>
      <c r="C2216" s="240" t="str">
        <f>IF(ISNA(VLOOKUP(Tableau13[[#This Row],[Code machine]],'CODE mchn'!$A$4:$C$170,2,0)),"",VLOOKUP(Tableau13[[#This Row],[Code machine]],'CODE mchn'!$A$4:$C$170,2,0))</f>
        <v>Acier</v>
      </c>
      <c r="D2216" s="241" t="str">
        <f>IF(ISNA(VLOOKUP(Tableau13[[#This Row],[Code machine]],'CODE mchn'!$A$4:$C$170,3,0)),"",VLOOKUP(Tableau13[[#This Row],[Code machine]],'CODE mchn'!$A$4:$C$170,3,0))</f>
        <v>EVG PN 2</v>
      </c>
      <c r="E2216" s="239">
        <v>24553</v>
      </c>
      <c r="F2216" s="241" t="s">
        <v>4140</v>
      </c>
      <c r="G2216" s="241" t="s">
        <v>2845</v>
      </c>
      <c r="H2216" s="241" t="s">
        <v>2846</v>
      </c>
      <c r="I2216" s="241" t="s">
        <v>107</v>
      </c>
      <c r="J2216" s="249" t="s">
        <v>2847</v>
      </c>
      <c r="K2216" s="242">
        <v>44717</v>
      </c>
      <c r="L2216" s="241"/>
      <c r="M2216" s="243">
        <v>30</v>
      </c>
      <c r="N2216" s="243">
        <f>MONTH(Tableau13[[#This Row],[Date fin intervention]])</f>
        <v>6</v>
      </c>
      <c r="O2216" s="243">
        <f>YEAR(Tableau13[[#This Row],[Date fin intervention]])</f>
        <v>2022</v>
      </c>
      <c r="P2216" s="241"/>
    </row>
    <row r="2217" spans="1:16">
      <c r="A2217" s="238">
        <v>44718</v>
      </c>
      <c r="B2217" s="239">
        <v>582</v>
      </c>
      <c r="C2217" s="240" t="str">
        <f>IF(ISNA(VLOOKUP(Tableau13[[#This Row],[Code machine]],'CODE mchn'!$A$4:$C$170,2,0)),"",VLOOKUP(Tableau13[[#This Row],[Code machine]],'CODE mchn'!$A$4:$C$170,2,0))</f>
        <v>Acier</v>
      </c>
      <c r="D2217" s="241" t="str">
        <f>IF(ISNA(VLOOKUP(Tableau13[[#This Row],[Code machine]],'CODE mchn'!$A$4:$C$170,3,0)),"",VLOOKUP(Tableau13[[#This Row],[Code machine]],'CODE mchn'!$A$4:$C$170,3,0))</f>
        <v>Teurema 2</v>
      </c>
      <c r="E2217" s="239">
        <v>26532</v>
      </c>
      <c r="F2217" s="241"/>
      <c r="G2217" s="36" t="s">
        <v>4135</v>
      </c>
      <c r="H2217" s="241" t="s">
        <v>4106</v>
      </c>
      <c r="I2217" s="241" t="s">
        <v>13</v>
      </c>
      <c r="J2217" s="249" t="s">
        <v>4107</v>
      </c>
      <c r="K2217" s="242">
        <v>44718</v>
      </c>
      <c r="L2217" s="241"/>
      <c r="M2217" s="243">
        <f>60*4</f>
        <v>240</v>
      </c>
      <c r="N2217" s="243">
        <f>MONTH(Tableau13[[#This Row],[Date fin intervention]])</f>
        <v>6</v>
      </c>
      <c r="O2217" s="243">
        <f>YEAR(Tableau13[[#This Row],[Date fin intervention]])</f>
        <v>2022</v>
      </c>
      <c r="P2217" s="241"/>
    </row>
    <row r="2218" spans="1:16">
      <c r="A2218" s="238">
        <v>44718</v>
      </c>
      <c r="B2218" s="239">
        <v>582</v>
      </c>
      <c r="C2218" s="240" t="str">
        <f>IF(ISNA(VLOOKUP(Tableau13[[#This Row],[Code machine]],'CODE mchn'!$A$4:$C$170,2,0)),"",VLOOKUP(Tableau13[[#This Row],[Code machine]],'CODE mchn'!$A$4:$C$170,2,0))</f>
        <v>Acier</v>
      </c>
      <c r="D2218" s="241" t="str">
        <f>IF(ISNA(VLOOKUP(Tableau13[[#This Row],[Code machine]],'CODE mchn'!$A$4:$C$170,3,0)),"",VLOOKUP(Tableau13[[#This Row],[Code machine]],'CODE mchn'!$A$4:$C$170,3,0))</f>
        <v>Teurema 2</v>
      </c>
      <c r="E2218" s="239">
        <v>24505</v>
      </c>
      <c r="F2218" s="241" t="s">
        <v>4140</v>
      </c>
      <c r="G2218" s="241"/>
      <c r="H2218" s="241" t="s">
        <v>2806</v>
      </c>
      <c r="I2218" s="241" t="s">
        <v>2805</v>
      </c>
      <c r="J2218" s="249" t="s">
        <v>2807</v>
      </c>
      <c r="K2218" s="242">
        <v>44718</v>
      </c>
      <c r="L2218" s="241"/>
      <c r="M2218" s="243"/>
      <c r="N2218" s="243">
        <f>MONTH(Tableau13[[#This Row],[Date fin intervention]])</f>
        <v>6</v>
      </c>
      <c r="O2218" s="243">
        <f>YEAR(Tableau13[[#This Row],[Date fin intervention]])</f>
        <v>2022</v>
      </c>
      <c r="P2218" s="241"/>
    </row>
    <row r="2219" spans="1:16">
      <c r="A2219" s="238">
        <v>44718</v>
      </c>
      <c r="B2219" s="239">
        <v>565</v>
      </c>
      <c r="C2219" s="240" t="str">
        <f>IF(ISNA(VLOOKUP(Tableau13[[#This Row],[Code machine]],'CODE mchn'!$A$4:$C$170,2,0)),"",VLOOKUP(Tableau13[[#This Row],[Code machine]],'CODE mchn'!$A$4:$C$170,2,0))</f>
        <v>Acier</v>
      </c>
      <c r="D2219" s="241" t="str">
        <f>IF(ISNA(VLOOKUP(Tableau13[[#This Row],[Code machine]],'CODE mchn'!$A$4:$C$170,3,0)),"",VLOOKUP(Tableau13[[#This Row],[Code machine]],'CODE mchn'!$A$4:$C$170,3,0))</f>
        <v>EVG GE12</v>
      </c>
      <c r="E2219" s="239">
        <v>25555</v>
      </c>
      <c r="F2219" s="241" t="s">
        <v>4140</v>
      </c>
      <c r="G2219" s="241" t="s">
        <v>2845</v>
      </c>
      <c r="H2219" s="241" t="s">
        <v>2862</v>
      </c>
      <c r="I2219" s="241" t="s">
        <v>107</v>
      </c>
      <c r="J2219" s="249" t="s">
        <v>2863</v>
      </c>
      <c r="K2219" s="242">
        <v>44718</v>
      </c>
      <c r="L2219" s="241"/>
      <c r="M2219" s="243">
        <v>60</v>
      </c>
      <c r="N2219" s="243">
        <f>MONTH(Tableau13[[#This Row],[Date fin intervention]])</f>
        <v>6</v>
      </c>
      <c r="O2219" s="243">
        <f>YEAR(Tableau13[[#This Row],[Date fin intervention]])</f>
        <v>2022</v>
      </c>
      <c r="P2219" s="241"/>
    </row>
    <row r="2220" spans="1:16">
      <c r="A2220" s="238">
        <v>44719</v>
      </c>
      <c r="B2220" s="239">
        <v>700</v>
      </c>
      <c r="C2220" s="240" t="str">
        <f>IF(ISNA(VLOOKUP(Tableau13[[#This Row],[Code machine]],'CODE mchn'!$A$4:$C$170,2,0)),"",VLOOKUP(Tableau13[[#This Row],[Code machine]],'CODE mchn'!$A$4:$C$170,2,0))</f>
        <v>Béton</v>
      </c>
      <c r="D2220" s="241" t="str">
        <f>IF(ISNA(VLOOKUP(Tableau13[[#This Row],[Code machine]],'CODE mchn'!$A$4:$C$170,3,0)),"",VLOOKUP(Tableau13[[#This Row],[Code machine]],'CODE mchn'!$A$4:$C$170,3,0))</f>
        <v>Poyatos 1</v>
      </c>
      <c r="E2220" s="239">
        <v>26527</v>
      </c>
      <c r="F2220" s="241"/>
      <c r="G2220" s="241" t="s">
        <v>291</v>
      </c>
      <c r="H2220" s="241" t="s">
        <v>4103</v>
      </c>
      <c r="I2220" s="241" t="s">
        <v>13</v>
      </c>
      <c r="J2220" s="249" t="s">
        <v>3831</v>
      </c>
      <c r="K2220" s="242">
        <v>44719</v>
      </c>
      <c r="L2220" s="241"/>
      <c r="M2220" s="243">
        <v>90</v>
      </c>
      <c r="N2220" s="243">
        <f>MONTH(Tableau13[[#This Row],[Date fin intervention]])</f>
        <v>6</v>
      </c>
      <c r="O2220" s="243">
        <f>YEAR(Tableau13[[#This Row],[Date fin intervention]])</f>
        <v>2022</v>
      </c>
      <c r="P2220" s="241"/>
    </row>
    <row r="2221" spans="1:16">
      <c r="A2221" s="238">
        <v>44719</v>
      </c>
      <c r="B2221" s="239">
        <v>534</v>
      </c>
      <c r="C2221" s="240" t="str">
        <f>IF(ISNA(VLOOKUP(Tableau13[[#This Row],[Code machine]],'CODE mchn'!$A$4:$C$170,2,0)),"",VLOOKUP(Tableau13[[#This Row],[Code machine]],'CODE mchn'!$A$4:$C$170,2,0))</f>
        <v>Enrobage</v>
      </c>
      <c r="D2221" s="241" t="str">
        <f>IF(ISNA(VLOOKUP(Tableau13[[#This Row],[Code machine]],'CODE mchn'!$A$4:$C$170,3,0)),"",VLOOKUP(Tableau13[[#This Row],[Code machine]],'CODE mchn'!$A$4:$C$170,3,0))</f>
        <v>ELKON 2</v>
      </c>
      <c r="E2221" s="239">
        <v>26528</v>
      </c>
      <c r="F2221" s="241"/>
      <c r="G2221" s="241" t="s">
        <v>778</v>
      </c>
      <c r="H2221" s="241" t="s">
        <v>4104</v>
      </c>
      <c r="I2221" s="241" t="s">
        <v>13</v>
      </c>
      <c r="J2221" s="249" t="s">
        <v>4105</v>
      </c>
      <c r="K2221" s="242">
        <v>44719</v>
      </c>
      <c r="L2221" s="241"/>
      <c r="M2221" s="243">
        <v>120</v>
      </c>
      <c r="N2221" s="243">
        <f>MONTH(Tableau13[[#This Row],[Date fin intervention]])</f>
        <v>6</v>
      </c>
      <c r="O2221" s="243">
        <f>YEAR(Tableau13[[#This Row],[Date fin intervention]])</f>
        <v>2022</v>
      </c>
      <c r="P2221" s="241"/>
    </row>
    <row r="2222" spans="1:16">
      <c r="A2222" s="238">
        <v>44719</v>
      </c>
      <c r="B2222" s="239">
        <v>534</v>
      </c>
      <c r="C2222" s="240" t="str">
        <f>IF(ISNA(VLOOKUP(Tableau13[[#This Row],[Code machine]],'CODE mchn'!$A$4:$C$170,2,0)),"",VLOOKUP(Tableau13[[#This Row],[Code machine]],'CODE mchn'!$A$4:$C$170,2,0))</f>
        <v>Enrobage</v>
      </c>
      <c r="D2222" s="241" t="str">
        <f>IF(ISNA(VLOOKUP(Tableau13[[#This Row],[Code machine]],'CODE mchn'!$A$4:$C$170,3,0)),"",VLOOKUP(Tableau13[[#This Row],[Code machine]],'CODE mchn'!$A$4:$C$170,3,0))</f>
        <v>ELKON 2</v>
      </c>
      <c r="E2222" s="239">
        <v>25509</v>
      </c>
      <c r="F2222" s="241" t="s">
        <v>4140</v>
      </c>
      <c r="G2222" s="241" t="s">
        <v>95</v>
      </c>
      <c r="H2222" s="241" t="s">
        <v>2835</v>
      </c>
      <c r="I2222" s="241" t="s">
        <v>107</v>
      </c>
      <c r="J2222" s="249" t="s">
        <v>935</v>
      </c>
      <c r="K2222" s="242">
        <v>44719</v>
      </c>
      <c r="L2222" s="241"/>
      <c r="M2222" s="243">
        <v>30</v>
      </c>
      <c r="N2222" s="243">
        <f>MONTH(Tableau13[[#This Row],[Date fin intervention]])</f>
        <v>6</v>
      </c>
      <c r="O2222" s="243">
        <f>YEAR(Tableau13[[#This Row],[Date fin intervention]])</f>
        <v>2022</v>
      </c>
      <c r="P2222" s="241"/>
    </row>
    <row r="2223" spans="1:16">
      <c r="A2223" s="238">
        <v>44719</v>
      </c>
      <c r="B2223" s="239">
        <v>570</v>
      </c>
      <c r="C2223" s="240" t="str">
        <f>IF(ISNA(VLOOKUP(Tableau13[[#This Row],[Code machine]],'CODE mchn'!$A$4:$C$170,2,0)),"",VLOOKUP(Tableau13[[#This Row],[Code machine]],'CODE mchn'!$A$4:$C$170,2,0))</f>
        <v>Acier</v>
      </c>
      <c r="D2223" s="241" t="str">
        <f>IF(ISNA(VLOOKUP(Tableau13[[#This Row],[Code machine]],'CODE mchn'!$A$4:$C$170,3,0)),"",VLOOKUP(Tableau13[[#This Row],[Code machine]],'CODE mchn'!$A$4:$C$170,3,0))</f>
        <v>Sigmatic</v>
      </c>
      <c r="E2223" s="239">
        <v>24555</v>
      </c>
      <c r="F2223" s="241" t="s">
        <v>4140</v>
      </c>
      <c r="G2223" s="241" t="s">
        <v>10</v>
      </c>
      <c r="H2223" s="241" t="s">
        <v>2851</v>
      </c>
      <c r="I2223" s="241" t="s">
        <v>107</v>
      </c>
      <c r="J2223" s="249" t="s">
        <v>2815</v>
      </c>
      <c r="K2223" s="242">
        <v>44719</v>
      </c>
      <c r="L2223" s="241"/>
      <c r="M2223" s="243">
        <v>90</v>
      </c>
      <c r="N2223" s="243">
        <f>MONTH(Tableau13[[#This Row],[Date fin intervention]])</f>
        <v>6</v>
      </c>
      <c r="O2223" s="243">
        <f>YEAR(Tableau13[[#This Row],[Date fin intervention]])</f>
        <v>2022</v>
      </c>
      <c r="P2223" s="241"/>
    </row>
    <row r="2224" spans="1:16">
      <c r="A2224" s="238">
        <v>44719</v>
      </c>
      <c r="B2224" s="239">
        <v>570</v>
      </c>
      <c r="C2224" s="240" t="str">
        <f>IF(ISNA(VLOOKUP(Tableau13[[#This Row],[Code machine]],'CODE mchn'!$A$4:$C$170,2,0)),"",VLOOKUP(Tableau13[[#This Row],[Code machine]],'CODE mchn'!$A$4:$C$170,2,0))</f>
        <v>Acier</v>
      </c>
      <c r="D2224" s="241" t="str">
        <f>IF(ISNA(VLOOKUP(Tableau13[[#This Row],[Code machine]],'CODE mchn'!$A$4:$C$170,3,0)),"",VLOOKUP(Tableau13[[#This Row],[Code machine]],'CODE mchn'!$A$4:$C$170,3,0))</f>
        <v>Sigmatic</v>
      </c>
      <c r="E2224" s="239">
        <v>24556</v>
      </c>
      <c r="F2224" s="241" t="s">
        <v>4140</v>
      </c>
      <c r="G2224" s="241" t="s">
        <v>10</v>
      </c>
      <c r="H2224" s="241" t="s">
        <v>2852</v>
      </c>
      <c r="I2224" s="241" t="s">
        <v>107</v>
      </c>
      <c r="J2224" s="249" t="s">
        <v>2841</v>
      </c>
      <c r="K2224" s="242">
        <v>44719</v>
      </c>
      <c r="L2224" s="241"/>
      <c r="M2224" s="243">
        <v>30</v>
      </c>
      <c r="N2224" s="243">
        <f>MONTH(Tableau13[[#This Row],[Date fin intervention]])</f>
        <v>6</v>
      </c>
      <c r="O2224" s="243">
        <f>YEAR(Tableau13[[#This Row],[Date fin intervention]])</f>
        <v>2022</v>
      </c>
      <c r="P2224" s="241"/>
    </row>
    <row r="2225" spans="1:16">
      <c r="A2225" s="238">
        <v>44720</v>
      </c>
      <c r="B2225" s="239">
        <v>581</v>
      </c>
      <c r="C2225" s="240" t="str">
        <f>IF(ISNA(VLOOKUP(Tableau13[[#This Row],[Code machine]],'CODE mchn'!$A$4:$C$170,2,0)),"",VLOOKUP(Tableau13[[#This Row],[Code machine]],'CODE mchn'!$A$4:$C$170,2,0))</f>
        <v>Acier</v>
      </c>
      <c r="D2225" s="241" t="str">
        <f>IF(ISNA(VLOOKUP(Tableau13[[#This Row],[Code machine]],'CODE mchn'!$A$4:$C$170,3,0)),"",VLOOKUP(Tableau13[[#This Row],[Code machine]],'CODE mchn'!$A$4:$C$170,3,0))</f>
        <v>Teurema 1</v>
      </c>
      <c r="E2225" s="239">
        <v>24506</v>
      </c>
      <c r="F2225" s="241" t="s">
        <v>4140</v>
      </c>
      <c r="G2225" s="241" t="s">
        <v>2809</v>
      </c>
      <c r="H2225" s="241" t="s">
        <v>1194</v>
      </c>
      <c r="I2225" s="241" t="s">
        <v>2744</v>
      </c>
      <c r="J2225" s="249" t="s">
        <v>2808</v>
      </c>
      <c r="K2225" s="242">
        <v>44720</v>
      </c>
      <c r="L2225" s="241"/>
      <c r="M2225" s="243">
        <v>45</v>
      </c>
      <c r="N2225" s="243">
        <f>MONTH(Tableau13[[#This Row],[Date fin intervention]])</f>
        <v>6</v>
      </c>
      <c r="O2225" s="243">
        <f>YEAR(Tableau13[[#This Row],[Date fin intervention]])</f>
        <v>2022</v>
      </c>
      <c r="P2225" s="241"/>
    </row>
    <row r="2226" spans="1:16">
      <c r="A2226" s="238">
        <v>44720</v>
      </c>
      <c r="B2226" s="239">
        <v>582</v>
      </c>
      <c r="C2226" s="240" t="str">
        <f>IF(ISNA(VLOOKUP(Tableau13[[#This Row],[Code machine]],'CODE mchn'!$A$4:$C$170,2,0)),"",VLOOKUP(Tableau13[[#This Row],[Code machine]],'CODE mchn'!$A$4:$C$170,2,0))</f>
        <v>Acier</v>
      </c>
      <c r="D2226" s="241" t="str">
        <f>IF(ISNA(VLOOKUP(Tableau13[[#This Row],[Code machine]],'CODE mchn'!$A$4:$C$170,3,0)),"",VLOOKUP(Tableau13[[#This Row],[Code machine]],'CODE mchn'!$A$4:$C$170,3,0))</f>
        <v>Teurema 2</v>
      </c>
      <c r="E2226" s="239">
        <v>24507</v>
      </c>
      <c r="F2226" s="241" t="s">
        <v>4140</v>
      </c>
      <c r="G2226" s="241" t="s">
        <v>880</v>
      </c>
      <c r="H2226" s="241" t="s">
        <v>2810</v>
      </c>
      <c r="I2226" s="241" t="s">
        <v>107</v>
      </c>
      <c r="J2226" s="249" t="s">
        <v>2811</v>
      </c>
      <c r="K2226" s="242">
        <v>44720</v>
      </c>
      <c r="L2226" s="241"/>
      <c r="M2226" s="243">
        <v>30</v>
      </c>
      <c r="N2226" s="243">
        <f>MONTH(Tableau13[[#This Row],[Date fin intervention]])</f>
        <v>6</v>
      </c>
      <c r="O2226" s="243">
        <f>YEAR(Tableau13[[#This Row],[Date fin intervention]])</f>
        <v>2022</v>
      </c>
      <c r="P2226" s="241"/>
    </row>
    <row r="2227" spans="1:16">
      <c r="A2227" s="238">
        <v>44720</v>
      </c>
      <c r="B2227" s="239">
        <v>800</v>
      </c>
      <c r="C2227" s="240" t="str">
        <f>IF(ISNA(VLOOKUP(Tableau13[[#This Row],[Code machine]],'CODE mchn'!$A$4:$C$170,2,0)),"",VLOOKUP(Tableau13[[#This Row],[Code machine]],'CODE mchn'!$A$4:$C$170,2,0))</f>
        <v>Béton</v>
      </c>
      <c r="D2227" s="241" t="str">
        <f>IF(ISNA(VLOOKUP(Tableau13[[#This Row],[Code machine]],'CODE mchn'!$A$4:$C$170,3,0)),"",VLOOKUP(Tableau13[[#This Row],[Code machine]],'CODE mchn'!$A$4:$C$170,3,0))</f>
        <v>Poyatos 2</v>
      </c>
      <c r="E2227" s="239">
        <v>25510</v>
      </c>
      <c r="F2227" s="241" t="s">
        <v>4140</v>
      </c>
      <c r="G2227" s="241" t="s">
        <v>128</v>
      </c>
      <c r="H2227" s="241" t="s">
        <v>2828</v>
      </c>
      <c r="I2227" s="241" t="s">
        <v>107</v>
      </c>
      <c r="J2227" s="249" t="s">
        <v>2836</v>
      </c>
      <c r="K2227" s="242">
        <v>44720</v>
      </c>
      <c r="L2227" s="241"/>
      <c r="M2227" s="243">
        <v>45</v>
      </c>
      <c r="N2227" s="243">
        <f>MONTH(Tableau13[[#This Row],[Date fin intervention]])</f>
        <v>6</v>
      </c>
      <c r="O2227" s="243">
        <f>YEAR(Tableau13[[#This Row],[Date fin intervention]])</f>
        <v>2022</v>
      </c>
      <c r="P2227" s="241"/>
    </row>
    <row r="2228" spans="1:16">
      <c r="A2228" s="238">
        <v>44720</v>
      </c>
      <c r="B2228" s="239">
        <v>800</v>
      </c>
      <c r="C2228" s="240" t="str">
        <f>IF(ISNA(VLOOKUP(Tableau13[[#This Row],[Code machine]],'CODE mchn'!$A$4:$C$170,2,0)),"",VLOOKUP(Tableau13[[#This Row],[Code machine]],'CODE mchn'!$A$4:$C$170,2,0))</f>
        <v>Béton</v>
      </c>
      <c r="D2228" s="241" t="str">
        <f>IF(ISNA(VLOOKUP(Tableau13[[#This Row],[Code machine]],'CODE mchn'!$A$4:$C$170,3,0)),"",VLOOKUP(Tableau13[[#This Row],[Code machine]],'CODE mchn'!$A$4:$C$170,3,0))</f>
        <v>Poyatos 2</v>
      </c>
      <c r="E2228" s="239">
        <v>25511</v>
      </c>
      <c r="F2228" s="241" t="s">
        <v>4140</v>
      </c>
      <c r="G2228" s="241" t="s">
        <v>2837</v>
      </c>
      <c r="H2228" s="241" t="s">
        <v>2838</v>
      </c>
      <c r="I2228" s="241" t="s">
        <v>107</v>
      </c>
      <c r="J2228" s="249" t="s">
        <v>2839</v>
      </c>
      <c r="K2228" s="242">
        <v>44720</v>
      </c>
      <c r="L2228" s="241"/>
      <c r="M2228" s="243">
        <v>90</v>
      </c>
      <c r="N2228" s="243">
        <f>MONTH(Tableau13[[#This Row],[Date fin intervention]])</f>
        <v>6</v>
      </c>
      <c r="O2228" s="243">
        <f>YEAR(Tableau13[[#This Row],[Date fin intervention]])</f>
        <v>2022</v>
      </c>
      <c r="P2228" s="241"/>
    </row>
    <row r="2229" spans="1:16">
      <c r="A2229" s="238">
        <v>44721</v>
      </c>
      <c r="B2229" s="239">
        <v>560</v>
      </c>
      <c r="C2229" s="240" t="str">
        <f>IF(ISNA(VLOOKUP(Tableau13[[#This Row],[Code machine]],'CODE mchn'!$A$4:$C$170,2,0)),"",VLOOKUP(Tableau13[[#This Row],[Code machine]],'CODE mchn'!$A$4:$C$170,2,0))</f>
        <v>Acier</v>
      </c>
      <c r="D2229" s="241" t="str">
        <f>IF(ISNA(VLOOKUP(Tableau13[[#This Row],[Code machine]],'CODE mchn'!$A$4:$C$170,3,0)),"",VLOOKUP(Tableau13[[#This Row],[Code machine]],'CODE mchn'!$A$4:$C$170,3,0))</f>
        <v>Schlatter</v>
      </c>
      <c r="E2229" s="239">
        <v>25556</v>
      </c>
      <c r="F2229" s="241" t="s">
        <v>4140</v>
      </c>
      <c r="G2229" s="241" t="s">
        <v>2864</v>
      </c>
      <c r="H2229" s="241" t="s">
        <v>2865</v>
      </c>
      <c r="I2229" s="241" t="s">
        <v>107</v>
      </c>
      <c r="J2229" s="249" t="s">
        <v>2866</v>
      </c>
      <c r="K2229" s="242">
        <v>44721</v>
      </c>
      <c r="L2229" s="241"/>
      <c r="M2229" s="243">
        <v>180</v>
      </c>
      <c r="N2229" s="243">
        <f>MONTH(Tableau13[[#This Row],[Date fin intervention]])</f>
        <v>6</v>
      </c>
      <c r="O2229" s="243">
        <f>YEAR(Tableau13[[#This Row],[Date fin intervention]])</f>
        <v>2022</v>
      </c>
      <c r="P2229" s="241"/>
    </row>
    <row r="2230" spans="1:16">
      <c r="A2230" s="238">
        <v>44722</v>
      </c>
      <c r="B2230" s="239">
        <v>580</v>
      </c>
      <c r="C2230" s="240" t="str">
        <f>IF(ISNA(VLOOKUP(Tableau13[[#This Row],[Code machine]],'CODE mchn'!$A$4:$C$170,2,0)),"",VLOOKUP(Tableau13[[#This Row],[Code machine]],'CODE mchn'!$A$4:$C$170,2,0))</f>
        <v>Acier</v>
      </c>
      <c r="D2230" s="241" t="str">
        <f>IF(ISNA(VLOOKUP(Tableau13[[#This Row],[Code machine]],'CODE mchn'!$A$4:$C$170,3,0)),"",VLOOKUP(Tableau13[[#This Row],[Code machine]],'CODE mchn'!$A$4:$C$170,3,0))</f>
        <v>Techno Impiante</v>
      </c>
      <c r="E2230" s="239">
        <v>24508</v>
      </c>
      <c r="F2230" s="241" t="s">
        <v>4140</v>
      </c>
      <c r="G2230" s="241" t="s">
        <v>2812</v>
      </c>
      <c r="H2230" s="241" t="s">
        <v>2869</v>
      </c>
      <c r="I2230" s="241" t="s">
        <v>107</v>
      </c>
      <c r="J2230" s="249" t="s">
        <v>2813</v>
      </c>
      <c r="K2230" s="242">
        <v>44722</v>
      </c>
      <c r="L2230" s="241"/>
      <c r="M2230" s="243">
        <v>60</v>
      </c>
      <c r="N2230" s="243">
        <f>MONTH(Tableau13[[#This Row],[Date fin intervention]])</f>
        <v>6</v>
      </c>
      <c r="O2230" s="243">
        <f>YEAR(Tableau13[[#This Row],[Date fin intervention]])</f>
        <v>2022</v>
      </c>
      <c r="P2230" s="241"/>
    </row>
    <row r="2231" spans="1:16">
      <c r="A2231" s="238">
        <v>44722</v>
      </c>
      <c r="B2231" s="239">
        <v>581</v>
      </c>
      <c r="C2231" s="240" t="str">
        <f>IF(ISNA(VLOOKUP(Tableau13[[#This Row],[Code machine]],'CODE mchn'!$A$4:$C$170,2,0)),"",VLOOKUP(Tableau13[[#This Row],[Code machine]],'CODE mchn'!$A$4:$C$170,2,0))</f>
        <v>Acier</v>
      </c>
      <c r="D2231" s="241" t="str">
        <f>IF(ISNA(VLOOKUP(Tableau13[[#This Row],[Code machine]],'CODE mchn'!$A$4:$C$170,3,0)),"",VLOOKUP(Tableau13[[#This Row],[Code machine]],'CODE mchn'!$A$4:$C$170,3,0))</f>
        <v>Teurema 1</v>
      </c>
      <c r="E2231" s="239">
        <v>24509</v>
      </c>
      <c r="F2231" s="241" t="s">
        <v>4140</v>
      </c>
      <c r="G2231" s="241" t="s">
        <v>49</v>
      </c>
      <c r="H2231" s="241" t="s">
        <v>2814</v>
      </c>
      <c r="I2231" s="241" t="s">
        <v>107</v>
      </c>
      <c r="J2231" s="249" t="s">
        <v>2815</v>
      </c>
      <c r="K2231" s="242">
        <v>44722</v>
      </c>
      <c r="L2231" s="241"/>
      <c r="M2231" s="243">
        <v>45</v>
      </c>
      <c r="N2231" s="243">
        <f>MONTH(Tableau13[[#This Row],[Date fin intervention]])</f>
        <v>6</v>
      </c>
      <c r="O2231" s="243">
        <f>YEAR(Tableau13[[#This Row],[Date fin intervention]])</f>
        <v>2022</v>
      </c>
      <c r="P2231" s="241"/>
    </row>
    <row r="2232" spans="1:16">
      <c r="A2232" s="238">
        <v>44722</v>
      </c>
      <c r="B2232" s="239">
        <v>700</v>
      </c>
      <c r="C2232" s="240" t="str">
        <f>IF(ISNA(VLOOKUP(Tableau13[[#This Row],[Code machine]],'CODE mchn'!$A$4:$C$170,2,0)),"",VLOOKUP(Tableau13[[#This Row],[Code machine]],'CODE mchn'!$A$4:$C$170,2,0))</f>
        <v>Béton</v>
      </c>
      <c r="D2232" s="241" t="str">
        <f>IF(ISNA(VLOOKUP(Tableau13[[#This Row],[Code machine]],'CODE mchn'!$A$4:$C$170,3,0)),"",VLOOKUP(Tableau13[[#This Row],[Code machine]],'CODE mchn'!$A$4:$C$170,3,0))</f>
        <v>Poyatos 1</v>
      </c>
      <c r="E2232" s="239">
        <v>25512</v>
      </c>
      <c r="F2232" s="241" t="s">
        <v>4140</v>
      </c>
      <c r="G2232" s="241" t="s">
        <v>49</v>
      </c>
      <c r="H2232" s="241" t="s">
        <v>2840</v>
      </c>
      <c r="I2232" s="241" t="s">
        <v>107</v>
      </c>
      <c r="J2232" s="249" t="s">
        <v>2841</v>
      </c>
      <c r="K2232" s="242">
        <v>44722</v>
      </c>
      <c r="L2232" s="241"/>
      <c r="M2232" s="243">
        <v>60</v>
      </c>
      <c r="N2232" s="243">
        <f>MONTH(Tableau13[[#This Row],[Date fin intervention]])</f>
        <v>6</v>
      </c>
      <c r="O2232" s="243">
        <f>YEAR(Tableau13[[#This Row],[Date fin intervention]])</f>
        <v>2022</v>
      </c>
      <c r="P2232" s="241"/>
    </row>
    <row r="2233" spans="1:16">
      <c r="A2233" s="238">
        <v>44722</v>
      </c>
      <c r="B2233" s="239">
        <v>700</v>
      </c>
      <c r="C2233" s="240" t="str">
        <f>IF(ISNA(VLOOKUP(Tableau13[[#This Row],[Code machine]],'CODE mchn'!$A$4:$C$170,2,0)),"",VLOOKUP(Tableau13[[#This Row],[Code machine]],'CODE mchn'!$A$4:$C$170,2,0))</f>
        <v>Béton</v>
      </c>
      <c r="D2233" s="241" t="str">
        <f>IF(ISNA(VLOOKUP(Tableau13[[#This Row],[Code machine]],'CODE mchn'!$A$4:$C$170,3,0)),"",VLOOKUP(Tableau13[[#This Row],[Code machine]],'CODE mchn'!$A$4:$C$170,3,0))</f>
        <v>Poyatos 1</v>
      </c>
      <c r="E2233" s="239">
        <v>25513</v>
      </c>
      <c r="F2233" s="241" t="s">
        <v>4140</v>
      </c>
      <c r="G2233" s="241" t="s">
        <v>2842</v>
      </c>
      <c r="H2233" s="241" t="s">
        <v>2843</v>
      </c>
      <c r="I2233" s="241" t="s">
        <v>107</v>
      </c>
      <c r="J2233" s="249" t="s">
        <v>2844</v>
      </c>
      <c r="K2233" s="242">
        <v>44722</v>
      </c>
      <c r="L2233" s="241"/>
      <c r="M2233" s="243">
        <v>90</v>
      </c>
      <c r="N2233" s="243">
        <f>MONTH(Tableau13[[#This Row],[Date fin intervention]])</f>
        <v>6</v>
      </c>
      <c r="O2233" s="243">
        <f>YEAR(Tableau13[[#This Row],[Date fin intervention]])</f>
        <v>2022</v>
      </c>
      <c r="P2233" s="241"/>
    </row>
    <row r="2234" spans="1:16">
      <c r="A2234" s="238">
        <v>44722</v>
      </c>
      <c r="B2234" s="239">
        <v>565</v>
      </c>
      <c r="C2234" s="240" t="str">
        <f>IF(ISNA(VLOOKUP(Tableau13[[#This Row],[Code machine]],'CODE mchn'!$A$4:$C$170,2,0)),"",VLOOKUP(Tableau13[[#This Row],[Code machine]],'CODE mchn'!$A$4:$C$170,2,0))</f>
        <v>Acier</v>
      </c>
      <c r="D2234" s="241" t="str">
        <f>IF(ISNA(VLOOKUP(Tableau13[[#This Row],[Code machine]],'CODE mchn'!$A$4:$C$170,3,0)),"",VLOOKUP(Tableau13[[#This Row],[Code machine]],'CODE mchn'!$A$4:$C$170,3,0))</f>
        <v>EVG GE12</v>
      </c>
      <c r="E2234" s="239">
        <v>25557</v>
      </c>
      <c r="F2234" s="241" t="s">
        <v>4140</v>
      </c>
      <c r="G2234" s="241" t="s">
        <v>2884</v>
      </c>
      <c r="H2234" s="241" t="s">
        <v>2867</v>
      </c>
      <c r="I2234" s="241" t="s">
        <v>107</v>
      </c>
      <c r="J2234" s="249" t="s">
        <v>2868</v>
      </c>
      <c r="K2234" s="242">
        <v>44722</v>
      </c>
      <c r="L2234" s="241"/>
      <c r="M2234" s="243">
        <v>30</v>
      </c>
      <c r="N2234" s="243">
        <f>MONTH(Tableau13[[#This Row],[Date fin intervention]])</f>
        <v>6</v>
      </c>
      <c r="O2234" s="243">
        <f>YEAR(Tableau13[[#This Row],[Date fin intervention]])</f>
        <v>2022</v>
      </c>
      <c r="P2234" s="241"/>
    </row>
    <row r="2235" spans="1:16">
      <c r="A2235" s="238">
        <v>44722</v>
      </c>
      <c r="B2235" s="239">
        <v>590</v>
      </c>
      <c r="C2235" s="240" t="str">
        <f>IF(ISNA(VLOOKUP(Tableau13[[#This Row],[Code machine]],'CODE mchn'!$A$4:$C$170,2,0)),"",VLOOKUP(Tableau13[[#This Row],[Code machine]],'CODE mchn'!$A$4:$C$170,2,0))</f>
        <v>Acier</v>
      </c>
      <c r="D2235" s="241" t="str">
        <f>IF(ISNA(VLOOKUP(Tableau13[[#This Row],[Code machine]],'CODE mchn'!$A$4:$C$170,3,0)),"",VLOOKUP(Tableau13[[#This Row],[Code machine]],'CODE mchn'!$A$4:$C$170,3,0))</f>
        <v>Teurema 3</v>
      </c>
      <c r="E2235" s="239"/>
      <c r="F2235" s="241" t="s">
        <v>4140</v>
      </c>
      <c r="G2235" s="241" t="s">
        <v>319</v>
      </c>
      <c r="H2235" s="241" t="s">
        <v>2896</v>
      </c>
      <c r="I2235" s="241" t="s">
        <v>13</v>
      </c>
      <c r="J2235" s="249" t="s">
        <v>2897</v>
      </c>
      <c r="K2235" s="242">
        <v>44722</v>
      </c>
      <c r="L2235" s="241"/>
      <c r="M2235" s="243">
        <v>4800</v>
      </c>
      <c r="N2235" s="243">
        <f>MONTH(Tableau13[[#This Row],[Date fin intervention]])</f>
        <v>6</v>
      </c>
      <c r="O2235" s="243">
        <f>YEAR(Tableau13[[#This Row],[Date fin intervention]])</f>
        <v>2022</v>
      </c>
      <c r="P2235" s="241"/>
    </row>
    <row r="2236" spans="1:16">
      <c r="A2236" s="238">
        <v>44723</v>
      </c>
      <c r="B2236" s="239">
        <v>534</v>
      </c>
      <c r="C2236" s="240" t="str">
        <f>IF(ISNA(VLOOKUP(Tableau13[[#This Row],[Code machine]],'CODE mchn'!$A$4:$C$170,2,0)),"",VLOOKUP(Tableau13[[#This Row],[Code machine]],'CODE mchn'!$A$4:$C$170,2,0))</f>
        <v>Enrobage</v>
      </c>
      <c r="D2236" s="241" t="str">
        <f>IF(ISNA(VLOOKUP(Tableau13[[#This Row],[Code machine]],'CODE mchn'!$A$4:$C$170,3,0)),"",VLOOKUP(Tableau13[[#This Row],[Code machine]],'CODE mchn'!$A$4:$C$170,3,0))</f>
        <v>ELKON 2</v>
      </c>
      <c r="E2236" s="239">
        <v>25514</v>
      </c>
      <c r="F2236" s="241" t="s">
        <v>4140</v>
      </c>
      <c r="G2236" s="241" t="s">
        <v>2871</v>
      </c>
      <c r="H2236" s="241" t="s">
        <v>2872</v>
      </c>
      <c r="I2236" s="241" t="s">
        <v>107</v>
      </c>
      <c r="J2236" s="249" t="s">
        <v>2873</v>
      </c>
      <c r="K2236" s="242">
        <v>44723</v>
      </c>
      <c r="L2236" s="241"/>
      <c r="M2236" s="243"/>
      <c r="N2236" s="243">
        <f>MONTH(Tableau13[[#This Row],[Date fin intervention]])</f>
        <v>6</v>
      </c>
      <c r="O2236" s="243">
        <f>YEAR(Tableau13[[#This Row],[Date fin intervention]])</f>
        <v>2022</v>
      </c>
      <c r="P2236" s="241"/>
    </row>
    <row r="2237" spans="1:16">
      <c r="A2237" s="238">
        <v>44724</v>
      </c>
      <c r="B2237" s="239">
        <v>800</v>
      </c>
      <c r="C2237" s="240" t="str">
        <f>IF(ISNA(VLOOKUP(Tableau13[[#This Row],[Code machine]],'CODE mchn'!$A$4:$C$170,2,0)),"",VLOOKUP(Tableau13[[#This Row],[Code machine]],'CODE mchn'!$A$4:$C$170,2,0))</f>
        <v>Béton</v>
      </c>
      <c r="D2237" s="241" t="str">
        <f>IF(ISNA(VLOOKUP(Tableau13[[#This Row],[Code machine]],'CODE mchn'!$A$4:$C$170,3,0)),"",VLOOKUP(Tableau13[[#This Row],[Code machine]],'CODE mchn'!$A$4:$C$170,3,0))</f>
        <v>Poyatos 2</v>
      </c>
      <c r="E2237" s="239">
        <v>25515</v>
      </c>
      <c r="F2237" s="241" t="s">
        <v>4140</v>
      </c>
      <c r="G2237" s="241" t="s">
        <v>118</v>
      </c>
      <c r="H2237" s="241" t="s">
        <v>2874</v>
      </c>
      <c r="I2237" s="241" t="s">
        <v>101</v>
      </c>
      <c r="J2237" s="249" t="s">
        <v>2875</v>
      </c>
      <c r="K2237" s="242">
        <v>44724</v>
      </c>
      <c r="L2237" s="241"/>
      <c r="M2237" s="243">
        <v>240</v>
      </c>
      <c r="N2237" s="243">
        <f>MONTH(Tableau13[[#This Row],[Date fin intervention]])</f>
        <v>6</v>
      </c>
      <c r="O2237" s="243">
        <f>YEAR(Tableau13[[#This Row],[Date fin intervention]])</f>
        <v>2022</v>
      </c>
      <c r="P2237" s="241"/>
    </row>
    <row r="2238" spans="1:16">
      <c r="A2238" s="238">
        <v>44724</v>
      </c>
      <c r="B2238" s="239">
        <v>582</v>
      </c>
      <c r="C2238" s="240" t="str">
        <f>IF(ISNA(VLOOKUP(Tableau13[[#This Row],[Code machine]],'CODE mchn'!$A$4:$C$170,2,0)),"",VLOOKUP(Tableau13[[#This Row],[Code machine]],'CODE mchn'!$A$4:$C$170,2,0))</f>
        <v>Acier</v>
      </c>
      <c r="D2238" s="241" t="str">
        <f>IF(ISNA(VLOOKUP(Tableau13[[#This Row],[Code machine]],'CODE mchn'!$A$4:$C$170,3,0)),"",VLOOKUP(Tableau13[[#This Row],[Code machine]],'CODE mchn'!$A$4:$C$170,3,0))</f>
        <v>Teurema 2</v>
      </c>
      <c r="E2238" s="239">
        <v>15082</v>
      </c>
      <c r="F2238" s="241" t="s">
        <v>4140</v>
      </c>
      <c r="G2238" s="241" t="s">
        <v>1644</v>
      </c>
      <c r="H2238" s="241" t="s">
        <v>2076</v>
      </c>
      <c r="I2238" s="241" t="s">
        <v>13</v>
      </c>
      <c r="J2238" s="249" t="s">
        <v>2916</v>
      </c>
      <c r="K2238" s="242">
        <v>44724</v>
      </c>
      <c r="L2238" s="241"/>
      <c r="M2238" s="243">
        <v>90</v>
      </c>
      <c r="N2238" s="243">
        <f>MONTH(Tableau13[[#This Row],[Date fin intervention]])</f>
        <v>6</v>
      </c>
      <c r="O2238" s="243">
        <f>YEAR(Tableau13[[#This Row],[Date fin intervention]])</f>
        <v>2022</v>
      </c>
      <c r="P2238" s="241"/>
    </row>
    <row r="2239" spans="1:16">
      <c r="A2239" s="238">
        <v>44727</v>
      </c>
      <c r="B2239" s="239">
        <v>582</v>
      </c>
      <c r="C2239" s="240" t="str">
        <f>IF(ISNA(VLOOKUP(Tableau13[[#This Row],[Code machine]],'CODE mchn'!$A$4:$C$170,2,0)),"",VLOOKUP(Tableau13[[#This Row],[Code machine]],'CODE mchn'!$A$4:$C$170,2,0))</f>
        <v>Acier</v>
      </c>
      <c r="D2239" s="241" t="str">
        <f>IF(ISNA(VLOOKUP(Tableau13[[#This Row],[Code machine]],'CODE mchn'!$A$4:$C$170,3,0)),"",VLOOKUP(Tableau13[[#This Row],[Code machine]],'CODE mchn'!$A$4:$C$170,3,0))</f>
        <v>Teurema 2</v>
      </c>
      <c r="E2239" s="239"/>
      <c r="F2239" s="241" t="s">
        <v>4140</v>
      </c>
      <c r="G2239" s="241" t="s">
        <v>2894</v>
      </c>
      <c r="H2239" s="241" t="s">
        <v>2895</v>
      </c>
      <c r="I2239" s="241" t="s">
        <v>13</v>
      </c>
      <c r="J2239" s="249" t="s">
        <v>1612</v>
      </c>
      <c r="K2239" s="242">
        <v>44727</v>
      </c>
      <c r="L2239" s="241"/>
      <c r="M2239" s="243">
        <v>2400</v>
      </c>
      <c r="N2239" s="243">
        <f>MONTH(Tableau13[[#This Row],[Date fin intervention]])</f>
        <v>6</v>
      </c>
      <c r="O2239" s="243">
        <f>YEAR(Tableau13[[#This Row],[Date fin intervention]])</f>
        <v>2022</v>
      </c>
      <c r="P2239" s="241"/>
    </row>
    <row r="2240" spans="1:16">
      <c r="A2240" s="238">
        <v>44727</v>
      </c>
      <c r="B2240" s="239">
        <v>565</v>
      </c>
      <c r="C2240" s="240" t="str">
        <f>IF(ISNA(VLOOKUP(Tableau13[[#This Row],[Code machine]],'CODE mchn'!$A$4:$C$170,2,0)),"",VLOOKUP(Tableau13[[#This Row],[Code machine]],'CODE mchn'!$A$4:$C$170,2,0))</f>
        <v>Acier</v>
      </c>
      <c r="D2240" s="241" t="str">
        <f>IF(ISNA(VLOOKUP(Tableau13[[#This Row],[Code machine]],'CODE mchn'!$A$4:$C$170,3,0)),"",VLOOKUP(Tableau13[[#This Row],[Code machine]],'CODE mchn'!$A$4:$C$170,3,0))</f>
        <v>EVG GE12</v>
      </c>
      <c r="E2240" s="239"/>
      <c r="F2240" s="241" t="s">
        <v>4140</v>
      </c>
      <c r="G2240" s="241" t="s">
        <v>2243</v>
      </c>
      <c r="H2240" s="241" t="s">
        <v>2898</v>
      </c>
      <c r="I2240" s="241" t="s">
        <v>13</v>
      </c>
      <c r="J2240" s="249" t="s">
        <v>2899</v>
      </c>
      <c r="K2240" s="242">
        <v>44727</v>
      </c>
      <c r="L2240" s="241"/>
      <c r="M2240" s="243">
        <v>960</v>
      </c>
      <c r="N2240" s="243">
        <f>MONTH(Tableau13[[#This Row],[Date fin intervention]])</f>
        <v>6</v>
      </c>
      <c r="O2240" s="243">
        <f>YEAR(Tableau13[[#This Row],[Date fin intervention]])</f>
        <v>2022</v>
      </c>
      <c r="P2240" s="241"/>
    </row>
    <row r="2241" spans="1:16">
      <c r="A2241" s="238">
        <v>44728</v>
      </c>
      <c r="B2241" s="239">
        <v>700</v>
      </c>
      <c r="C2241" s="240" t="str">
        <f>IF(ISNA(VLOOKUP(Tableau13[[#This Row],[Code machine]],'CODE mchn'!$A$4:$C$170,2,0)),"",VLOOKUP(Tableau13[[#This Row],[Code machine]],'CODE mchn'!$A$4:$C$170,2,0))</f>
        <v>Béton</v>
      </c>
      <c r="D2241" s="241" t="str">
        <f>IF(ISNA(VLOOKUP(Tableau13[[#This Row],[Code machine]],'CODE mchn'!$A$4:$C$170,3,0)),"",VLOOKUP(Tableau13[[#This Row],[Code machine]],'CODE mchn'!$A$4:$C$170,3,0))</f>
        <v>Poyatos 1</v>
      </c>
      <c r="E2241" s="239">
        <v>25517</v>
      </c>
      <c r="F2241" s="241" t="s">
        <v>4140</v>
      </c>
      <c r="G2241" s="241" t="s">
        <v>185</v>
      </c>
      <c r="H2241" s="241" t="s">
        <v>875</v>
      </c>
      <c r="I2241" s="241" t="s">
        <v>13</v>
      </c>
      <c r="J2241" s="249" t="s">
        <v>2773</v>
      </c>
      <c r="K2241" s="242">
        <v>44728</v>
      </c>
      <c r="L2241" s="241"/>
      <c r="M2241" s="243">
        <v>120</v>
      </c>
      <c r="N2241" s="243">
        <f>MONTH(Tableau13[[#This Row],[Date fin intervention]])</f>
        <v>6</v>
      </c>
      <c r="O2241" s="243">
        <f>YEAR(Tableau13[[#This Row],[Date fin intervention]])</f>
        <v>2022</v>
      </c>
      <c r="P2241" s="241"/>
    </row>
    <row r="2242" spans="1:16">
      <c r="A2242" s="238">
        <v>44728</v>
      </c>
      <c r="B2242" s="239">
        <v>700</v>
      </c>
      <c r="C2242" s="240" t="str">
        <f>IF(ISNA(VLOOKUP(Tableau13[[#This Row],[Code machine]],'CODE mchn'!$A$4:$C$170,2,0)),"",VLOOKUP(Tableau13[[#This Row],[Code machine]],'CODE mchn'!$A$4:$C$170,2,0))</f>
        <v>Béton</v>
      </c>
      <c r="D2242" s="241" t="str">
        <f>IF(ISNA(VLOOKUP(Tableau13[[#This Row],[Code machine]],'CODE mchn'!$A$4:$C$170,3,0)),"",VLOOKUP(Tableau13[[#This Row],[Code machine]],'CODE mchn'!$A$4:$C$170,3,0))</f>
        <v>Poyatos 1</v>
      </c>
      <c r="E2242" s="239">
        <v>25518</v>
      </c>
      <c r="F2242" s="241" t="s">
        <v>4140</v>
      </c>
      <c r="G2242" s="241" t="s">
        <v>185</v>
      </c>
      <c r="H2242" s="241" t="s">
        <v>2876</v>
      </c>
      <c r="I2242" s="241" t="s">
        <v>13</v>
      </c>
      <c r="J2242" s="249" t="s">
        <v>585</v>
      </c>
      <c r="K2242" s="242">
        <v>44728</v>
      </c>
      <c r="L2242" s="241"/>
      <c r="M2242" s="243">
        <v>180</v>
      </c>
      <c r="N2242" s="243">
        <f>MONTH(Tableau13[[#This Row],[Date fin intervention]])</f>
        <v>6</v>
      </c>
      <c r="O2242" s="243">
        <f>YEAR(Tableau13[[#This Row],[Date fin intervention]])</f>
        <v>2022</v>
      </c>
      <c r="P2242" s="241"/>
    </row>
    <row r="2243" spans="1:16">
      <c r="A2243" s="238">
        <v>44728</v>
      </c>
      <c r="B2243" s="239">
        <v>580</v>
      </c>
      <c r="C2243" s="240" t="str">
        <f>IF(ISNA(VLOOKUP(Tableau13[[#This Row],[Code machine]],'CODE mchn'!$A$4:$C$170,2,0)),"",VLOOKUP(Tableau13[[#This Row],[Code machine]],'CODE mchn'!$A$4:$C$170,2,0))</f>
        <v>Acier</v>
      </c>
      <c r="D2243" s="241" t="str">
        <f>IF(ISNA(VLOOKUP(Tableau13[[#This Row],[Code machine]],'CODE mchn'!$A$4:$C$170,3,0)),"",VLOOKUP(Tableau13[[#This Row],[Code machine]],'CODE mchn'!$A$4:$C$170,3,0))</f>
        <v>Techno Impiante</v>
      </c>
      <c r="E2243" s="239">
        <v>24514</v>
      </c>
      <c r="F2243" s="241" t="s">
        <v>4140</v>
      </c>
      <c r="G2243" s="241" t="s">
        <v>70</v>
      </c>
      <c r="H2243" s="241" t="s">
        <v>764</v>
      </c>
      <c r="I2243" s="241" t="s">
        <v>13</v>
      </c>
      <c r="J2243" s="249" t="s">
        <v>2892</v>
      </c>
      <c r="K2243" s="242">
        <v>44731</v>
      </c>
      <c r="L2243" s="241"/>
      <c r="M2243" s="243">
        <v>1920</v>
      </c>
      <c r="N2243" s="243">
        <f>MONTH(Tableau13[[#This Row],[Date fin intervention]])</f>
        <v>6</v>
      </c>
      <c r="O2243" s="243">
        <f>YEAR(Tableau13[[#This Row],[Date fin intervention]])</f>
        <v>2022</v>
      </c>
      <c r="P2243" s="241"/>
    </row>
    <row r="2244" spans="1:16">
      <c r="A2244" s="238">
        <v>44729</v>
      </c>
      <c r="B2244" s="239">
        <v>700</v>
      </c>
      <c r="C2244" s="240" t="str">
        <f>IF(ISNA(VLOOKUP(Tableau13[[#This Row],[Code machine]],'CODE mchn'!$A$4:$C$170,2,0)),"",VLOOKUP(Tableau13[[#This Row],[Code machine]],'CODE mchn'!$A$4:$C$170,2,0))</f>
        <v>Béton</v>
      </c>
      <c r="D2244" s="241" t="str">
        <f>IF(ISNA(VLOOKUP(Tableau13[[#This Row],[Code machine]],'CODE mchn'!$A$4:$C$170,3,0)),"",VLOOKUP(Tableau13[[#This Row],[Code machine]],'CODE mchn'!$A$4:$C$170,3,0))</f>
        <v>Poyatos 1</v>
      </c>
      <c r="E2244" s="239">
        <v>25519</v>
      </c>
      <c r="F2244" s="241" t="s">
        <v>4140</v>
      </c>
      <c r="G2244" s="241" t="s">
        <v>291</v>
      </c>
      <c r="H2244" s="241" t="s">
        <v>2877</v>
      </c>
      <c r="I2244" s="241" t="s">
        <v>13</v>
      </c>
      <c r="J2244" s="249" t="s">
        <v>2878</v>
      </c>
      <c r="K2244" s="242">
        <v>44729</v>
      </c>
      <c r="L2244" s="241"/>
      <c r="M2244" s="243">
        <v>360</v>
      </c>
      <c r="N2244" s="243">
        <f>MONTH(Tableau13[[#This Row],[Date fin intervention]])</f>
        <v>6</v>
      </c>
      <c r="O2244" s="243">
        <f>YEAR(Tableau13[[#This Row],[Date fin intervention]])</f>
        <v>2022</v>
      </c>
      <c r="P2244" s="241"/>
    </row>
    <row r="2245" spans="1:16" ht="28.5">
      <c r="A2245" s="238">
        <v>44730</v>
      </c>
      <c r="B2245" s="239">
        <v>800</v>
      </c>
      <c r="C2245" s="240" t="str">
        <f>IF(ISNA(VLOOKUP(Tableau13[[#This Row],[Code machine]],'CODE mchn'!$A$4:$C$170,2,0)),"",VLOOKUP(Tableau13[[#This Row],[Code machine]],'CODE mchn'!$A$4:$C$170,2,0))</f>
        <v>Béton</v>
      </c>
      <c r="D2245" s="241" t="str">
        <f>IF(ISNA(VLOOKUP(Tableau13[[#This Row],[Code machine]],'CODE mchn'!$A$4:$C$170,3,0)),"",VLOOKUP(Tableau13[[#This Row],[Code machine]],'CODE mchn'!$A$4:$C$170,3,0))</f>
        <v>Poyatos 2</v>
      </c>
      <c r="E2245" s="239">
        <v>25520</v>
      </c>
      <c r="F2245" s="241" t="s">
        <v>4140</v>
      </c>
      <c r="G2245" s="241" t="s">
        <v>185</v>
      </c>
      <c r="H2245" s="241" t="s">
        <v>2879</v>
      </c>
      <c r="I2245" s="241" t="s">
        <v>13</v>
      </c>
      <c r="J2245" s="249" t="s">
        <v>2880</v>
      </c>
      <c r="K2245" s="242">
        <v>44730</v>
      </c>
      <c r="L2245" s="241" t="s">
        <v>3029</v>
      </c>
      <c r="M2245" s="243">
        <v>240</v>
      </c>
      <c r="N2245" s="243">
        <f>MONTH(Tableau13[[#This Row],[Date fin intervention]])</f>
        <v>6</v>
      </c>
      <c r="O2245" s="243">
        <f>YEAR(Tableau13[[#This Row],[Date fin intervention]])</f>
        <v>2022</v>
      </c>
      <c r="P2245" s="241"/>
    </row>
    <row r="2246" spans="1:16">
      <c r="A2246" s="238">
        <v>44730</v>
      </c>
      <c r="B2246" s="239">
        <v>800</v>
      </c>
      <c r="C2246" s="240" t="str">
        <f>IF(ISNA(VLOOKUP(Tableau13[[#This Row],[Code machine]],'CODE mchn'!$A$4:$C$170,2,0)),"",VLOOKUP(Tableau13[[#This Row],[Code machine]],'CODE mchn'!$A$4:$C$170,2,0))</f>
        <v>Béton</v>
      </c>
      <c r="D2246" s="241" t="str">
        <f>IF(ISNA(VLOOKUP(Tableau13[[#This Row],[Code machine]],'CODE mchn'!$A$4:$C$170,3,0)),"",VLOOKUP(Tableau13[[#This Row],[Code machine]],'CODE mchn'!$A$4:$C$170,3,0))</f>
        <v>Poyatos 2</v>
      </c>
      <c r="E2246" s="239">
        <v>25521</v>
      </c>
      <c r="F2246" s="241" t="s">
        <v>4140</v>
      </c>
      <c r="G2246" s="241" t="s">
        <v>2881</v>
      </c>
      <c r="H2246" s="241" t="s">
        <v>2882</v>
      </c>
      <c r="I2246" s="241" t="s">
        <v>13</v>
      </c>
      <c r="J2246" s="249" t="s">
        <v>2883</v>
      </c>
      <c r="K2246" s="242">
        <v>44730</v>
      </c>
      <c r="L2246" s="241"/>
      <c r="M2246" s="243">
        <v>45</v>
      </c>
      <c r="N2246" s="243">
        <f>MONTH(Tableau13[[#This Row],[Date fin intervention]])</f>
        <v>6</v>
      </c>
      <c r="O2246" s="243">
        <f>YEAR(Tableau13[[#This Row],[Date fin intervention]])</f>
        <v>2022</v>
      </c>
      <c r="P2246" s="241"/>
    </row>
    <row r="2247" spans="1:16">
      <c r="A2247" s="238">
        <v>44733</v>
      </c>
      <c r="B2247" s="239">
        <v>800</v>
      </c>
      <c r="C2247" s="240" t="str">
        <f>IF(ISNA(VLOOKUP(Tableau13[[#This Row],[Code machine]],'CODE mchn'!$A$4:$C$170,2,0)),"",VLOOKUP(Tableau13[[#This Row],[Code machine]],'CODE mchn'!$A$4:$C$170,2,0))</f>
        <v>Béton</v>
      </c>
      <c r="D2247" s="241" t="str">
        <f>IF(ISNA(VLOOKUP(Tableau13[[#This Row],[Code machine]],'CODE mchn'!$A$4:$C$170,3,0)),"",VLOOKUP(Tableau13[[#This Row],[Code machine]],'CODE mchn'!$A$4:$C$170,3,0))</f>
        <v>Poyatos 2</v>
      </c>
      <c r="E2247" s="239">
        <v>25522</v>
      </c>
      <c r="F2247" s="241" t="s">
        <v>4140</v>
      </c>
      <c r="G2247" s="241" t="s">
        <v>185</v>
      </c>
      <c r="H2247" s="241" t="s">
        <v>1615</v>
      </c>
      <c r="I2247" s="241" t="s">
        <v>13</v>
      </c>
      <c r="J2247" s="249" t="s">
        <v>2885</v>
      </c>
      <c r="K2247" s="242">
        <v>44735</v>
      </c>
      <c r="L2247" s="241"/>
      <c r="M2247" s="243">
        <v>1620</v>
      </c>
      <c r="N2247" s="243">
        <f>MONTH(Tableau13[[#This Row],[Date fin intervention]])</f>
        <v>6</v>
      </c>
      <c r="O2247" s="243">
        <f>YEAR(Tableau13[[#This Row],[Date fin intervention]])</f>
        <v>2022</v>
      </c>
      <c r="P2247" s="241"/>
    </row>
    <row r="2248" spans="1:16">
      <c r="A2248" s="238">
        <v>44735</v>
      </c>
      <c r="B2248" s="239">
        <v>800</v>
      </c>
      <c r="C2248" s="240" t="str">
        <f>IF(ISNA(VLOOKUP(Tableau13[[#This Row],[Code machine]],'CODE mchn'!$A$4:$C$170,2,0)),"",VLOOKUP(Tableau13[[#This Row],[Code machine]],'CODE mchn'!$A$4:$C$170,2,0))</f>
        <v>Béton</v>
      </c>
      <c r="D2248" s="241" t="str">
        <f>IF(ISNA(VLOOKUP(Tableau13[[#This Row],[Code machine]],'CODE mchn'!$A$4:$C$170,3,0)),"",VLOOKUP(Tableau13[[#This Row],[Code machine]],'CODE mchn'!$A$4:$C$170,3,0))</f>
        <v>Poyatos 2</v>
      </c>
      <c r="E2248" s="239">
        <v>25527</v>
      </c>
      <c r="F2248" s="241" t="s">
        <v>4140</v>
      </c>
      <c r="G2248" s="241" t="s">
        <v>185</v>
      </c>
      <c r="H2248" s="241" t="s">
        <v>2886</v>
      </c>
      <c r="I2248" s="241" t="s">
        <v>13</v>
      </c>
      <c r="J2248" s="249" t="s">
        <v>2887</v>
      </c>
      <c r="K2248" s="242">
        <v>44735</v>
      </c>
      <c r="L2248" s="241"/>
      <c r="M2248" s="243">
        <v>180</v>
      </c>
      <c r="N2248" s="243">
        <f>MONTH(Tableau13[[#This Row],[Date fin intervention]])</f>
        <v>6</v>
      </c>
      <c r="O2248" s="243">
        <f>YEAR(Tableau13[[#This Row],[Date fin intervention]])</f>
        <v>2022</v>
      </c>
      <c r="P2248" s="241"/>
    </row>
    <row r="2249" spans="1:16">
      <c r="A2249" s="238">
        <v>44735</v>
      </c>
      <c r="B2249" s="239">
        <v>590</v>
      </c>
      <c r="C2249" s="240" t="str">
        <f>IF(ISNA(VLOOKUP(Tableau13[[#This Row],[Code machine]],'CODE mchn'!$A$4:$C$170,2,0)),"",VLOOKUP(Tableau13[[#This Row],[Code machine]],'CODE mchn'!$A$4:$C$170,2,0))</f>
        <v>Acier</v>
      </c>
      <c r="D2249" s="241" t="str">
        <f>IF(ISNA(VLOOKUP(Tableau13[[#This Row],[Code machine]],'CODE mchn'!$A$4:$C$170,3,0)),"",VLOOKUP(Tableau13[[#This Row],[Code machine]],'CODE mchn'!$A$4:$C$170,3,0))</f>
        <v>Teurema 3</v>
      </c>
      <c r="E2249" s="239">
        <v>14955</v>
      </c>
      <c r="F2249" s="241" t="s">
        <v>4140</v>
      </c>
      <c r="G2249" s="241" t="s">
        <v>2917</v>
      </c>
      <c r="H2249" s="241" t="s">
        <v>2918</v>
      </c>
      <c r="I2249" s="241" t="s">
        <v>13</v>
      </c>
      <c r="J2249" s="249" t="s">
        <v>2919</v>
      </c>
      <c r="K2249" s="242">
        <v>44735</v>
      </c>
      <c r="L2249" s="241"/>
      <c r="M2249" s="243"/>
      <c r="N2249" s="243">
        <f>MONTH(Tableau13[[#This Row],[Date fin intervention]])</f>
        <v>6</v>
      </c>
      <c r="O2249" s="243">
        <f>YEAR(Tableau13[[#This Row],[Date fin intervention]])</f>
        <v>2022</v>
      </c>
      <c r="P2249" s="241"/>
    </row>
    <row r="2250" spans="1:16">
      <c r="A2250" s="238">
        <v>44737</v>
      </c>
      <c r="B2250" s="239">
        <v>700</v>
      </c>
      <c r="C2250" s="240" t="str">
        <f>IF(ISNA(VLOOKUP(Tableau13[[#This Row],[Code machine]],'CODE mchn'!$A$4:$C$170,2,0)),"",VLOOKUP(Tableau13[[#This Row],[Code machine]],'CODE mchn'!$A$4:$C$170,2,0))</f>
        <v>Béton</v>
      </c>
      <c r="D2250" s="241" t="str">
        <f>IF(ISNA(VLOOKUP(Tableau13[[#This Row],[Code machine]],'CODE mchn'!$A$4:$C$170,3,0)),"",VLOOKUP(Tableau13[[#This Row],[Code machine]],'CODE mchn'!$A$4:$C$170,3,0))</f>
        <v>Poyatos 1</v>
      </c>
      <c r="E2250" s="239">
        <v>25530</v>
      </c>
      <c r="F2250" s="241" t="s">
        <v>4140</v>
      </c>
      <c r="G2250" s="241" t="s">
        <v>2888</v>
      </c>
      <c r="H2250" s="241" t="s">
        <v>2889</v>
      </c>
      <c r="I2250" s="241" t="s">
        <v>13</v>
      </c>
      <c r="J2250" s="249" t="s">
        <v>2890</v>
      </c>
      <c r="K2250" s="242">
        <v>44737</v>
      </c>
      <c r="L2250" s="241"/>
      <c r="M2250" s="243">
        <v>30</v>
      </c>
      <c r="N2250" s="243">
        <f>MONTH(Tableau13[[#This Row],[Date fin intervention]])</f>
        <v>6</v>
      </c>
      <c r="O2250" s="243">
        <f>YEAR(Tableau13[[#This Row],[Date fin intervention]])</f>
        <v>2022</v>
      </c>
      <c r="P2250" s="241"/>
    </row>
    <row r="2251" spans="1:16">
      <c r="A2251" s="238">
        <v>44740</v>
      </c>
      <c r="B2251" s="239">
        <v>700</v>
      </c>
      <c r="C2251" s="240" t="str">
        <f>IF(ISNA(VLOOKUP(Tableau13[[#This Row],[Code machine]],'CODE mchn'!$A$4:$C$170,2,0)),"",VLOOKUP(Tableau13[[#This Row],[Code machine]],'CODE mchn'!$A$4:$C$170,2,0))</f>
        <v>Béton</v>
      </c>
      <c r="D2251" s="241" t="str">
        <f>IF(ISNA(VLOOKUP(Tableau13[[#This Row],[Code machine]],'CODE mchn'!$A$4:$C$170,3,0)),"",VLOOKUP(Tableau13[[#This Row],[Code machine]],'CODE mchn'!$A$4:$C$170,3,0))</f>
        <v>Poyatos 1</v>
      </c>
      <c r="E2251" s="239">
        <v>25534</v>
      </c>
      <c r="F2251" s="241" t="s">
        <v>4140</v>
      </c>
      <c r="G2251" s="241" t="s">
        <v>2315</v>
      </c>
      <c r="H2251" s="241" t="s">
        <v>2891</v>
      </c>
      <c r="I2251" s="241" t="s">
        <v>13</v>
      </c>
      <c r="J2251" s="249" t="s">
        <v>2144</v>
      </c>
      <c r="K2251" s="242">
        <v>44740</v>
      </c>
      <c r="L2251" s="241"/>
      <c r="M2251" s="243">
        <v>45</v>
      </c>
      <c r="N2251" s="243">
        <f>MONTH(Tableau13[[#This Row],[Date fin intervention]])</f>
        <v>6</v>
      </c>
      <c r="O2251" s="243">
        <f>YEAR(Tableau13[[#This Row],[Date fin intervention]])</f>
        <v>2022</v>
      </c>
      <c r="P2251" s="241"/>
    </row>
    <row r="2252" spans="1:16">
      <c r="A2252" s="238">
        <v>44743</v>
      </c>
      <c r="B2252" s="239">
        <v>700</v>
      </c>
      <c r="C2252" s="240" t="str">
        <f>IF(ISNA(VLOOKUP(Tableau13[[#This Row],[Code machine]],'CODE mchn'!$A$4:$C$170,2,0)),"",VLOOKUP(Tableau13[[#This Row],[Code machine]],'CODE mchn'!$A$4:$C$170,2,0))</f>
        <v>Béton</v>
      </c>
      <c r="D2252" s="241" t="str">
        <f>IF(ISNA(VLOOKUP(Tableau13[[#This Row],[Code machine]],'CODE mchn'!$A$4:$C$170,3,0)),"",VLOOKUP(Tableau13[[#This Row],[Code machine]],'CODE mchn'!$A$4:$C$170,3,0))</f>
        <v>Poyatos 1</v>
      </c>
      <c r="E2252" s="239"/>
      <c r="F2252" s="241" t="s">
        <v>4140</v>
      </c>
      <c r="G2252" s="241" t="s">
        <v>118</v>
      </c>
      <c r="H2252" s="241" t="s">
        <v>4120</v>
      </c>
      <c r="I2252" s="241" t="s">
        <v>30</v>
      </c>
      <c r="J2252" s="249" t="s">
        <v>4124</v>
      </c>
      <c r="K2252" s="242">
        <v>44743</v>
      </c>
      <c r="L2252" s="241"/>
      <c r="M2252" s="243">
        <v>45</v>
      </c>
      <c r="N2252" s="243">
        <f>MONTH(Tableau13[[#This Row],[Date fin intervention]])</f>
        <v>7</v>
      </c>
      <c r="O2252" s="243">
        <f>YEAR(Tableau13[[#This Row],[Date fin intervention]])</f>
        <v>2022</v>
      </c>
      <c r="P2252" s="241"/>
    </row>
    <row r="2253" spans="1:16">
      <c r="A2253" s="238">
        <v>44747</v>
      </c>
      <c r="B2253" s="239">
        <v>800</v>
      </c>
      <c r="C2253" s="240" t="str">
        <f>IF(ISNA(VLOOKUP(Tableau13[[#This Row],[Code machine]],'CODE mchn'!$A$4:$C$170,2,0)),"",VLOOKUP(Tableau13[[#This Row],[Code machine]],'CODE mchn'!$A$4:$C$170,2,0))</f>
        <v>Béton</v>
      </c>
      <c r="D2253" s="241" t="str">
        <f>IF(ISNA(VLOOKUP(Tableau13[[#This Row],[Code machine]],'CODE mchn'!$A$4:$C$170,3,0)),"",VLOOKUP(Tableau13[[#This Row],[Code machine]],'CODE mchn'!$A$4:$C$170,3,0))</f>
        <v>Poyatos 2</v>
      </c>
      <c r="E2253" s="239">
        <v>15905</v>
      </c>
      <c r="F2253" s="241" t="s">
        <v>4140</v>
      </c>
      <c r="G2253" s="241" t="s">
        <v>291</v>
      </c>
      <c r="H2253" s="241" t="s">
        <v>2907</v>
      </c>
      <c r="I2253" s="241" t="s">
        <v>2765</v>
      </c>
      <c r="J2253" s="249" t="s">
        <v>3030</v>
      </c>
      <c r="K2253" s="242">
        <v>44747</v>
      </c>
      <c r="L2253" s="241" t="s">
        <v>2921</v>
      </c>
      <c r="M2253" s="243">
        <v>90</v>
      </c>
      <c r="N2253" s="243">
        <f>MONTH(Tableau13[[#This Row],[Date fin intervention]])</f>
        <v>7</v>
      </c>
      <c r="O2253" s="243">
        <f>YEAR(Tableau13[[#This Row],[Date fin intervention]])</f>
        <v>2022</v>
      </c>
      <c r="P2253" s="241"/>
    </row>
    <row r="2254" spans="1:16" ht="57">
      <c r="A2254" s="238">
        <v>44761</v>
      </c>
      <c r="B2254" s="239">
        <v>700</v>
      </c>
      <c r="C2254" s="240" t="str">
        <f>IF(ISNA(VLOOKUP(Tableau13[[#This Row],[Code machine]],'CODE mchn'!$A$4:$C$170,2,0)),"",VLOOKUP(Tableau13[[#This Row],[Code machine]],'CODE mchn'!$A$4:$C$170,2,0))</f>
        <v>Béton</v>
      </c>
      <c r="D2254" s="241" t="str">
        <f>IF(ISNA(VLOOKUP(Tableau13[[#This Row],[Code machine]],'CODE mchn'!$A$4:$C$170,3,0)),"",VLOOKUP(Tableau13[[#This Row],[Code machine]],'CODE mchn'!$A$4:$C$170,3,0))</f>
        <v>Poyatos 1</v>
      </c>
      <c r="E2254" s="239">
        <v>15765</v>
      </c>
      <c r="F2254" s="241" t="s">
        <v>4140</v>
      </c>
      <c r="G2254" s="241" t="s">
        <v>3</v>
      </c>
      <c r="H2254" s="241" t="s">
        <v>1612</v>
      </c>
      <c r="I2254" s="241" t="s">
        <v>1578</v>
      </c>
      <c r="J2254" s="249" t="s">
        <v>2920</v>
      </c>
      <c r="K2254" s="242">
        <v>44773</v>
      </c>
      <c r="L2254" s="241"/>
      <c r="M2254" s="243">
        <v>4320</v>
      </c>
      <c r="N2254" s="243">
        <f>MONTH(Tableau13[[#This Row],[Date fin intervention]])</f>
        <v>7</v>
      </c>
      <c r="O2254" s="243">
        <f>YEAR(Tableau13[[#This Row],[Date fin intervention]])</f>
        <v>2022</v>
      </c>
      <c r="P2254" s="241"/>
    </row>
    <row r="2255" spans="1:16" ht="28.5">
      <c r="A2255" s="238">
        <v>44762</v>
      </c>
      <c r="B2255" s="239">
        <v>606</v>
      </c>
      <c r="C2255" s="240" t="str">
        <f>IF(ISNA(VLOOKUP(Tableau13[[#This Row],[Code machine]],'CODE mchn'!$A$4:$C$170,2,0)),"",VLOOKUP(Tableau13[[#This Row],[Code machine]],'CODE mchn'!$A$4:$C$170,2,0))</f>
        <v>Acier</v>
      </c>
      <c r="D2255" s="241" t="str">
        <f>IF(ISNA(VLOOKUP(Tableau13[[#This Row],[Code machine]],'CODE mchn'!$A$4:$C$170,3,0)),"",VLOOKUP(Tableau13[[#This Row],[Code machine]],'CODE mchn'!$A$4:$C$170,3,0))</f>
        <v>Vitari 2</v>
      </c>
      <c r="E2255" s="239"/>
      <c r="F2255" s="241"/>
      <c r="G2255" s="241" t="s">
        <v>10</v>
      </c>
      <c r="H2255" s="241" t="s">
        <v>4151</v>
      </c>
      <c r="I2255" s="241" t="s">
        <v>13</v>
      </c>
      <c r="J2255" s="249" t="s">
        <v>4150</v>
      </c>
      <c r="K2255" s="242"/>
      <c r="L2255" s="241" t="s">
        <v>4152</v>
      </c>
      <c r="M2255" s="243"/>
      <c r="N2255" s="243">
        <f>MONTH(Tableau13[[#This Row],[Date fin intervention]])</f>
        <v>1</v>
      </c>
      <c r="O2255" s="243">
        <f>YEAR(Tableau13[[#This Row],[Date fin intervention]])</f>
        <v>1900</v>
      </c>
      <c r="P2255" s="241"/>
    </row>
    <row r="2256" spans="1:16" ht="28.5">
      <c r="A2256" s="238">
        <v>44764</v>
      </c>
      <c r="B2256" s="239">
        <v>565</v>
      </c>
      <c r="C2256" s="240" t="str">
        <f>IF(ISNA(VLOOKUP(Tableau13[[#This Row],[Code machine]],'CODE mchn'!$A$4:$C$170,2,0)),"",VLOOKUP(Tableau13[[#This Row],[Code machine]],'CODE mchn'!$A$4:$C$170,2,0))</f>
        <v>Acier</v>
      </c>
      <c r="D2256" s="241" t="str">
        <f>IF(ISNA(VLOOKUP(Tableau13[[#This Row],[Code machine]],'CODE mchn'!$A$4:$C$170,3,0)),"",VLOOKUP(Tableau13[[#This Row],[Code machine]],'CODE mchn'!$A$4:$C$170,3,0))</f>
        <v>EVG GE12</v>
      </c>
      <c r="E2256" s="239" t="s">
        <v>4144</v>
      </c>
      <c r="F2256" s="241"/>
      <c r="G2256" s="241" t="s">
        <v>4145</v>
      </c>
      <c r="H2256" s="241" t="s">
        <v>4146</v>
      </c>
      <c r="I2256" s="241" t="s">
        <v>4147</v>
      </c>
      <c r="J2256" s="249" t="s">
        <v>4148</v>
      </c>
      <c r="K2256" s="242">
        <v>44764</v>
      </c>
      <c r="L2256" s="241" t="s">
        <v>4149</v>
      </c>
      <c r="M2256" s="243"/>
      <c r="N2256" s="243">
        <f>MONTH(Tableau13[[#This Row],[Date fin intervention]])</f>
        <v>7</v>
      </c>
      <c r="O2256" s="243">
        <f>YEAR(Tableau13[[#This Row],[Date fin intervention]])</f>
        <v>2022</v>
      </c>
      <c r="P2256" s="241" t="s">
        <v>3028</v>
      </c>
    </row>
    <row r="2257" spans="1:16">
      <c r="A2257" s="238">
        <v>44777</v>
      </c>
      <c r="B2257" s="239">
        <v>606</v>
      </c>
      <c r="C2257" s="240" t="str">
        <f>IF(ISNA(VLOOKUP(Tableau13[[#This Row],[Code machine]],'CODE mchn'!$A$4:$C$170,2,0)),"",VLOOKUP(Tableau13[[#This Row],[Code machine]],'CODE mchn'!$A$4:$C$170,2,0))</f>
        <v>Acier</v>
      </c>
      <c r="D2257" s="241" t="str">
        <f>IF(ISNA(VLOOKUP(Tableau13[[#This Row],[Code machine]],'CODE mchn'!$A$4:$C$170,3,0)),"",VLOOKUP(Tableau13[[#This Row],[Code machine]],'CODE mchn'!$A$4:$C$170,3,0))</f>
        <v>Vitari 2</v>
      </c>
      <c r="E2257" s="239">
        <v>15509</v>
      </c>
      <c r="F2257" s="241" t="s">
        <v>4140</v>
      </c>
      <c r="G2257" s="241" t="s">
        <v>664</v>
      </c>
      <c r="H2257" s="241" t="s">
        <v>563</v>
      </c>
      <c r="I2257" s="241" t="s">
        <v>101</v>
      </c>
      <c r="J2257" s="249" t="s">
        <v>2738</v>
      </c>
      <c r="K2257" s="242">
        <v>44778</v>
      </c>
      <c r="L2257" s="241"/>
      <c r="M2257" s="243">
        <v>480</v>
      </c>
      <c r="N2257" s="243">
        <f>MONTH(Tableau13[[#This Row],[Date fin intervention]])</f>
        <v>8</v>
      </c>
      <c r="O2257" s="243">
        <f>YEAR(Tableau13[[#This Row],[Date fin intervention]])</f>
        <v>2022</v>
      </c>
      <c r="P2257" s="241"/>
    </row>
    <row r="2258" spans="1:16">
      <c r="A2258" s="238">
        <v>44777</v>
      </c>
      <c r="B2258" s="239">
        <v>800</v>
      </c>
      <c r="C2258" s="240" t="str">
        <f>IF(ISNA(VLOOKUP(Tableau13[[#This Row],[Code machine]],'CODE mchn'!$A$4:$C$170,2,0)),"",VLOOKUP(Tableau13[[#This Row],[Code machine]],'CODE mchn'!$A$4:$C$170,2,0))</f>
        <v>Béton</v>
      </c>
      <c r="D2258" s="241" t="str">
        <f>IF(ISNA(VLOOKUP(Tableau13[[#This Row],[Code machine]],'CODE mchn'!$A$4:$C$170,3,0)),"",VLOOKUP(Tableau13[[#This Row],[Code machine]],'CODE mchn'!$A$4:$C$170,3,0))</f>
        <v>Poyatos 2</v>
      </c>
      <c r="E2258" s="239"/>
      <c r="F2258" s="241" t="s">
        <v>4140</v>
      </c>
      <c r="G2258" s="241" t="s">
        <v>185</v>
      </c>
      <c r="H2258" s="241" t="s">
        <v>4120</v>
      </c>
      <c r="I2258" s="241" t="s">
        <v>30</v>
      </c>
      <c r="J2258" s="249" t="s">
        <v>1387</v>
      </c>
      <c r="K2258" s="242">
        <v>44777</v>
      </c>
      <c r="L2258" s="241"/>
      <c r="M2258" s="243">
        <v>45</v>
      </c>
      <c r="N2258" s="243">
        <f>MONTH(Tableau13[[#This Row],[Date fin intervention]])</f>
        <v>8</v>
      </c>
      <c r="O2258" s="243">
        <f>YEAR(Tableau13[[#This Row],[Date fin intervention]])</f>
        <v>2022</v>
      </c>
      <c r="P2258" s="241"/>
    </row>
    <row r="2259" spans="1:16">
      <c r="A2259" s="238">
        <v>44778</v>
      </c>
      <c r="B2259" s="239">
        <v>565</v>
      </c>
      <c r="C2259" s="240" t="str">
        <f>IF(ISNA(VLOOKUP(Tableau13[[#This Row],[Code machine]],'CODE mchn'!$A$4:$C$170,2,0)),"",VLOOKUP(Tableau13[[#This Row],[Code machine]],'CODE mchn'!$A$4:$C$170,2,0))</f>
        <v>Acier</v>
      </c>
      <c r="D2259" s="241" t="str">
        <f>IF(ISNA(VLOOKUP(Tableau13[[#This Row],[Code machine]],'CODE mchn'!$A$4:$C$170,3,0)),"",VLOOKUP(Tableau13[[#This Row],[Code machine]],'CODE mchn'!$A$4:$C$170,3,0))</f>
        <v>EVG GE12</v>
      </c>
      <c r="E2259" s="239">
        <v>15511</v>
      </c>
      <c r="F2259" s="241" t="s">
        <v>4140</v>
      </c>
      <c r="G2259" s="241" t="s">
        <v>1101</v>
      </c>
      <c r="H2259" s="241" t="s">
        <v>2929</v>
      </c>
      <c r="I2259" s="241" t="s">
        <v>13</v>
      </c>
      <c r="J2259" s="249" t="s">
        <v>2930</v>
      </c>
      <c r="K2259" s="242">
        <v>44778</v>
      </c>
      <c r="L2259" s="241"/>
      <c r="M2259" s="243">
        <v>960</v>
      </c>
      <c r="N2259" s="243">
        <f>MONTH(Tableau13[[#This Row],[Date fin intervention]])</f>
        <v>8</v>
      </c>
      <c r="O2259" s="243">
        <f>YEAR(Tableau13[[#This Row],[Date fin intervention]])</f>
        <v>2022</v>
      </c>
      <c r="P2259" s="241"/>
    </row>
    <row r="2260" spans="1:16">
      <c r="A2260" s="238">
        <v>44779</v>
      </c>
      <c r="B2260" s="239">
        <v>565</v>
      </c>
      <c r="C2260" s="240" t="str">
        <f>IF(ISNA(VLOOKUP(Tableau13[[#This Row],[Code machine]],'CODE mchn'!$A$4:$C$170,2,0)),"",VLOOKUP(Tableau13[[#This Row],[Code machine]],'CODE mchn'!$A$4:$C$170,2,0))</f>
        <v>Acier</v>
      </c>
      <c r="D2260" s="241" t="str">
        <f>IF(ISNA(VLOOKUP(Tableau13[[#This Row],[Code machine]],'CODE mchn'!$A$4:$C$170,3,0)),"",VLOOKUP(Tableau13[[#This Row],[Code machine]],'CODE mchn'!$A$4:$C$170,3,0))</f>
        <v>EVG GE12</v>
      </c>
      <c r="E2260" s="239">
        <v>15513</v>
      </c>
      <c r="F2260" s="241" t="s">
        <v>4140</v>
      </c>
      <c r="G2260" s="241" t="s">
        <v>2243</v>
      </c>
      <c r="H2260" s="241" t="s">
        <v>2927</v>
      </c>
      <c r="I2260" s="241" t="s">
        <v>13</v>
      </c>
      <c r="J2260" s="249" t="s">
        <v>2926</v>
      </c>
      <c r="K2260" s="242">
        <v>44779</v>
      </c>
      <c r="L2260" s="241"/>
      <c r="M2260" s="243">
        <v>960</v>
      </c>
      <c r="N2260" s="243">
        <f>MONTH(Tableau13[[#This Row],[Date fin intervention]])</f>
        <v>8</v>
      </c>
      <c r="O2260" s="243">
        <f>YEAR(Tableau13[[#This Row],[Date fin intervention]])</f>
        <v>2022</v>
      </c>
      <c r="P2260" s="241"/>
    </row>
    <row r="2261" spans="1:16" ht="28.5">
      <c r="A2261" s="238">
        <v>44780</v>
      </c>
      <c r="B2261" s="239">
        <v>568</v>
      </c>
      <c r="C2261" s="240" t="str">
        <f>IF(ISNA(VLOOKUP(Tableau13[[#This Row],[Code machine]],'CODE mchn'!$A$4:$C$170,2,0)),"",VLOOKUP(Tableau13[[#This Row],[Code machine]],'CODE mchn'!$A$4:$C$170,2,0))</f>
        <v>Ponts roulants</v>
      </c>
      <c r="D2261" s="241" t="str">
        <f>IF(ISNA(VLOOKUP(Tableau13[[#This Row],[Code machine]],'CODE mchn'!$A$4:$C$170,3,0)),"",VLOOKUP(Tableau13[[#This Row],[Code machine]],'CODE mchn'!$A$4:$C$170,3,0))</f>
        <v>Pont roulant Demag 5T (milieu)</v>
      </c>
      <c r="E2261" s="239">
        <v>15514</v>
      </c>
      <c r="F2261" s="241" t="s">
        <v>4140</v>
      </c>
      <c r="G2261" s="241" t="s">
        <v>2923</v>
      </c>
      <c r="H2261" s="241" t="s">
        <v>810</v>
      </c>
      <c r="I2261" s="241" t="s">
        <v>2924</v>
      </c>
      <c r="J2261" s="249" t="s">
        <v>2925</v>
      </c>
      <c r="K2261" s="242">
        <v>44780</v>
      </c>
      <c r="L2261" s="241"/>
      <c r="M2261" s="243">
        <v>1920</v>
      </c>
      <c r="N2261" s="243">
        <f>MONTH(Tableau13[[#This Row],[Date fin intervention]])</f>
        <v>8</v>
      </c>
      <c r="O2261" s="243">
        <f>YEAR(Tableau13[[#This Row],[Date fin intervention]])</f>
        <v>2022</v>
      </c>
      <c r="P2261" s="241"/>
    </row>
    <row r="2262" spans="1:16">
      <c r="A2262" s="238">
        <v>44784</v>
      </c>
      <c r="B2262" s="239">
        <v>571</v>
      </c>
      <c r="C2262" s="240" t="str">
        <f>IF(ISNA(VLOOKUP(Tableau13[[#This Row],[Code machine]],'CODE mchn'!$A$4:$C$170,2,0)),"",VLOOKUP(Tableau13[[#This Row],[Code machine]],'CODE mchn'!$A$4:$C$170,2,0))</f>
        <v>Acier</v>
      </c>
      <c r="D2262" s="241" t="str">
        <f>IF(ISNA(VLOOKUP(Tableau13[[#This Row],[Code machine]],'CODE mchn'!$A$4:$C$170,3,0)),"",VLOOKUP(Tableau13[[#This Row],[Code machine]],'CODE mchn'!$A$4:$C$170,3,0))</f>
        <v>EVG PN 1</v>
      </c>
      <c r="E2262" s="239">
        <v>25314</v>
      </c>
      <c r="F2262" s="241" t="s">
        <v>4140</v>
      </c>
      <c r="G2262" s="241" t="s">
        <v>78</v>
      </c>
      <c r="H2262" s="241" t="s">
        <v>2989</v>
      </c>
      <c r="I2262" s="241" t="s">
        <v>13</v>
      </c>
      <c r="J2262" s="249" t="s">
        <v>2990</v>
      </c>
      <c r="K2262" s="242">
        <v>44804</v>
      </c>
      <c r="L2262" s="241"/>
      <c r="M2262" s="243">
        <v>8640</v>
      </c>
      <c r="N2262" s="243">
        <f>MONTH(Tableau13[[#This Row],[Date fin intervention]])</f>
        <v>8</v>
      </c>
      <c r="O2262" s="243">
        <f>YEAR(Tableau13[[#This Row],[Date fin intervention]])</f>
        <v>2022</v>
      </c>
      <c r="P2262" s="241"/>
    </row>
    <row r="2263" spans="1:16">
      <c r="A2263" s="238">
        <v>44792</v>
      </c>
      <c r="B2263" s="239">
        <v>700</v>
      </c>
      <c r="C2263" s="240" t="str">
        <f>IF(ISNA(VLOOKUP(Tableau13[[#This Row],[Code machine]],'CODE mchn'!$A$4:$C$170,2,0)),"",VLOOKUP(Tableau13[[#This Row],[Code machine]],'CODE mchn'!$A$4:$C$170,2,0))</f>
        <v>Béton</v>
      </c>
      <c r="D2263" s="241" t="str">
        <f>IF(ISNA(VLOOKUP(Tableau13[[#This Row],[Code machine]],'CODE mchn'!$A$4:$C$170,3,0)),"",VLOOKUP(Tableau13[[#This Row],[Code machine]],'CODE mchn'!$A$4:$C$170,3,0))</f>
        <v>Poyatos 1</v>
      </c>
      <c r="E2263" s="239">
        <v>15913</v>
      </c>
      <c r="F2263" s="241" t="s">
        <v>4140</v>
      </c>
      <c r="G2263" s="241" t="s">
        <v>409</v>
      </c>
      <c r="H2263" s="241" t="s">
        <v>724</v>
      </c>
      <c r="I2263" s="241" t="s">
        <v>101</v>
      </c>
      <c r="J2263" s="249" t="s">
        <v>2922</v>
      </c>
      <c r="K2263" s="242">
        <v>44792</v>
      </c>
      <c r="L2263" s="241"/>
      <c r="M2263" s="243">
        <v>120</v>
      </c>
      <c r="N2263" s="243">
        <f>MONTH(Tableau13[[#This Row],[Date fin intervention]])</f>
        <v>8</v>
      </c>
      <c r="O2263" s="243">
        <f>YEAR(Tableau13[[#This Row],[Date fin intervention]])</f>
        <v>2022</v>
      </c>
      <c r="P2263" s="241"/>
    </row>
    <row r="2264" spans="1:16">
      <c r="A2264" s="238">
        <v>44792</v>
      </c>
      <c r="B2264" s="239">
        <v>534</v>
      </c>
      <c r="C2264" s="240" t="str">
        <f>IF(ISNA(VLOOKUP(Tableau13[[#This Row],[Code machine]],'CODE mchn'!$A$4:$C$170,2,0)),"",VLOOKUP(Tableau13[[#This Row],[Code machine]],'CODE mchn'!$A$4:$C$170,2,0))</f>
        <v>Enrobage</v>
      </c>
      <c r="D2264" s="241" t="str">
        <f>IF(ISNA(VLOOKUP(Tableau13[[#This Row],[Code machine]],'CODE mchn'!$A$4:$C$170,3,0)),"",VLOOKUP(Tableau13[[#This Row],[Code machine]],'CODE mchn'!$A$4:$C$170,3,0))</f>
        <v>ELKON 2</v>
      </c>
      <c r="E2264" s="239">
        <v>14402</v>
      </c>
      <c r="F2264" s="241" t="s">
        <v>4140</v>
      </c>
      <c r="G2264" s="241" t="s">
        <v>35</v>
      </c>
      <c r="H2264" s="241" t="s">
        <v>2928</v>
      </c>
      <c r="I2264" s="241" t="s">
        <v>13</v>
      </c>
      <c r="J2264" s="249" t="s">
        <v>1857</v>
      </c>
      <c r="K2264" s="242">
        <v>44792</v>
      </c>
      <c r="L2264" s="241"/>
      <c r="M2264" s="243">
        <v>240</v>
      </c>
      <c r="N2264" s="243">
        <f>MONTH(Tableau13[[#This Row],[Date fin intervention]])</f>
        <v>8</v>
      </c>
      <c r="O2264" s="243">
        <f>YEAR(Tableau13[[#This Row],[Date fin intervention]])</f>
        <v>2022</v>
      </c>
      <c r="P2264" s="241"/>
    </row>
    <row r="2265" spans="1:16">
      <c r="A2265" s="238">
        <v>44796</v>
      </c>
      <c r="B2265" s="239">
        <v>700</v>
      </c>
      <c r="C2265" s="240" t="str">
        <f>IF(ISNA(VLOOKUP(Tableau13[[#This Row],[Code machine]],'CODE mchn'!$A$4:$C$170,2,0)),"",VLOOKUP(Tableau13[[#This Row],[Code machine]],'CODE mchn'!$A$4:$C$170,2,0))</f>
        <v>Béton</v>
      </c>
      <c r="D2265" s="241" t="str">
        <f>IF(ISNA(VLOOKUP(Tableau13[[#This Row],[Code machine]],'CODE mchn'!$A$4:$C$170,3,0)),"",VLOOKUP(Tableau13[[#This Row],[Code machine]],'CODE mchn'!$A$4:$C$170,3,0))</f>
        <v>Poyatos 1</v>
      </c>
      <c r="E2265" s="239">
        <v>25701</v>
      </c>
      <c r="F2265" s="241" t="s">
        <v>4140</v>
      </c>
      <c r="G2265" s="241" t="s">
        <v>128</v>
      </c>
      <c r="H2265" s="241" t="s">
        <v>2900</v>
      </c>
      <c r="I2265" s="241" t="s">
        <v>13</v>
      </c>
      <c r="J2265" s="249" t="s">
        <v>2901</v>
      </c>
      <c r="K2265" s="242">
        <v>44796</v>
      </c>
      <c r="L2265" s="241"/>
      <c r="M2265" s="243">
        <v>60</v>
      </c>
      <c r="N2265" s="243">
        <f>MONTH(Tableau13[[#This Row],[Date fin intervention]])</f>
        <v>8</v>
      </c>
      <c r="O2265" s="243">
        <f>YEAR(Tableau13[[#This Row],[Date fin intervention]])</f>
        <v>2022</v>
      </c>
      <c r="P2265" s="241"/>
    </row>
    <row r="2266" spans="1:16" ht="42.75">
      <c r="A2266" s="238">
        <v>44796</v>
      </c>
      <c r="B2266" s="239">
        <v>722</v>
      </c>
      <c r="C2266" s="240" t="str">
        <f>IF(ISNA(VLOOKUP(Tableau13[[#This Row],[Code machine]],'CODE mchn'!$A$4:$C$170,2,0)),"",VLOOKUP(Tableau13[[#This Row],[Code machine]],'CODE mchn'!$A$4:$C$170,2,0))</f>
        <v>Compresseurs</v>
      </c>
      <c r="D2266" s="241" t="str">
        <f>IF(ISNA(VLOOKUP(Tableau13[[#This Row],[Code machine]],'CODE mchn'!$A$4:$C$170,3,0)),"",VLOOKUP(Tableau13[[#This Row],[Code machine]],'CODE mchn'!$A$4:$C$170,3,0))</f>
        <v xml:space="preserve">GA 22 (poyatos) </v>
      </c>
      <c r="E2266" s="239">
        <v>25702</v>
      </c>
      <c r="F2266" s="241" t="s">
        <v>4140</v>
      </c>
      <c r="G2266" s="241" t="s">
        <v>2902</v>
      </c>
      <c r="H2266" s="241" t="s">
        <v>2903</v>
      </c>
      <c r="I2266" s="241" t="s">
        <v>13</v>
      </c>
      <c r="J2266" s="249" t="s">
        <v>2904</v>
      </c>
      <c r="K2266" s="242">
        <v>44796</v>
      </c>
      <c r="L2266" s="241"/>
      <c r="M2266" s="243"/>
      <c r="N2266" s="243">
        <f>MONTH(Tableau13[[#This Row],[Date fin intervention]])</f>
        <v>8</v>
      </c>
      <c r="O2266" s="243">
        <f>YEAR(Tableau13[[#This Row],[Date fin intervention]])</f>
        <v>2022</v>
      </c>
      <c r="P2266" s="241"/>
    </row>
    <row r="2267" spans="1:16">
      <c r="A2267" s="238">
        <v>44796</v>
      </c>
      <c r="B2267" s="239">
        <v>561</v>
      </c>
      <c r="C2267" s="240" t="str">
        <f>IF(ISNA(VLOOKUP(Tableau13[[#This Row],[Code machine]],'CODE mchn'!$A$4:$C$170,2,0)),"",VLOOKUP(Tableau13[[#This Row],[Code machine]],'CODE mchn'!$A$4:$C$170,2,0))</f>
        <v>Ponts roulants</v>
      </c>
      <c r="D2267" s="241" t="str">
        <f>IF(ISNA(VLOOKUP(Tableau13[[#This Row],[Code machine]],'CODE mchn'!$A$4:$C$170,3,0)),"",VLOOKUP(Tableau13[[#This Row],[Code machine]],'CODE mchn'!$A$4:$C$170,3,0))</f>
        <v>Pont roulant Demag 5T TS</v>
      </c>
      <c r="E2267" s="239">
        <v>25703</v>
      </c>
      <c r="F2267" s="241" t="s">
        <v>4140</v>
      </c>
      <c r="G2267" s="241" t="s">
        <v>1338</v>
      </c>
      <c r="H2267" s="241" t="s">
        <v>2905</v>
      </c>
      <c r="I2267" s="241" t="s">
        <v>13</v>
      </c>
      <c r="J2267" s="249" t="s">
        <v>2906</v>
      </c>
      <c r="K2267" s="242">
        <v>44796</v>
      </c>
      <c r="L2267" s="241"/>
      <c r="M2267" s="243">
        <v>90</v>
      </c>
      <c r="N2267" s="243">
        <f>MONTH(Tableau13[[#This Row],[Date fin intervention]])</f>
        <v>8</v>
      </c>
      <c r="O2267" s="243">
        <f>YEAR(Tableau13[[#This Row],[Date fin intervention]])</f>
        <v>2022</v>
      </c>
      <c r="P2267" s="241"/>
    </row>
    <row r="2268" spans="1:16" ht="28.5">
      <c r="A2268" s="238">
        <v>44797</v>
      </c>
      <c r="B2268" s="239">
        <v>800</v>
      </c>
      <c r="C2268" s="240" t="str">
        <f>IF(ISNA(VLOOKUP(Tableau13[[#This Row],[Code machine]],'CODE mchn'!$A$4:$C$170,2,0)),"",VLOOKUP(Tableau13[[#This Row],[Code machine]],'CODE mchn'!$A$4:$C$170,2,0))</f>
        <v>Béton</v>
      </c>
      <c r="D2268" s="241" t="str">
        <f>IF(ISNA(VLOOKUP(Tableau13[[#This Row],[Code machine]],'CODE mchn'!$A$4:$C$170,3,0)),"",VLOOKUP(Tableau13[[#This Row],[Code machine]],'CODE mchn'!$A$4:$C$170,3,0))</f>
        <v>Poyatos 2</v>
      </c>
      <c r="E2268" s="239">
        <v>25705</v>
      </c>
      <c r="F2268" s="241" t="s">
        <v>4140</v>
      </c>
      <c r="G2268" s="241" t="s">
        <v>291</v>
      </c>
      <c r="H2268" s="241" t="s">
        <v>2907</v>
      </c>
      <c r="I2268" s="241" t="s">
        <v>13</v>
      </c>
      <c r="J2268" s="249" t="s">
        <v>3025</v>
      </c>
      <c r="K2268" s="242">
        <v>44797</v>
      </c>
      <c r="L2268" s="241"/>
      <c r="M2268" s="243">
        <v>180</v>
      </c>
      <c r="N2268" s="243">
        <f>MONTH(Tableau13[[#This Row],[Date fin intervention]])</f>
        <v>8</v>
      </c>
      <c r="O2268" s="243">
        <f>YEAR(Tableau13[[#This Row],[Date fin intervention]])</f>
        <v>2022</v>
      </c>
      <c r="P2268" s="241"/>
    </row>
    <row r="2269" spans="1:16">
      <c r="A2269" s="238">
        <v>44797</v>
      </c>
      <c r="B2269" s="239">
        <v>571</v>
      </c>
      <c r="C2269" s="240" t="str">
        <f>IF(ISNA(VLOOKUP(Tableau13[[#This Row],[Code machine]],'CODE mchn'!$A$4:$C$170,2,0)),"",VLOOKUP(Tableau13[[#This Row],[Code machine]],'CODE mchn'!$A$4:$C$170,2,0))</f>
        <v>Acier</v>
      </c>
      <c r="D2269" s="241" t="str">
        <f>IF(ISNA(VLOOKUP(Tableau13[[#This Row],[Code machine]],'CODE mchn'!$A$4:$C$170,3,0)),"",VLOOKUP(Tableau13[[#This Row],[Code machine]],'CODE mchn'!$A$4:$C$170,3,0))</f>
        <v>EVG PN 1</v>
      </c>
      <c r="E2269" s="239">
        <v>25706</v>
      </c>
      <c r="F2269" s="241" t="s">
        <v>4140</v>
      </c>
      <c r="G2269" s="241" t="s">
        <v>10</v>
      </c>
      <c r="H2269" s="241" t="s">
        <v>2908</v>
      </c>
      <c r="I2269" s="241" t="s">
        <v>13</v>
      </c>
      <c r="J2269" s="249" t="s">
        <v>2909</v>
      </c>
      <c r="K2269" s="242">
        <v>44797</v>
      </c>
      <c r="L2269" s="241"/>
      <c r="M2269" s="243">
        <v>45</v>
      </c>
      <c r="N2269" s="243">
        <f>MONTH(Tableau13[[#This Row],[Date fin intervention]])</f>
        <v>8</v>
      </c>
      <c r="O2269" s="243">
        <f>YEAR(Tableau13[[#This Row],[Date fin intervention]])</f>
        <v>2022</v>
      </c>
      <c r="P2269" s="241"/>
    </row>
    <row r="2270" spans="1:16">
      <c r="A2270" s="238">
        <v>44797</v>
      </c>
      <c r="B2270" s="239">
        <v>565</v>
      </c>
      <c r="C2270" s="240" t="str">
        <f>IF(ISNA(VLOOKUP(Tableau13[[#This Row],[Code machine]],'CODE mchn'!$A$4:$C$170,2,0)),"",VLOOKUP(Tableau13[[#This Row],[Code machine]],'CODE mchn'!$A$4:$C$170,2,0))</f>
        <v>Acier</v>
      </c>
      <c r="D2270" s="241" t="str">
        <f>IF(ISNA(VLOOKUP(Tableau13[[#This Row],[Code machine]],'CODE mchn'!$A$4:$C$170,3,0)),"",VLOOKUP(Tableau13[[#This Row],[Code machine]],'CODE mchn'!$A$4:$C$170,3,0))</f>
        <v>EVG GE12</v>
      </c>
      <c r="E2270" s="239">
        <v>25707</v>
      </c>
      <c r="F2270" s="241" t="s">
        <v>4140</v>
      </c>
      <c r="G2270" s="241" t="s">
        <v>2910</v>
      </c>
      <c r="H2270" s="241" t="s">
        <v>2911</v>
      </c>
      <c r="I2270" s="241" t="s">
        <v>13</v>
      </c>
      <c r="J2270" s="249" t="s">
        <v>847</v>
      </c>
      <c r="K2270" s="242">
        <v>44797</v>
      </c>
      <c r="L2270" s="241" t="s">
        <v>2912</v>
      </c>
      <c r="M2270" s="243">
        <v>90</v>
      </c>
      <c r="N2270" s="243">
        <f>MONTH(Tableau13[[#This Row],[Date fin intervention]])</f>
        <v>8</v>
      </c>
      <c r="O2270" s="243">
        <f>YEAR(Tableau13[[#This Row],[Date fin intervention]])</f>
        <v>2022</v>
      </c>
      <c r="P2270" s="241"/>
    </row>
    <row r="2271" spans="1:16">
      <c r="A2271" s="238">
        <v>44798</v>
      </c>
      <c r="B2271" s="239">
        <v>560</v>
      </c>
      <c r="C2271" s="240" t="str">
        <f>IF(ISNA(VLOOKUP(Tableau13[[#This Row],[Code machine]],'CODE mchn'!$A$4:$C$170,2,0)),"",VLOOKUP(Tableau13[[#This Row],[Code machine]],'CODE mchn'!$A$4:$C$170,2,0))</f>
        <v>Acier</v>
      </c>
      <c r="D2271" s="241" t="str">
        <f>IF(ISNA(VLOOKUP(Tableau13[[#This Row],[Code machine]],'CODE mchn'!$A$4:$C$170,3,0)),"",VLOOKUP(Tableau13[[#This Row],[Code machine]],'CODE mchn'!$A$4:$C$170,3,0))</f>
        <v>Schlatter</v>
      </c>
      <c r="E2271" s="239">
        <v>25709</v>
      </c>
      <c r="F2271" s="241" t="s">
        <v>4140</v>
      </c>
      <c r="G2271" s="241" t="s">
        <v>1101</v>
      </c>
      <c r="H2271" s="241" t="s">
        <v>2192</v>
      </c>
      <c r="I2271" s="241" t="s">
        <v>13</v>
      </c>
      <c r="J2271" s="249" t="s">
        <v>1669</v>
      </c>
      <c r="K2271" s="242">
        <v>44800</v>
      </c>
      <c r="L2271" s="241"/>
      <c r="M2271" s="243">
        <v>50</v>
      </c>
      <c r="N2271" s="243">
        <f>MONTH(Tableau13[[#This Row],[Date fin intervention]])</f>
        <v>8</v>
      </c>
      <c r="O2271" s="243">
        <f>YEAR(Tableau13[[#This Row],[Date fin intervention]])</f>
        <v>2022</v>
      </c>
      <c r="P2271" s="241"/>
    </row>
    <row r="2272" spans="1:16">
      <c r="A2272" s="238">
        <v>44799</v>
      </c>
      <c r="B2272" s="239">
        <v>700</v>
      </c>
      <c r="C2272" s="240" t="str">
        <f>IF(ISNA(VLOOKUP(Tableau13[[#This Row],[Code machine]],'CODE mchn'!$A$4:$C$170,2,0)),"",VLOOKUP(Tableau13[[#This Row],[Code machine]],'CODE mchn'!$A$4:$C$170,2,0))</f>
        <v>Béton</v>
      </c>
      <c r="D2272" s="241" t="str">
        <f>IF(ISNA(VLOOKUP(Tableau13[[#This Row],[Code machine]],'CODE mchn'!$A$4:$C$170,3,0)),"",VLOOKUP(Tableau13[[#This Row],[Code machine]],'CODE mchn'!$A$4:$C$170,3,0))</f>
        <v>Poyatos 1</v>
      </c>
      <c r="E2272" s="239">
        <v>25710</v>
      </c>
      <c r="F2272" s="241"/>
      <c r="G2272" s="241" t="s">
        <v>331</v>
      </c>
      <c r="H2272" s="241" t="s">
        <v>4013</v>
      </c>
      <c r="I2272" s="241" t="s">
        <v>13</v>
      </c>
      <c r="J2272" s="249" t="s">
        <v>655</v>
      </c>
      <c r="K2272" s="242">
        <v>44799</v>
      </c>
      <c r="L2272" s="241"/>
      <c r="M2272" s="243">
        <v>60</v>
      </c>
      <c r="N2272" s="243">
        <f>MONTH(Tableau13[[#This Row],[Date fin intervention]])</f>
        <v>8</v>
      </c>
      <c r="O2272" s="243">
        <f>YEAR(Tableau13[[#This Row],[Date fin intervention]])</f>
        <v>2022</v>
      </c>
      <c r="P2272" s="241"/>
    </row>
    <row r="2273" spans="1:16">
      <c r="A2273" s="238">
        <v>44803</v>
      </c>
      <c r="B2273" s="239">
        <v>560</v>
      </c>
      <c r="C2273" s="240" t="str">
        <f>IF(ISNA(VLOOKUP(Tableau13[[#This Row],[Code machine]],'CODE mchn'!$A$4:$C$170,2,0)),"",VLOOKUP(Tableau13[[#This Row],[Code machine]],'CODE mchn'!$A$4:$C$170,2,0))</f>
        <v>Acier</v>
      </c>
      <c r="D2273" s="241" t="str">
        <f>IF(ISNA(VLOOKUP(Tableau13[[#This Row],[Code machine]],'CODE mchn'!$A$4:$C$170,3,0)),"",VLOOKUP(Tableau13[[#This Row],[Code machine]],'CODE mchn'!$A$4:$C$170,3,0))</f>
        <v>Schlatter</v>
      </c>
      <c r="E2273" s="239">
        <v>25714</v>
      </c>
      <c r="F2273" s="241" t="s">
        <v>4140</v>
      </c>
      <c r="G2273" s="241" t="s">
        <v>145</v>
      </c>
      <c r="H2273" s="241" t="s">
        <v>2192</v>
      </c>
      <c r="I2273" s="241" t="s">
        <v>13</v>
      </c>
      <c r="J2273" s="249" t="s">
        <v>2913</v>
      </c>
      <c r="K2273" s="242">
        <v>44803</v>
      </c>
      <c r="L2273" s="241"/>
      <c r="M2273" s="243">
        <v>60</v>
      </c>
      <c r="N2273" s="243">
        <f>MONTH(Tableau13[[#This Row],[Date fin intervention]])</f>
        <v>8</v>
      </c>
      <c r="O2273" s="243">
        <f>YEAR(Tableau13[[#This Row],[Date fin intervention]])</f>
        <v>2022</v>
      </c>
      <c r="P2273" s="241"/>
    </row>
    <row r="2274" spans="1:16">
      <c r="A2274" s="238">
        <v>44803</v>
      </c>
      <c r="B2274" s="239">
        <v>561</v>
      </c>
      <c r="C2274" s="240" t="str">
        <f>IF(ISNA(VLOOKUP(Tableau13[[#This Row],[Code machine]],'CODE mchn'!$A$4:$C$170,2,0)),"",VLOOKUP(Tableau13[[#This Row],[Code machine]],'CODE mchn'!$A$4:$C$170,2,0))</f>
        <v>Ponts roulants</v>
      </c>
      <c r="D2274" s="241" t="str">
        <f>IF(ISNA(VLOOKUP(Tableau13[[#This Row],[Code machine]],'CODE mchn'!$A$4:$C$170,3,0)),"",VLOOKUP(Tableau13[[#This Row],[Code machine]],'CODE mchn'!$A$4:$C$170,3,0))</f>
        <v>Pont roulant Demag 5T TS</v>
      </c>
      <c r="E2274" s="239">
        <v>25715</v>
      </c>
      <c r="F2274" s="241" t="s">
        <v>4140</v>
      </c>
      <c r="G2274" s="241" t="s">
        <v>2914</v>
      </c>
      <c r="H2274" s="241" t="s">
        <v>2915</v>
      </c>
      <c r="I2274" s="241" t="s">
        <v>13</v>
      </c>
      <c r="J2274" s="249" t="s">
        <v>3026</v>
      </c>
      <c r="K2274" s="242">
        <v>44834</v>
      </c>
      <c r="L2274" s="241"/>
      <c r="M2274" s="243"/>
      <c r="N2274" s="243">
        <f>MONTH(Tableau13[[#This Row],[Date fin intervention]])</f>
        <v>9</v>
      </c>
      <c r="O2274" s="243">
        <f>YEAR(Tableau13[[#This Row],[Date fin intervention]])</f>
        <v>2022</v>
      </c>
      <c r="P2274" s="241"/>
    </row>
    <row r="2275" spans="1:16" ht="28.5">
      <c r="A2275" s="238">
        <v>44805</v>
      </c>
      <c r="B2275" s="239">
        <v>700</v>
      </c>
      <c r="C2275" s="240" t="str">
        <f>IF(ISNA(VLOOKUP(Tableau13[[#This Row],[Code machine]],'CODE mchn'!$A$4:$C$170,2,0)),"",VLOOKUP(Tableau13[[#This Row],[Code machine]],'CODE mchn'!$A$4:$C$170,2,0))</f>
        <v>Béton</v>
      </c>
      <c r="D2275" s="241" t="str">
        <f>IF(ISNA(VLOOKUP(Tableau13[[#This Row],[Code machine]],'CODE mchn'!$A$4:$C$170,3,0)),"",VLOOKUP(Tableau13[[#This Row],[Code machine]],'CODE mchn'!$A$4:$C$170,3,0))</f>
        <v>Poyatos 1</v>
      </c>
      <c r="E2275" s="239"/>
      <c r="F2275" s="241" t="s">
        <v>4140</v>
      </c>
      <c r="G2275" s="241" t="s">
        <v>331</v>
      </c>
      <c r="H2275" s="241" t="s">
        <v>4120</v>
      </c>
      <c r="I2275" s="241" t="s">
        <v>30</v>
      </c>
      <c r="J2275" s="249" t="s">
        <v>4121</v>
      </c>
      <c r="K2275" s="242">
        <v>44805</v>
      </c>
      <c r="L2275" s="241"/>
      <c r="M2275" s="243">
        <v>120</v>
      </c>
      <c r="N2275" s="243">
        <f>MONTH(Tableau13[[#This Row],[Date fin intervention]])</f>
        <v>9</v>
      </c>
      <c r="O2275" s="243">
        <f>YEAR(Tableau13[[#This Row],[Date fin intervention]])</f>
        <v>2022</v>
      </c>
      <c r="P2275" s="241"/>
    </row>
    <row r="2276" spans="1:16">
      <c r="A2276" s="238">
        <v>44805</v>
      </c>
      <c r="B2276" s="239">
        <v>700</v>
      </c>
      <c r="C2276" s="240" t="str">
        <f>IF(ISNA(VLOOKUP(Tableau13[[#This Row],[Code machine]],'CODE mchn'!$A$4:$C$170,2,0)),"",VLOOKUP(Tableau13[[#This Row],[Code machine]],'CODE mchn'!$A$4:$C$170,2,0))</f>
        <v>Béton</v>
      </c>
      <c r="D2276" s="241" t="str">
        <f>IF(ISNA(VLOOKUP(Tableau13[[#This Row],[Code machine]],'CODE mchn'!$A$4:$C$170,3,0)),"",VLOOKUP(Tableau13[[#This Row],[Code machine]],'CODE mchn'!$A$4:$C$170,3,0))</f>
        <v>Poyatos 1</v>
      </c>
      <c r="E2276" s="239"/>
      <c r="F2276" s="241" t="s">
        <v>4140</v>
      </c>
      <c r="G2276" s="241" t="s">
        <v>118</v>
      </c>
      <c r="H2276" s="241" t="s">
        <v>4120</v>
      </c>
      <c r="I2276" s="241" t="s">
        <v>30</v>
      </c>
      <c r="J2276" s="249" t="s">
        <v>4128</v>
      </c>
      <c r="K2276" s="242">
        <v>44805</v>
      </c>
      <c r="L2276" s="241"/>
      <c r="M2276" s="243">
        <v>45</v>
      </c>
      <c r="N2276" s="243">
        <f>MONTH(Tableau13[[#This Row],[Date fin intervention]])</f>
        <v>9</v>
      </c>
      <c r="O2276" s="243">
        <f>YEAR(Tableau13[[#This Row],[Date fin intervention]])</f>
        <v>2022</v>
      </c>
      <c r="P2276" s="241"/>
    </row>
    <row r="2277" spans="1:16">
      <c r="A2277" s="238">
        <v>44807</v>
      </c>
      <c r="B2277" s="239">
        <v>700</v>
      </c>
      <c r="C2277" s="240" t="str">
        <f>IF(ISNA(VLOOKUP(Tableau13[[#This Row],[Code machine]],'CODE mchn'!$A$4:$C$170,2,0)),"",VLOOKUP(Tableau13[[#This Row],[Code machine]],'CODE mchn'!$A$4:$C$170,2,0))</f>
        <v>Béton</v>
      </c>
      <c r="D2277" s="241" t="str">
        <f>IF(ISNA(VLOOKUP(Tableau13[[#This Row],[Code machine]],'CODE mchn'!$A$4:$C$170,3,0)),"",VLOOKUP(Tableau13[[#This Row],[Code machine]],'CODE mchn'!$A$4:$C$170,3,0))</f>
        <v>Poyatos 1</v>
      </c>
      <c r="E2277" s="239"/>
      <c r="F2277" s="241" t="s">
        <v>4140</v>
      </c>
      <c r="G2277" s="241" t="s">
        <v>4130</v>
      </c>
      <c r="H2277" s="241" t="s">
        <v>4120</v>
      </c>
      <c r="I2277" s="241" t="s">
        <v>30</v>
      </c>
      <c r="J2277" s="249" t="s">
        <v>1387</v>
      </c>
      <c r="K2277" s="242">
        <v>44807</v>
      </c>
      <c r="L2277" s="241"/>
      <c r="M2277" s="243">
        <v>45</v>
      </c>
      <c r="N2277" s="243">
        <f>MONTH(Tableau13[[#This Row],[Date fin intervention]])</f>
        <v>9</v>
      </c>
      <c r="O2277" s="243">
        <f>YEAR(Tableau13[[#This Row],[Date fin intervention]])</f>
        <v>2022</v>
      </c>
      <c r="P2277" s="241"/>
    </row>
    <row r="2278" spans="1:16">
      <c r="A2278" s="238">
        <v>44810</v>
      </c>
      <c r="B2278" s="239">
        <v>800</v>
      </c>
      <c r="C2278" s="240" t="str">
        <f>IF(ISNA(VLOOKUP(Tableau13[[#This Row],[Code machine]],'CODE mchn'!$A$4:$C$170,2,0)),"",VLOOKUP(Tableau13[[#This Row],[Code machine]],'CODE mchn'!$A$4:$C$170,2,0))</f>
        <v>Béton</v>
      </c>
      <c r="D2278" s="241" t="str">
        <f>IF(ISNA(VLOOKUP(Tableau13[[#This Row],[Code machine]],'CODE mchn'!$A$4:$C$170,3,0)),"",VLOOKUP(Tableau13[[#This Row],[Code machine]],'CODE mchn'!$A$4:$C$170,3,0))</f>
        <v>Poyatos 2</v>
      </c>
      <c r="E2278" s="239"/>
      <c r="F2278" s="241" t="s">
        <v>4140</v>
      </c>
      <c r="G2278" s="241" t="s">
        <v>118</v>
      </c>
      <c r="H2278" s="241" t="s">
        <v>4120</v>
      </c>
      <c r="I2278" s="241" t="s">
        <v>30</v>
      </c>
      <c r="J2278" s="249" t="s">
        <v>4132</v>
      </c>
      <c r="K2278" s="242">
        <v>44810</v>
      </c>
      <c r="L2278" s="241"/>
      <c r="M2278" s="243">
        <v>60</v>
      </c>
      <c r="N2278" s="243">
        <f>MONTH(Tableau13[[#This Row],[Date fin intervention]])</f>
        <v>9</v>
      </c>
      <c r="O2278" s="243">
        <f>YEAR(Tableau13[[#This Row],[Date fin intervention]])</f>
        <v>2022</v>
      </c>
      <c r="P2278" s="241"/>
    </row>
    <row r="2279" spans="1:16">
      <c r="A2279" s="238">
        <v>44811</v>
      </c>
      <c r="B2279" s="239">
        <v>590</v>
      </c>
      <c r="C2279" s="240" t="str">
        <f>IF(ISNA(VLOOKUP(Tableau13[[#This Row],[Code machine]],'CODE mchn'!$A$4:$C$170,2,0)),"",VLOOKUP(Tableau13[[#This Row],[Code machine]],'CODE mchn'!$A$4:$C$170,2,0))</f>
        <v>Acier</v>
      </c>
      <c r="D2279" s="241" t="str">
        <f>IF(ISNA(VLOOKUP(Tableau13[[#This Row],[Code machine]],'CODE mchn'!$A$4:$C$170,3,0)),"",VLOOKUP(Tableau13[[#This Row],[Code machine]],'CODE mchn'!$A$4:$C$170,3,0))</f>
        <v>Teurema 3</v>
      </c>
      <c r="E2279" s="239">
        <v>25451</v>
      </c>
      <c r="F2279" s="241" t="s">
        <v>4140</v>
      </c>
      <c r="G2279" s="241" t="s">
        <v>2931</v>
      </c>
      <c r="H2279" s="241" t="s">
        <v>933</v>
      </c>
      <c r="I2279" s="241" t="s">
        <v>13</v>
      </c>
      <c r="J2279" s="249" t="s">
        <v>2932</v>
      </c>
      <c r="K2279" s="242">
        <v>44811</v>
      </c>
      <c r="L2279" s="241"/>
      <c r="M2279" s="243">
        <v>130</v>
      </c>
      <c r="N2279" s="243">
        <f>MONTH(Tableau13[[#This Row],[Date fin intervention]])</f>
        <v>9</v>
      </c>
      <c r="O2279" s="243">
        <f>YEAR(Tableau13[[#This Row],[Date fin intervention]])</f>
        <v>2022</v>
      </c>
      <c r="P2279" s="241"/>
    </row>
    <row r="2280" spans="1:16">
      <c r="A2280" s="238">
        <v>44812</v>
      </c>
      <c r="B2280" s="239">
        <v>565</v>
      </c>
      <c r="C2280" s="240" t="str">
        <f>IF(ISNA(VLOOKUP(Tableau13[[#This Row],[Code machine]],'CODE mchn'!$A$4:$C$170,2,0)),"",VLOOKUP(Tableau13[[#This Row],[Code machine]],'CODE mchn'!$A$4:$C$170,2,0))</f>
        <v>Acier</v>
      </c>
      <c r="D2280" s="241" t="str">
        <f>IF(ISNA(VLOOKUP(Tableau13[[#This Row],[Code machine]],'CODE mchn'!$A$4:$C$170,3,0)),"",VLOOKUP(Tableau13[[#This Row],[Code machine]],'CODE mchn'!$A$4:$C$170,3,0))</f>
        <v>EVG GE12</v>
      </c>
      <c r="E2280" s="239">
        <v>25493</v>
      </c>
      <c r="F2280" s="241" t="s">
        <v>4140</v>
      </c>
      <c r="G2280" s="241" t="s">
        <v>2243</v>
      </c>
      <c r="H2280" s="241" t="s">
        <v>2971</v>
      </c>
      <c r="I2280" s="241" t="s">
        <v>13</v>
      </c>
      <c r="J2280" s="249" t="s">
        <v>2972</v>
      </c>
      <c r="K2280" s="242">
        <v>44812</v>
      </c>
      <c r="L2280" s="241"/>
      <c r="M2280" s="243">
        <v>300</v>
      </c>
      <c r="N2280" s="243">
        <f>MONTH(Tableau13[[#This Row],[Date fin intervention]])</f>
        <v>9</v>
      </c>
      <c r="O2280" s="243">
        <f>YEAR(Tableau13[[#This Row],[Date fin intervention]])</f>
        <v>2022</v>
      </c>
      <c r="P2280" s="241"/>
    </row>
    <row r="2281" spans="1:16">
      <c r="A2281" s="238">
        <v>44813</v>
      </c>
      <c r="B2281" s="239">
        <v>800</v>
      </c>
      <c r="C2281" s="240" t="str">
        <f>IF(ISNA(VLOOKUP(Tableau13[[#This Row],[Code machine]],'CODE mchn'!$A$4:$C$170,2,0)),"",VLOOKUP(Tableau13[[#This Row],[Code machine]],'CODE mchn'!$A$4:$C$170,2,0))</f>
        <v>Béton</v>
      </c>
      <c r="D2281" s="241" t="str">
        <f>IF(ISNA(VLOOKUP(Tableau13[[#This Row],[Code machine]],'CODE mchn'!$A$4:$C$170,3,0)),"",VLOOKUP(Tableau13[[#This Row],[Code machine]],'CODE mchn'!$A$4:$C$170,3,0))</f>
        <v>Poyatos 2</v>
      </c>
      <c r="E2281" s="239">
        <v>25453</v>
      </c>
      <c r="F2281" s="241" t="s">
        <v>4140</v>
      </c>
      <c r="G2281" s="241" t="s">
        <v>118</v>
      </c>
      <c r="H2281" s="241" t="s">
        <v>2934</v>
      </c>
      <c r="I2281" s="241" t="s">
        <v>13</v>
      </c>
      <c r="J2281" s="249" t="s">
        <v>2935</v>
      </c>
      <c r="K2281" s="242">
        <v>44813</v>
      </c>
      <c r="L2281" s="241"/>
      <c r="M2281" s="243">
        <v>150</v>
      </c>
      <c r="N2281" s="243">
        <f>MONTH(Tableau13[[#This Row],[Date fin intervention]])</f>
        <v>9</v>
      </c>
      <c r="O2281" s="243">
        <f>YEAR(Tableau13[[#This Row],[Date fin intervention]])</f>
        <v>2022</v>
      </c>
      <c r="P2281" s="241"/>
    </row>
    <row r="2282" spans="1:16">
      <c r="A2282" s="238">
        <v>44813</v>
      </c>
      <c r="B2282" s="239">
        <v>800</v>
      </c>
      <c r="C2282" s="240" t="str">
        <f>IF(ISNA(VLOOKUP(Tableau13[[#This Row],[Code machine]],'CODE mchn'!$A$4:$C$170,2,0)),"",VLOOKUP(Tableau13[[#This Row],[Code machine]],'CODE mchn'!$A$4:$C$170,2,0))</f>
        <v>Béton</v>
      </c>
      <c r="D2282" s="241" t="str">
        <f>IF(ISNA(VLOOKUP(Tableau13[[#This Row],[Code machine]],'CODE mchn'!$A$4:$C$170,3,0)),"",VLOOKUP(Tableau13[[#This Row],[Code machine]],'CODE mchn'!$A$4:$C$170,3,0))</f>
        <v>Poyatos 2</v>
      </c>
      <c r="E2282" s="239">
        <v>25456</v>
      </c>
      <c r="F2282" s="241" t="s">
        <v>4140</v>
      </c>
      <c r="G2282" s="241" t="s">
        <v>213</v>
      </c>
      <c r="H2282" s="241" t="s">
        <v>2938</v>
      </c>
      <c r="I2282" s="241" t="s">
        <v>13</v>
      </c>
      <c r="J2282" s="249" t="s">
        <v>901</v>
      </c>
      <c r="K2282" s="242">
        <v>44813</v>
      </c>
      <c r="L2282" s="241"/>
      <c r="M2282" s="243">
        <v>30</v>
      </c>
      <c r="N2282" s="243">
        <f>MONTH(Tableau13[[#This Row],[Date fin intervention]])</f>
        <v>9</v>
      </c>
      <c r="O2282" s="243">
        <f>YEAR(Tableau13[[#This Row],[Date fin intervention]])</f>
        <v>2022</v>
      </c>
      <c r="P2282" s="241"/>
    </row>
    <row r="2283" spans="1:16">
      <c r="A2283" s="238">
        <v>44814</v>
      </c>
      <c r="B2283" s="239">
        <v>570</v>
      </c>
      <c r="C2283" s="240" t="str">
        <f>IF(ISNA(VLOOKUP(Tableau13[[#This Row],[Code machine]],'CODE mchn'!$A$4:$C$170,2,0)),"",VLOOKUP(Tableau13[[#This Row],[Code machine]],'CODE mchn'!$A$4:$C$170,2,0))</f>
        <v>Acier</v>
      </c>
      <c r="D2283" s="241" t="str">
        <f>IF(ISNA(VLOOKUP(Tableau13[[#This Row],[Code machine]],'CODE mchn'!$A$4:$C$170,3,0)),"",VLOOKUP(Tableau13[[#This Row],[Code machine]],'CODE mchn'!$A$4:$C$170,3,0))</f>
        <v>Sigmatic</v>
      </c>
      <c r="E2283" s="239">
        <v>25455</v>
      </c>
      <c r="F2283" s="241" t="s">
        <v>4140</v>
      </c>
      <c r="G2283" s="241" t="s">
        <v>10</v>
      </c>
      <c r="H2283" s="241" t="s">
        <v>2936</v>
      </c>
      <c r="I2283" s="241" t="s">
        <v>13</v>
      </c>
      <c r="J2283" s="249" t="s">
        <v>2937</v>
      </c>
      <c r="K2283" s="242">
        <v>44814</v>
      </c>
      <c r="L2283" s="241"/>
      <c r="M2283" s="243">
        <v>90</v>
      </c>
      <c r="N2283" s="243">
        <f>MONTH(Tableau13[[#This Row],[Date fin intervention]])</f>
        <v>9</v>
      </c>
      <c r="O2283" s="243">
        <f>YEAR(Tableau13[[#This Row],[Date fin intervention]])</f>
        <v>2022</v>
      </c>
      <c r="P2283" s="241"/>
    </row>
    <row r="2284" spans="1:16">
      <c r="A2284" s="238">
        <v>44814</v>
      </c>
      <c r="B2284" s="239">
        <v>700</v>
      </c>
      <c r="C2284" s="240" t="str">
        <f>IF(ISNA(VLOOKUP(Tableau13[[#This Row],[Code machine]],'CODE mchn'!$A$4:$C$170,2,0)),"",VLOOKUP(Tableau13[[#This Row],[Code machine]],'CODE mchn'!$A$4:$C$170,2,0))</f>
        <v>Béton</v>
      </c>
      <c r="D2284" s="241" t="str">
        <f>IF(ISNA(VLOOKUP(Tableau13[[#This Row],[Code machine]],'CODE mchn'!$A$4:$C$170,3,0)),"",VLOOKUP(Tableau13[[#This Row],[Code machine]],'CODE mchn'!$A$4:$C$170,3,0))</f>
        <v>Poyatos 1</v>
      </c>
      <c r="E2284" s="239">
        <v>25473</v>
      </c>
      <c r="F2284" s="241" t="s">
        <v>4140</v>
      </c>
      <c r="G2284" s="241" t="s">
        <v>300</v>
      </c>
      <c r="H2284" s="241" t="s">
        <v>2957</v>
      </c>
      <c r="I2284" s="241" t="s">
        <v>101</v>
      </c>
      <c r="J2284" s="249" t="s">
        <v>2958</v>
      </c>
      <c r="K2284" s="242">
        <v>44814</v>
      </c>
      <c r="L2284" s="241"/>
      <c r="M2284" s="243">
        <v>150</v>
      </c>
      <c r="N2284" s="243">
        <f>MONTH(Tableau13[[#This Row],[Date fin intervention]])</f>
        <v>9</v>
      </c>
      <c r="O2284" s="243">
        <f>YEAR(Tableau13[[#This Row],[Date fin intervention]])</f>
        <v>2022</v>
      </c>
      <c r="P2284" s="241"/>
    </row>
    <row r="2285" spans="1:16">
      <c r="A2285" s="238">
        <v>44814</v>
      </c>
      <c r="B2285" s="239">
        <v>582</v>
      </c>
      <c r="C2285" s="240" t="str">
        <f>IF(ISNA(VLOOKUP(Tableau13[[#This Row],[Code machine]],'CODE mchn'!$A$4:$C$170,2,0)),"",VLOOKUP(Tableau13[[#This Row],[Code machine]],'CODE mchn'!$A$4:$C$170,2,0))</f>
        <v>Acier</v>
      </c>
      <c r="D2285" s="241" t="str">
        <f>IF(ISNA(VLOOKUP(Tableau13[[#This Row],[Code machine]],'CODE mchn'!$A$4:$C$170,3,0)),"",VLOOKUP(Tableau13[[#This Row],[Code machine]],'CODE mchn'!$A$4:$C$170,3,0))</f>
        <v>Teurema 2</v>
      </c>
      <c r="E2285" s="239">
        <v>25480</v>
      </c>
      <c r="F2285" s="241" t="s">
        <v>4140</v>
      </c>
      <c r="G2285" s="241" t="s">
        <v>1771</v>
      </c>
      <c r="H2285" s="241" t="s">
        <v>458</v>
      </c>
      <c r="I2285" s="241" t="s">
        <v>13</v>
      </c>
      <c r="J2285" s="249" t="s">
        <v>2963</v>
      </c>
      <c r="K2285" s="242">
        <v>44814</v>
      </c>
      <c r="L2285" s="241"/>
      <c r="M2285" s="243">
        <v>75</v>
      </c>
      <c r="N2285" s="243">
        <f>MONTH(Tableau13[[#This Row],[Date fin intervention]])</f>
        <v>9</v>
      </c>
      <c r="O2285" s="243">
        <f>YEAR(Tableau13[[#This Row],[Date fin intervention]])</f>
        <v>2022</v>
      </c>
      <c r="P2285" s="241"/>
    </row>
    <row r="2286" spans="1:16">
      <c r="A2286" s="238">
        <v>44815</v>
      </c>
      <c r="B2286" s="239">
        <v>606</v>
      </c>
      <c r="C2286" s="240" t="str">
        <f>IF(ISNA(VLOOKUP(Tableau13[[#This Row],[Code machine]],'CODE mchn'!$A$4:$C$170,2,0)),"",VLOOKUP(Tableau13[[#This Row],[Code machine]],'CODE mchn'!$A$4:$C$170,2,0))</f>
        <v>Acier</v>
      </c>
      <c r="D2286" s="241" t="str">
        <f>IF(ISNA(VLOOKUP(Tableau13[[#This Row],[Code machine]],'CODE mchn'!$A$4:$C$170,3,0)),"",VLOOKUP(Tableau13[[#This Row],[Code machine]],'CODE mchn'!$A$4:$C$170,3,0))</f>
        <v>Vitari 2</v>
      </c>
      <c r="E2286" s="239">
        <v>25458</v>
      </c>
      <c r="F2286" s="241" t="s">
        <v>4140</v>
      </c>
      <c r="G2286" s="241" t="s">
        <v>78</v>
      </c>
      <c r="H2286" s="241" t="s">
        <v>2940</v>
      </c>
      <c r="I2286" s="241" t="s">
        <v>13</v>
      </c>
      <c r="J2286" s="249" t="s">
        <v>2941</v>
      </c>
      <c r="K2286" s="242">
        <v>44815</v>
      </c>
      <c r="L2286" s="241"/>
      <c r="M2286" s="243">
        <v>60</v>
      </c>
      <c r="N2286" s="243">
        <f>MONTH(Tableau13[[#This Row],[Date fin intervention]])</f>
        <v>9</v>
      </c>
      <c r="O2286" s="243">
        <f>YEAR(Tableau13[[#This Row],[Date fin intervention]])</f>
        <v>2022</v>
      </c>
      <c r="P2286" s="241"/>
    </row>
    <row r="2287" spans="1:16">
      <c r="A2287" s="238">
        <v>44817</v>
      </c>
      <c r="B2287" s="239">
        <v>800</v>
      </c>
      <c r="C2287" s="240" t="str">
        <f>IF(ISNA(VLOOKUP(Tableau13[[#This Row],[Code machine]],'CODE mchn'!$A$4:$C$170,2,0)),"",VLOOKUP(Tableau13[[#This Row],[Code machine]],'CODE mchn'!$A$4:$C$170,2,0))</f>
        <v>Béton</v>
      </c>
      <c r="D2287" s="241" t="str">
        <f>IF(ISNA(VLOOKUP(Tableau13[[#This Row],[Code machine]],'CODE mchn'!$A$4:$C$170,3,0)),"",VLOOKUP(Tableau13[[#This Row],[Code machine]],'CODE mchn'!$A$4:$C$170,3,0))</f>
        <v>Poyatos 2</v>
      </c>
      <c r="E2287" s="239">
        <v>25461</v>
      </c>
      <c r="F2287" s="241" t="s">
        <v>4140</v>
      </c>
      <c r="G2287" s="241" t="s">
        <v>1388</v>
      </c>
      <c r="H2287" s="241" t="s">
        <v>2942</v>
      </c>
      <c r="I2287" s="241" t="s">
        <v>13</v>
      </c>
      <c r="J2287" s="249" t="s">
        <v>2943</v>
      </c>
      <c r="K2287" s="242">
        <v>44817</v>
      </c>
      <c r="L2287" s="241"/>
      <c r="M2287" s="243">
        <v>90</v>
      </c>
      <c r="N2287" s="243">
        <f>MONTH(Tableau13[[#This Row],[Date fin intervention]])</f>
        <v>9</v>
      </c>
      <c r="O2287" s="243">
        <f>YEAR(Tableau13[[#This Row],[Date fin intervention]])</f>
        <v>2022</v>
      </c>
      <c r="P2287" s="241"/>
    </row>
    <row r="2288" spans="1:16">
      <c r="A2288" s="238">
        <v>44817</v>
      </c>
      <c r="B2288" s="239">
        <v>590</v>
      </c>
      <c r="C2288" s="240" t="str">
        <f>IF(ISNA(VLOOKUP(Tableau13[[#This Row],[Code machine]],'CODE mchn'!$A$4:$C$170,2,0)),"",VLOOKUP(Tableau13[[#This Row],[Code machine]],'CODE mchn'!$A$4:$C$170,2,0))</f>
        <v>Acier</v>
      </c>
      <c r="D2288" s="241" t="str">
        <f>IF(ISNA(VLOOKUP(Tableau13[[#This Row],[Code machine]],'CODE mchn'!$A$4:$C$170,3,0)),"",VLOOKUP(Tableau13[[#This Row],[Code machine]],'CODE mchn'!$A$4:$C$170,3,0))</f>
        <v>Teurema 3</v>
      </c>
      <c r="E2288" s="239">
        <v>25465</v>
      </c>
      <c r="F2288" s="241" t="s">
        <v>4140</v>
      </c>
      <c r="G2288" s="241" t="s">
        <v>2945</v>
      </c>
      <c r="H2288" s="241" t="s">
        <v>2946</v>
      </c>
      <c r="I2288" s="241" t="s">
        <v>13</v>
      </c>
      <c r="J2288" s="249" t="s">
        <v>2947</v>
      </c>
      <c r="K2288" s="242">
        <v>44817</v>
      </c>
      <c r="L2288" s="241"/>
      <c r="M2288" s="243">
        <v>90</v>
      </c>
      <c r="N2288" s="243">
        <f>MONTH(Tableau13[[#This Row],[Date fin intervention]])</f>
        <v>9</v>
      </c>
      <c r="O2288" s="243">
        <f>YEAR(Tableau13[[#This Row],[Date fin intervention]])</f>
        <v>2022</v>
      </c>
      <c r="P2288" s="241"/>
    </row>
    <row r="2289" spans="1:16">
      <c r="A2289" s="238">
        <v>44817</v>
      </c>
      <c r="B2289" s="239">
        <v>571</v>
      </c>
      <c r="C2289" s="240" t="str">
        <f>IF(ISNA(VLOOKUP(Tableau13[[#This Row],[Code machine]],'CODE mchn'!$A$4:$C$170,2,0)),"",VLOOKUP(Tableau13[[#This Row],[Code machine]],'CODE mchn'!$A$4:$C$170,2,0))</f>
        <v>Acier</v>
      </c>
      <c r="D2289" s="241" t="str">
        <f>IF(ISNA(VLOOKUP(Tableau13[[#This Row],[Code machine]],'CODE mchn'!$A$4:$C$170,3,0)),"",VLOOKUP(Tableau13[[#This Row],[Code machine]],'CODE mchn'!$A$4:$C$170,3,0))</f>
        <v>EVG PN 1</v>
      </c>
      <c r="E2289" s="239">
        <v>25345</v>
      </c>
      <c r="F2289" s="241" t="s">
        <v>4140</v>
      </c>
      <c r="G2289" s="241" t="s">
        <v>78</v>
      </c>
      <c r="H2289" s="241" t="s">
        <v>2989</v>
      </c>
      <c r="I2289" s="241" t="s">
        <v>13</v>
      </c>
      <c r="J2289" s="249" t="s">
        <v>2990</v>
      </c>
      <c r="K2289" s="242">
        <v>44817</v>
      </c>
      <c r="L2289" s="241"/>
      <c r="M2289" s="243">
        <v>6240</v>
      </c>
      <c r="N2289" s="243">
        <f>MONTH(Tableau13[[#This Row],[Date fin intervention]])</f>
        <v>9</v>
      </c>
      <c r="O2289" s="243">
        <f>YEAR(Tableau13[[#This Row],[Date fin intervention]])</f>
        <v>2022</v>
      </c>
      <c r="P2289" s="241"/>
    </row>
    <row r="2290" spans="1:16">
      <c r="A2290" s="238">
        <v>44818</v>
      </c>
      <c r="B2290" s="239">
        <v>590</v>
      </c>
      <c r="C2290" s="240" t="str">
        <f>IF(ISNA(VLOOKUP(Tableau13[[#This Row],[Code machine]],'CODE mchn'!$A$4:$C$170,2,0)),"",VLOOKUP(Tableau13[[#This Row],[Code machine]],'CODE mchn'!$A$4:$C$170,2,0))</f>
        <v>Acier</v>
      </c>
      <c r="D2290" s="241" t="str">
        <f>IF(ISNA(VLOOKUP(Tableau13[[#This Row],[Code machine]],'CODE mchn'!$A$4:$C$170,3,0)),"",VLOOKUP(Tableau13[[#This Row],[Code machine]],'CODE mchn'!$A$4:$C$170,3,0))</f>
        <v>Teurema 3</v>
      </c>
      <c r="E2290" s="239">
        <v>25475</v>
      </c>
      <c r="F2290" s="241" t="s">
        <v>4140</v>
      </c>
      <c r="G2290" s="241" t="s">
        <v>20</v>
      </c>
      <c r="H2290" s="241" t="s">
        <v>1853</v>
      </c>
      <c r="I2290" s="241" t="s">
        <v>13</v>
      </c>
      <c r="J2290" s="249" t="s">
        <v>2933</v>
      </c>
      <c r="K2290" s="242">
        <v>44832</v>
      </c>
      <c r="L2290" s="241"/>
      <c r="M2290" s="243">
        <v>6720</v>
      </c>
      <c r="N2290" s="243">
        <f>MONTH(Tableau13[[#This Row],[Date fin intervention]])</f>
        <v>9</v>
      </c>
      <c r="O2290" s="243">
        <f>YEAR(Tableau13[[#This Row],[Date fin intervention]])</f>
        <v>2022</v>
      </c>
      <c r="P2290" s="241"/>
    </row>
    <row r="2291" spans="1:16">
      <c r="A2291" s="238">
        <v>44818</v>
      </c>
      <c r="B2291" s="239">
        <v>800</v>
      </c>
      <c r="C2291" s="240" t="str">
        <f>IF(ISNA(VLOOKUP(Tableau13[[#This Row],[Code machine]],'CODE mchn'!$A$4:$C$170,2,0)),"",VLOOKUP(Tableau13[[#This Row],[Code machine]],'CODE mchn'!$A$4:$C$170,2,0))</f>
        <v>Béton</v>
      </c>
      <c r="D2291" s="241" t="str">
        <f>IF(ISNA(VLOOKUP(Tableau13[[#This Row],[Code machine]],'CODE mchn'!$A$4:$C$170,3,0)),"",VLOOKUP(Tableau13[[#This Row],[Code machine]],'CODE mchn'!$A$4:$C$170,3,0))</f>
        <v>Poyatos 2</v>
      </c>
      <c r="E2291" s="239">
        <v>25464</v>
      </c>
      <c r="F2291" s="241" t="s">
        <v>4140</v>
      </c>
      <c r="G2291" s="241" t="s">
        <v>128</v>
      </c>
      <c r="H2291" s="241" t="s">
        <v>482</v>
      </c>
      <c r="I2291" s="241" t="s">
        <v>13</v>
      </c>
      <c r="J2291" s="249" t="s">
        <v>2944</v>
      </c>
      <c r="K2291" s="242">
        <v>44818</v>
      </c>
      <c r="L2291" s="241"/>
      <c r="M2291" s="243">
        <v>60</v>
      </c>
      <c r="N2291" s="243">
        <f>MONTH(Tableau13[[#This Row],[Date fin intervention]])</f>
        <v>9</v>
      </c>
      <c r="O2291" s="243">
        <f>YEAR(Tableau13[[#This Row],[Date fin intervention]])</f>
        <v>2022</v>
      </c>
      <c r="P2291" s="241"/>
    </row>
    <row r="2292" spans="1:16">
      <c r="A2292" s="238">
        <v>44818</v>
      </c>
      <c r="B2292" s="239">
        <v>800</v>
      </c>
      <c r="C2292" s="240" t="str">
        <f>IF(ISNA(VLOOKUP(Tableau13[[#This Row],[Code machine]],'CODE mchn'!$A$4:$C$170,2,0)),"",VLOOKUP(Tableau13[[#This Row],[Code machine]],'CODE mchn'!$A$4:$C$170,2,0))</f>
        <v>Béton</v>
      </c>
      <c r="D2292" s="241" t="str">
        <f>IF(ISNA(VLOOKUP(Tableau13[[#This Row],[Code machine]],'CODE mchn'!$A$4:$C$170,3,0)),"",VLOOKUP(Tableau13[[#This Row],[Code machine]],'CODE mchn'!$A$4:$C$170,3,0))</f>
        <v>Poyatos 2</v>
      </c>
      <c r="E2292" s="239">
        <v>25470</v>
      </c>
      <c r="F2292" s="241" t="s">
        <v>4140</v>
      </c>
      <c r="G2292" s="241" t="s">
        <v>2951</v>
      </c>
      <c r="H2292" s="241" t="s">
        <v>2952</v>
      </c>
      <c r="I2292" s="241" t="s">
        <v>13</v>
      </c>
      <c r="J2292" s="249" t="s">
        <v>2953</v>
      </c>
      <c r="K2292" s="242">
        <v>44818</v>
      </c>
      <c r="L2292" s="241"/>
      <c r="M2292" s="243">
        <v>75</v>
      </c>
      <c r="N2292" s="243">
        <f>MONTH(Tableau13[[#This Row],[Date fin intervention]])</f>
        <v>9</v>
      </c>
      <c r="O2292" s="243">
        <f>YEAR(Tableau13[[#This Row],[Date fin intervention]])</f>
        <v>2022</v>
      </c>
      <c r="P2292" s="241"/>
    </row>
    <row r="2293" spans="1:16">
      <c r="A2293" s="238">
        <v>44818</v>
      </c>
      <c r="B2293" s="239">
        <v>570</v>
      </c>
      <c r="C2293" s="240" t="str">
        <f>IF(ISNA(VLOOKUP(Tableau13[[#This Row],[Code machine]],'CODE mchn'!$A$4:$C$170,2,0)),"",VLOOKUP(Tableau13[[#This Row],[Code machine]],'CODE mchn'!$A$4:$C$170,2,0))</f>
        <v>Acier</v>
      </c>
      <c r="D2293" s="241" t="str">
        <f>IF(ISNA(VLOOKUP(Tableau13[[#This Row],[Code machine]],'CODE mchn'!$A$4:$C$170,3,0)),"",VLOOKUP(Tableau13[[#This Row],[Code machine]],'CODE mchn'!$A$4:$C$170,3,0))</f>
        <v>Sigmatic</v>
      </c>
      <c r="E2293" s="239">
        <v>25477</v>
      </c>
      <c r="F2293" s="241" t="s">
        <v>4140</v>
      </c>
      <c r="G2293" s="241" t="s">
        <v>982</v>
      </c>
      <c r="H2293" s="241" t="s">
        <v>458</v>
      </c>
      <c r="I2293" s="241" t="s">
        <v>13</v>
      </c>
      <c r="J2293" s="249" t="s">
        <v>2960</v>
      </c>
      <c r="K2293" s="242">
        <v>44818</v>
      </c>
      <c r="L2293" s="241"/>
      <c r="M2293" s="243">
        <v>60</v>
      </c>
      <c r="N2293" s="243">
        <f>MONTH(Tableau13[[#This Row],[Date fin intervention]])</f>
        <v>9</v>
      </c>
      <c r="O2293" s="243">
        <f>YEAR(Tableau13[[#This Row],[Date fin intervention]])</f>
        <v>2022</v>
      </c>
      <c r="P2293" s="241"/>
    </row>
    <row r="2294" spans="1:16">
      <c r="A2294" s="238">
        <v>44818</v>
      </c>
      <c r="B2294" s="239">
        <v>700</v>
      </c>
      <c r="C2294" s="240" t="str">
        <f>IF(ISNA(VLOOKUP(Tableau13[[#This Row],[Code machine]],'CODE mchn'!$A$4:$C$170,2,0)),"",VLOOKUP(Tableau13[[#This Row],[Code machine]],'CODE mchn'!$A$4:$C$170,2,0))</f>
        <v>Béton</v>
      </c>
      <c r="D2294" s="241" t="str">
        <f>IF(ISNA(VLOOKUP(Tableau13[[#This Row],[Code machine]],'CODE mchn'!$A$4:$C$170,3,0)),"",VLOOKUP(Tableau13[[#This Row],[Code machine]],'CODE mchn'!$A$4:$C$170,3,0))</f>
        <v>Poyatos 1</v>
      </c>
      <c r="E2294" s="239">
        <v>25483</v>
      </c>
      <c r="F2294" s="241" t="s">
        <v>4140</v>
      </c>
      <c r="G2294" s="241" t="s">
        <v>43</v>
      </c>
      <c r="H2294" s="241" t="s">
        <v>768</v>
      </c>
      <c r="I2294" s="241" t="s">
        <v>13</v>
      </c>
      <c r="J2294" s="249" t="s">
        <v>1724</v>
      </c>
      <c r="K2294" s="242">
        <v>44818</v>
      </c>
      <c r="L2294" s="241"/>
      <c r="M2294" s="243">
        <v>60</v>
      </c>
      <c r="N2294" s="243">
        <f>MONTH(Tableau13[[#This Row],[Date fin intervention]])</f>
        <v>9</v>
      </c>
      <c r="O2294" s="243">
        <f>YEAR(Tableau13[[#This Row],[Date fin intervention]])</f>
        <v>2022</v>
      </c>
      <c r="P2294" s="241"/>
    </row>
    <row r="2295" spans="1:16">
      <c r="A2295" s="238">
        <v>44819</v>
      </c>
      <c r="B2295" s="239">
        <v>800</v>
      </c>
      <c r="C2295" s="240" t="str">
        <f>IF(ISNA(VLOOKUP(Tableau13[[#This Row],[Code machine]],'CODE mchn'!$A$4:$C$170,2,0)),"",VLOOKUP(Tableau13[[#This Row],[Code machine]],'CODE mchn'!$A$4:$C$170,2,0))</f>
        <v>Béton</v>
      </c>
      <c r="D2295" s="241" t="str">
        <f>IF(ISNA(VLOOKUP(Tableau13[[#This Row],[Code machine]],'CODE mchn'!$A$4:$C$170,3,0)),"",VLOOKUP(Tableau13[[#This Row],[Code machine]],'CODE mchn'!$A$4:$C$170,3,0))</f>
        <v>Poyatos 2</v>
      </c>
      <c r="E2295" s="239">
        <v>25474</v>
      </c>
      <c r="F2295" s="241" t="s">
        <v>4140</v>
      </c>
      <c r="G2295" s="241" t="s">
        <v>128</v>
      </c>
      <c r="H2295" s="241" t="s">
        <v>2623</v>
      </c>
      <c r="I2295" s="241" t="s">
        <v>13</v>
      </c>
      <c r="J2295" s="249" t="s">
        <v>2959</v>
      </c>
      <c r="K2295" s="242">
        <v>44819</v>
      </c>
      <c r="L2295" s="241"/>
      <c r="M2295" s="243">
        <v>120</v>
      </c>
      <c r="N2295" s="243">
        <f>MONTH(Tableau13[[#This Row],[Date fin intervention]])</f>
        <v>9</v>
      </c>
      <c r="O2295" s="243">
        <f>YEAR(Tableau13[[#This Row],[Date fin intervention]])</f>
        <v>2022</v>
      </c>
      <c r="P2295" s="241"/>
    </row>
    <row r="2296" spans="1:16">
      <c r="A2296" s="238">
        <v>44819</v>
      </c>
      <c r="B2296" s="239">
        <v>700</v>
      </c>
      <c r="C2296" s="240" t="str">
        <f>IF(ISNA(VLOOKUP(Tableau13[[#This Row],[Code machine]],'CODE mchn'!$A$4:$C$170,2,0)),"",VLOOKUP(Tableau13[[#This Row],[Code machine]],'CODE mchn'!$A$4:$C$170,2,0))</f>
        <v>Béton</v>
      </c>
      <c r="D2296" s="241" t="str">
        <f>IF(ISNA(VLOOKUP(Tableau13[[#This Row],[Code machine]],'CODE mchn'!$A$4:$C$170,3,0)),"",VLOOKUP(Tableau13[[#This Row],[Code machine]],'CODE mchn'!$A$4:$C$170,3,0))</f>
        <v>Poyatos 1</v>
      </c>
      <c r="E2296" s="239">
        <v>25478</v>
      </c>
      <c r="F2296" s="241" t="s">
        <v>4140</v>
      </c>
      <c r="G2296" s="241" t="s">
        <v>291</v>
      </c>
      <c r="H2296" s="241" t="s">
        <v>2961</v>
      </c>
      <c r="I2296" s="241" t="s">
        <v>13</v>
      </c>
      <c r="J2296" s="249" t="s">
        <v>2962</v>
      </c>
      <c r="K2296" s="242">
        <v>44819</v>
      </c>
      <c r="L2296" s="241"/>
      <c r="M2296" s="243">
        <v>90</v>
      </c>
      <c r="N2296" s="243">
        <f>MONTH(Tableau13[[#This Row],[Date fin intervention]])</f>
        <v>9</v>
      </c>
      <c r="O2296" s="243">
        <f>YEAR(Tableau13[[#This Row],[Date fin intervention]])</f>
        <v>2022</v>
      </c>
      <c r="P2296" s="241"/>
    </row>
    <row r="2297" spans="1:16">
      <c r="A2297" s="238">
        <v>44819</v>
      </c>
      <c r="B2297" s="239">
        <v>700</v>
      </c>
      <c r="C2297" s="240" t="str">
        <f>IF(ISNA(VLOOKUP(Tableau13[[#This Row],[Code machine]],'CODE mchn'!$A$4:$C$170,2,0)),"",VLOOKUP(Tableau13[[#This Row],[Code machine]],'CODE mchn'!$A$4:$C$170,2,0))</f>
        <v>Béton</v>
      </c>
      <c r="D2297" s="241" t="str">
        <f>IF(ISNA(VLOOKUP(Tableau13[[#This Row],[Code machine]],'CODE mchn'!$A$4:$C$170,3,0)),"",VLOOKUP(Tableau13[[#This Row],[Code machine]],'CODE mchn'!$A$4:$C$170,3,0))</f>
        <v>Poyatos 1</v>
      </c>
      <c r="E2297" s="239">
        <v>25496</v>
      </c>
      <c r="F2297" s="241" t="s">
        <v>4140</v>
      </c>
      <c r="G2297" s="241" t="s">
        <v>213</v>
      </c>
      <c r="H2297" s="241" t="s">
        <v>2976</v>
      </c>
      <c r="I2297" s="241" t="s">
        <v>13</v>
      </c>
      <c r="J2297" s="249"/>
      <c r="K2297" s="242">
        <v>44819</v>
      </c>
      <c r="L2297" s="241"/>
      <c r="M2297" s="243">
        <v>120</v>
      </c>
      <c r="N2297" s="243">
        <f>MONTH(Tableau13[[#This Row],[Date fin intervention]])</f>
        <v>9</v>
      </c>
      <c r="O2297" s="243">
        <f>YEAR(Tableau13[[#This Row],[Date fin intervention]])</f>
        <v>2022</v>
      </c>
      <c r="P2297" s="241"/>
    </row>
    <row r="2298" spans="1:16" ht="28.5">
      <c r="A2298" s="238">
        <v>44819</v>
      </c>
      <c r="B2298" s="239">
        <v>565</v>
      </c>
      <c r="C2298" s="240" t="str">
        <f>IF(ISNA(VLOOKUP(Tableau13[[#This Row],[Code machine]],'CODE mchn'!$A$4:$C$170,2,0)),"",VLOOKUP(Tableau13[[#This Row],[Code machine]],'CODE mchn'!$A$4:$C$170,2,0))</f>
        <v>Acier</v>
      </c>
      <c r="D2298" s="241" t="str">
        <f>IF(ISNA(VLOOKUP(Tableau13[[#This Row],[Code machine]],'CODE mchn'!$A$4:$C$170,3,0)),"",VLOOKUP(Tableau13[[#This Row],[Code machine]],'CODE mchn'!$A$4:$C$170,3,0))</f>
        <v>EVG GE12</v>
      </c>
      <c r="E2298" s="239">
        <v>25497</v>
      </c>
      <c r="F2298" s="241" t="s">
        <v>4140</v>
      </c>
      <c r="G2298" s="241" t="s">
        <v>2243</v>
      </c>
      <c r="H2298" s="241" t="s">
        <v>4120</v>
      </c>
      <c r="I2298" s="241" t="s">
        <v>30</v>
      </c>
      <c r="J2298" s="249" t="s">
        <v>4121</v>
      </c>
      <c r="K2298" s="242">
        <v>44819</v>
      </c>
      <c r="L2298" s="241"/>
      <c r="M2298" s="243">
        <v>240</v>
      </c>
      <c r="N2298" s="243">
        <f>MONTH(Tableau13[[#This Row],[Date fin intervention]])</f>
        <v>9</v>
      </c>
      <c r="O2298" s="243">
        <f>YEAR(Tableau13[[#This Row],[Date fin intervention]])</f>
        <v>2022</v>
      </c>
      <c r="P2298" s="241"/>
    </row>
    <row r="2299" spans="1:16" ht="28.5">
      <c r="A2299" s="238">
        <v>44820</v>
      </c>
      <c r="B2299" s="239">
        <v>584</v>
      </c>
      <c r="C2299" s="240" t="str">
        <f>IF(ISNA(VLOOKUP(Tableau13[[#This Row],[Code machine]],'CODE mchn'!$A$4:$C$170,2,0)),"",VLOOKUP(Tableau13[[#This Row],[Code machine]],'CODE mchn'!$A$4:$C$170,2,0))</f>
        <v>Ponts roulants</v>
      </c>
      <c r="D2299" s="241" t="str">
        <f>IF(ISNA(VLOOKUP(Tableau13[[#This Row],[Code machine]],'CODE mchn'!$A$4:$C$170,3,0)),"",VLOOKUP(Tableau13[[#This Row],[Code machine]],'CODE mchn'!$A$4:$C$170,3,0))</f>
        <v>Pont roulant Demag 3,2T (teurema2)</v>
      </c>
      <c r="E2299" s="239">
        <v>25457</v>
      </c>
      <c r="F2299" s="241" t="s">
        <v>4140</v>
      </c>
      <c r="G2299" s="241" t="s">
        <v>2544</v>
      </c>
      <c r="H2299" s="241" t="s">
        <v>482</v>
      </c>
      <c r="I2299" s="241" t="s">
        <v>13</v>
      </c>
      <c r="J2299" s="249" t="s">
        <v>714</v>
      </c>
      <c r="K2299" s="242">
        <v>44820</v>
      </c>
      <c r="L2299" s="241"/>
      <c r="M2299" s="243">
        <v>240</v>
      </c>
      <c r="N2299" s="243">
        <f>MONTH(Tableau13[[#This Row],[Date fin intervention]])</f>
        <v>9</v>
      </c>
      <c r="O2299" s="243">
        <f>YEAR(Tableau13[[#This Row],[Date fin intervention]])</f>
        <v>2022</v>
      </c>
      <c r="P2299" s="241"/>
    </row>
    <row r="2300" spans="1:16">
      <c r="A2300" s="238">
        <v>44820</v>
      </c>
      <c r="B2300" s="239">
        <v>581</v>
      </c>
      <c r="C2300" s="240" t="str">
        <f>IF(ISNA(VLOOKUP(Tableau13[[#This Row],[Code machine]],'CODE mchn'!$A$4:$C$170,2,0)),"",VLOOKUP(Tableau13[[#This Row],[Code machine]],'CODE mchn'!$A$4:$C$170,2,0))</f>
        <v>Acier</v>
      </c>
      <c r="D2300" s="241" t="str">
        <f>IF(ISNA(VLOOKUP(Tableau13[[#This Row],[Code machine]],'CODE mchn'!$A$4:$C$170,3,0)),"",VLOOKUP(Tableau13[[#This Row],[Code machine]],'CODE mchn'!$A$4:$C$170,3,0))</f>
        <v>Teurema 1</v>
      </c>
      <c r="E2300" s="239">
        <v>25468</v>
      </c>
      <c r="F2300" s="241" t="s">
        <v>4140</v>
      </c>
      <c r="G2300" s="241" t="s">
        <v>1948</v>
      </c>
      <c r="H2300" s="241" t="s">
        <v>2949</v>
      </c>
      <c r="I2300" s="241" t="s">
        <v>13</v>
      </c>
      <c r="J2300" s="249" t="s">
        <v>2950</v>
      </c>
      <c r="K2300" s="242">
        <v>44789</v>
      </c>
      <c r="L2300" s="241"/>
      <c r="M2300" s="243">
        <v>60</v>
      </c>
      <c r="N2300" s="243">
        <f>MONTH(Tableau13[[#This Row],[Date fin intervention]])</f>
        <v>8</v>
      </c>
      <c r="O2300" s="243">
        <f>YEAR(Tableau13[[#This Row],[Date fin intervention]])</f>
        <v>2022</v>
      </c>
      <c r="P2300" s="241"/>
    </row>
    <row r="2301" spans="1:16">
      <c r="A2301" s="238">
        <v>44820</v>
      </c>
      <c r="B2301" s="239">
        <v>581</v>
      </c>
      <c r="C2301" s="240" t="str">
        <f>IF(ISNA(VLOOKUP(Tableau13[[#This Row],[Code machine]],'CODE mchn'!$A$4:$C$170,2,0)),"",VLOOKUP(Tableau13[[#This Row],[Code machine]],'CODE mchn'!$A$4:$C$170,2,0))</f>
        <v>Acier</v>
      </c>
      <c r="D2301" s="241" t="str">
        <f>IF(ISNA(VLOOKUP(Tableau13[[#This Row],[Code machine]],'CODE mchn'!$A$4:$C$170,3,0)),"",VLOOKUP(Tableau13[[#This Row],[Code machine]],'CODE mchn'!$A$4:$C$170,3,0))</f>
        <v>Teurema 1</v>
      </c>
      <c r="E2301" s="239">
        <v>25484</v>
      </c>
      <c r="F2301" s="241" t="s">
        <v>4140</v>
      </c>
      <c r="G2301" s="241" t="s">
        <v>70</v>
      </c>
      <c r="H2301" s="241" t="s">
        <v>2964</v>
      </c>
      <c r="I2301" s="241" t="s">
        <v>13</v>
      </c>
      <c r="J2301" s="249" t="s">
        <v>2965</v>
      </c>
      <c r="K2301" s="242">
        <v>44820</v>
      </c>
      <c r="L2301" s="241"/>
      <c r="M2301" s="243">
        <v>90</v>
      </c>
      <c r="N2301" s="243">
        <f>MONTH(Tableau13[[#This Row],[Date fin intervention]])</f>
        <v>9</v>
      </c>
      <c r="O2301" s="243">
        <f>YEAR(Tableau13[[#This Row],[Date fin intervention]])</f>
        <v>2022</v>
      </c>
      <c r="P2301" s="241"/>
    </row>
    <row r="2302" spans="1:16">
      <c r="A2302" s="238">
        <v>44821</v>
      </c>
      <c r="B2302" s="239">
        <v>800</v>
      </c>
      <c r="C2302" s="240" t="str">
        <f>IF(ISNA(VLOOKUP(Tableau13[[#This Row],[Code machine]],'CODE mchn'!$A$4:$C$170,2,0)),"",VLOOKUP(Tableau13[[#This Row],[Code machine]],'CODE mchn'!$A$4:$C$170,2,0))</f>
        <v>Béton</v>
      </c>
      <c r="D2302" s="241" t="str">
        <f>IF(ISNA(VLOOKUP(Tableau13[[#This Row],[Code machine]],'CODE mchn'!$A$4:$C$170,3,0)),"",VLOOKUP(Tableau13[[#This Row],[Code machine]],'CODE mchn'!$A$4:$C$170,3,0))</f>
        <v>Poyatos 2</v>
      </c>
      <c r="E2302" s="239">
        <v>25467</v>
      </c>
      <c r="F2302" s="241" t="s">
        <v>4140</v>
      </c>
      <c r="G2302" s="241" t="s">
        <v>300</v>
      </c>
      <c r="H2302" s="241" t="s">
        <v>587</v>
      </c>
      <c r="I2302" s="241" t="s">
        <v>13</v>
      </c>
      <c r="J2302" s="249" t="s">
        <v>2948</v>
      </c>
      <c r="K2302" s="242">
        <v>44821</v>
      </c>
      <c r="L2302" s="241"/>
      <c r="M2302" s="243">
        <v>90</v>
      </c>
      <c r="N2302" s="243">
        <f>MONTH(Tableau13[[#This Row],[Date fin intervention]])</f>
        <v>9</v>
      </c>
      <c r="O2302" s="243">
        <f>YEAR(Tableau13[[#This Row],[Date fin intervention]])</f>
        <v>2022</v>
      </c>
      <c r="P2302" s="241"/>
    </row>
    <row r="2303" spans="1:16">
      <c r="A2303" s="238">
        <v>44821</v>
      </c>
      <c r="B2303" s="239">
        <v>570</v>
      </c>
      <c r="C2303" s="240" t="str">
        <f>IF(ISNA(VLOOKUP(Tableau13[[#This Row],[Code machine]],'CODE mchn'!$A$4:$C$170,2,0)),"",VLOOKUP(Tableau13[[#This Row],[Code machine]],'CODE mchn'!$A$4:$C$170,2,0))</f>
        <v>Acier</v>
      </c>
      <c r="D2303" s="241" t="str">
        <f>IF(ISNA(VLOOKUP(Tableau13[[#This Row],[Code machine]],'CODE mchn'!$A$4:$C$170,3,0)),"",VLOOKUP(Tableau13[[#This Row],[Code machine]],'CODE mchn'!$A$4:$C$170,3,0))</f>
        <v>Sigmatic</v>
      </c>
      <c r="E2303" s="239">
        <v>25472</v>
      </c>
      <c r="F2303" s="241" t="s">
        <v>4140</v>
      </c>
      <c r="G2303" s="241" t="s">
        <v>2954</v>
      </c>
      <c r="H2303" s="241" t="s">
        <v>2955</v>
      </c>
      <c r="I2303" s="241" t="s">
        <v>13</v>
      </c>
      <c r="J2303" s="249" t="s">
        <v>2956</v>
      </c>
      <c r="K2303" s="242">
        <v>44821</v>
      </c>
      <c r="L2303" s="241"/>
      <c r="M2303" s="243">
        <v>120</v>
      </c>
      <c r="N2303" s="243">
        <f>MONTH(Tableau13[[#This Row],[Date fin intervention]])</f>
        <v>9</v>
      </c>
      <c r="O2303" s="243">
        <f>YEAR(Tableau13[[#This Row],[Date fin intervention]])</f>
        <v>2022</v>
      </c>
      <c r="P2303" s="241"/>
    </row>
    <row r="2304" spans="1:16">
      <c r="A2304" s="238">
        <v>44821</v>
      </c>
      <c r="B2304" s="239">
        <v>565</v>
      </c>
      <c r="C2304" s="240" t="str">
        <f>IF(ISNA(VLOOKUP(Tableau13[[#This Row],[Code machine]],'CODE mchn'!$A$4:$C$170,2,0)),"",VLOOKUP(Tableau13[[#This Row],[Code machine]],'CODE mchn'!$A$4:$C$170,2,0))</f>
        <v>Acier</v>
      </c>
      <c r="D2304" s="241" t="str">
        <f>IF(ISNA(VLOOKUP(Tableau13[[#This Row],[Code machine]],'CODE mchn'!$A$4:$C$170,3,0)),"",VLOOKUP(Tableau13[[#This Row],[Code machine]],'CODE mchn'!$A$4:$C$170,3,0))</f>
        <v>EVG GE12</v>
      </c>
      <c r="E2304" s="239">
        <v>25495</v>
      </c>
      <c r="F2304" s="241" t="s">
        <v>4140</v>
      </c>
      <c r="G2304" s="241" t="s">
        <v>2974</v>
      </c>
      <c r="H2304" s="241" t="s">
        <v>2975</v>
      </c>
      <c r="I2304" s="241" t="s">
        <v>13</v>
      </c>
      <c r="J2304" s="249" t="s">
        <v>1648</v>
      </c>
      <c r="K2304" s="242">
        <v>44821</v>
      </c>
      <c r="L2304" s="241"/>
      <c r="M2304" s="243">
        <v>120</v>
      </c>
      <c r="N2304" s="243">
        <f>MONTH(Tableau13[[#This Row],[Date fin intervention]])</f>
        <v>9</v>
      </c>
      <c r="O2304" s="243">
        <f>YEAR(Tableau13[[#This Row],[Date fin intervention]])</f>
        <v>2022</v>
      </c>
      <c r="P2304" s="241"/>
    </row>
    <row r="2305" spans="1:16" ht="28.5">
      <c r="A2305" s="238">
        <v>44821</v>
      </c>
      <c r="B2305" s="239">
        <v>607</v>
      </c>
      <c r="C2305" s="240" t="str">
        <f>IF(ISNA(VLOOKUP(Tableau13[[#This Row],[Code machine]],'CODE mchn'!$A$4:$C$170,2,0)),"",VLOOKUP(Tableau13[[#This Row],[Code machine]],'CODE mchn'!$A$4:$C$170,2,0))</f>
        <v>Acier</v>
      </c>
      <c r="D2305" s="241" t="str">
        <f>IF(ISNA(VLOOKUP(Tableau13[[#This Row],[Code machine]],'CODE mchn'!$A$4:$C$170,3,0)),"",VLOOKUP(Tableau13[[#This Row],[Code machine]],'CODE mchn'!$A$4:$C$170,3,0))</f>
        <v>Vitari 3</v>
      </c>
      <c r="E2305" s="239">
        <v>25355</v>
      </c>
      <c r="F2305" s="241" t="s">
        <v>4140</v>
      </c>
      <c r="G2305" s="241" t="s">
        <v>75</v>
      </c>
      <c r="H2305" s="241" t="s">
        <v>3034</v>
      </c>
      <c r="I2305" s="241" t="s">
        <v>13</v>
      </c>
      <c r="J2305" s="249" t="s">
        <v>3035</v>
      </c>
      <c r="K2305" s="242">
        <v>44825</v>
      </c>
      <c r="L2305" s="241" t="s">
        <v>3036</v>
      </c>
      <c r="M2305" s="243">
        <v>0</v>
      </c>
      <c r="N2305" s="243">
        <f>MONTH(Tableau13[[#This Row],[Date fin intervention]])</f>
        <v>9</v>
      </c>
      <c r="O2305" s="243">
        <f>YEAR(Tableau13[[#This Row],[Date fin intervention]])</f>
        <v>2022</v>
      </c>
      <c r="P2305" s="241"/>
    </row>
    <row r="2306" spans="1:16">
      <c r="A2306" s="238">
        <v>44821</v>
      </c>
      <c r="B2306" s="239">
        <v>581</v>
      </c>
      <c r="C2306" s="240" t="str">
        <f>IF(ISNA(VLOOKUP(Tableau13[[#This Row],[Code machine]],'CODE mchn'!$A$4:$C$170,2,0)),"",VLOOKUP(Tableau13[[#This Row],[Code machine]],'CODE mchn'!$A$4:$C$170,2,0))</f>
        <v>Acier</v>
      </c>
      <c r="D2306" s="241" t="str">
        <f>IF(ISNA(VLOOKUP(Tableau13[[#This Row],[Code machine]],'CODE mchn'!$A$4:$C$170,3,0)),"",VLOOKUP(Tableau13[[#This Row],[Code machine]],'CODE mchn'!$A$4:$C$170,3,0))</f>
        <v>Teurema 1</v>
      </c>
      <c r="E2306" s="239">
        <v>25356</v>
      </c>
      <c r="F2306" s="241" t="s">
        <v>4140</v>
      </c>
      <c r="G2306" s="241" t="s">
        <v>3037</v>
      </c>
      <c r="H2306" s="241" t="s">
        <v>892</v>
      </c>
      <c r="I2306" s="241" t="s">
        <v>13</v>
      </c>
      <c r="J2306" s="249" t="s">
        <v>3038</v>
      </c>
      <c r="K2306" s="242">
        <v>44822</v>
      </c>
      <c r="L2306" s="241"/>
      <c r="M2306" s="243">
        <v>0</v>
      </c>
      <c r="N2306" s="243">
        <f>MONTH(Tableau13[[#This Row],[Date fin intervention]])</f>
        <v>9</v>
      </c>
      <c r="O2306" s="243">
        <f>YEAR(Tableau13[[#This Row],[Date fin intervention]])</f>
        <v>2022</v>
      </c>
      <c r="P2306" s="241"/>
    </row>
    <row r="2307" spans="1:16" ht="28.5">
      <c r="A2307" s="238">
        <v>44821</v>
      </c>
      <c r="B2307" s="239">
        <v>581</v>
      </c>
      <c r="C2307" s="240" t="str">
        <f>IF(ISNA(VLOOKUP(Tableau13[[#This Row],[Code machine]],'CODE mchn'!$A$4:$C$170,2,0)),"",VLOOKUP(Tableau13[[#This Row],[Code machine]],'CODE mchn'!$A$4:$C$170,2,0))</f>
        <v>Acier</v>
      </c>
      <c r="D2307" s="241" t="str">
        <f>IF(ISNA(VLOOKUP(Tableau13[[#This Row],[Code machine]],'CODE mchn'!$A$4:$C$170,3,0)),"",VLOOKUP(Tableau13[[#This Row],[Code machine]],'CODE mchn'!$A$4:$C$170,3,0))</f>
        <v>Teurema 1</v>
      </c>
      <c r="E2307" s="239">
        <v>25356</v>
      </c>
      <c r="F2307" s="241" t="s">
        <v>4140</v>
      </c>
      <c r="G2307" s="241" t="s">
        <v>3345</v>
      </c>
      <c r="H2307" s="241" t="s">
        <v>3340</v>
      </c>
      <c r="I2307" s="241" t="s">
        <v>3287</v>
      </c>
      <c r="J2307" s="249" t="s">
        <v>4153</v>
      </c>
      <c r="K2307" s="242">
        <v>44822</v>
      </c>
      <c r="L2307" s="241"/>
      <c r="M2307" s="243">
        <v>240</v>
      </c>
      <c r="N2307" s="243">
        <f>MONTH(Tableau13[[#This Row],[Date fin intervention]])</f>
        <v>9</v>
      </c>
      <c r="O2307" s="243">
        <f>YEAR(Tableau13[[#This Row],[Date fin intervention]])</f>
        <v>2022</v>
      </c>
      <c r="P2307" s="241"/>
    </row>
    <row r="2308" spans="1:16">
      <c r="A2308" s="238">
        <v>44821</v>
      </c>
      <c r="B2308" s="239">
        <v>582</v>
      </c>
      <c r="C2308" s="240" t="str">
        <f>IF(ISNA(VLOOKUP(Tableau13[[#This Row],[Code machine]],'CODE mchn'!$A$4:$C$170,2,0)),"",VLOOKUP(Tableau13[[#This Row],[Code machine]],'CODE mchn'!$A$4:$C$170,2,0))</f>
        <v>Acier</v>
      </c>
      <c r="D2308" s="241" t="str">
        <f>IF(ISNA(VLOOKUP(Tableau13[[#This Row],[Code machine]],'CODE mchn'!$A$4:$C$170,3,0)),"",VLOOKUP(Tableau13[[#This Row],[Code machine]],'CODE mchn'!$A$4:$C$170,3,0))</f>
        <v>Teurema 2</v>
      </c>
      <c r="E2308" s="239">
        <v>25361</v>
      </c>
      <c r="F2308" s="241" t="s">
        <v>4140</v>
      </c>
      <c r="G2308" s="241" t="s">
        <v>3351</v>
      </c>
      <c r="H2308" s="241" t="s">
        <v>4154</v>
      </c>
      <c r="I2308" s="241" t="s">
        <v>3287</v>
      </c>
      <c r="J2308" s="249" t="s">
        <v>4155</v>
      </c>
      <c r="K2308" s="242">
        <v>44822</v>
      </c>
      <c r="L2308" s="241"/>
      <c r="M2308" s="243">
        <v>30</v>
      </c>
      <c r="N2308" s="243">
        <f>MONTH(Tableau13[[#This Row],[Date fin intervention]])</f>
        <v>9</v>
      </c>
      <c r="O2308" s="243">
        <f>YEAR(Tableau13[[#This Row],[Date fin intervention]])</f>
        <v>2022</v>
      </c>
      <c r="P2308" s="241"/>
    </row>
    <row r="2309" spans="1:16">
      <c r="A2309" s="238">
        <v>44823</v>
      </c>
      <c r="B2309" s="239">
        <v>800</v>
      </c>
      <c r="C2309" s="240" t="str">
        <f>IF(ISNA(VLOOKUP(Tableau13[[#This Row],[Code machine]],'CODE mchn'!$A$4:$C$170,2,0)),"",VLOOKUP(Tableau13[[#This Row],[Code machine]],'CODE mchn'!$A$4:$C$170,2,0))</f>
        <v>Béton</v>
      </c>
      <c r="D2309" s="241" t="str">
        <f>IF(ISNA(VLOOKUP(Tableau13[[#This Row],[Code machine]],'CODE mchn'!$A$4:$C$170,3,0)),"",VLOOKUP(Tableau13[[#This Row],[Code machine]],'CODE mchn'!$A$4:$C$170,3,0))</f>
        <v>Poyatos 2</v>
      </c>
      <c r="E2309" s="239" t="s">
        <v>4159</v>
      </c>
      <c r="F2309" s="241"/>
      <c r="G2309" s="241" t="s">
        <v>49</v>
      </c>
      <c r="H2309" s="241" t="s">
        <v>4156</v>
      </c>
      <c r="I2309" s="241" t="s">
        <v>1578</v>
      </c>
      <c r="J2309" s="249" t="s">
        <v>4157</v>
      </c>
      <c r="K2309" s="242"/>
      <c r="L2309" s="241" t="s">
        <v>4158</v>
      </c>
      <c r="M2309" s="243"/>
      <c r="N2309" s="243">
        <f>MONTH(Tableau13[[#This Row],[Date fin intervention]])</f>
        <v>1</v>
      </c>
      <c r="O2309" s="243">
        <f>YEAR(Tableau13[[#This Row],[Date fin intervention]])</f>
        <v>1900</v>
      </c>
      <c r="P2309" s="241"/>
    </row>
    <row r="2310" spans="1:16">
      <c r="A2310" s="238">
        <v>44823</v>
      </c>
      <c r="B2310" s="239">
        <v>605</v>
      </c>
      <c r="C2310" s="240" t="str">
        <f>IF(ISNA(VLOOKUP(Tableau13[[#This Row],[Code machine]],'CODE mchn'!$A$4:$C$170,2,0)),"",VLOOKUP(Tableau13[[#This Row],[Code machine]],'CODE mchn'!$A$4:$C$170,2,0))</f>
        <v>Acier</v>
      </c>
      <c r="D2310" s="241" t="str">
        <f>IF(ISNA(VLOOKUP(Tableau13[[#This Row],[Code machine]],'CODE mchn'!$A$4:$C$170,3,0)),"",VLOOKUP(Tableau13[[#This Row],[Code machine]],'CODE mchn'!$A$4:$C$170,3,0))</f>
        <v>Vitari 1</v>
      </c>
      <c r="E2310" s="239">
        <v>25487</v>
      </c>
      <c r="F2310" s="241" t="s">
        <v>4140</v>
      </c>
      <c r="G2310" s="241" t="s">
        <v>664</v>
      </c>
      <c r="H2310" s="241" t="s">
        <v>2356</v>
      </c>
      <c r="I2310" s="241" t="s">
        <v>13</v>
      </c>
      <c r="J2310" s="249" t="s">
        <v>1906</v>
      </c>
      <c r="K2310" s="242">
        <v>44824</v>
      </c>
      <c r="L2310" s="241"/>
      <c r="M2310" s="243">
        <v>90</v>
      </c>
      <c r="N2310" s="243">
        <f>MONTH(Tableau13[[#This Row],[Date fin intervention]])</f>
        <v>9</v>
      </c>
      <c r="O2310" s="243">
        <f>YEAR(Tableau13[[#This Row],[Date fin intervention]])</f>
        <v>2022</v>
      </c>
      <c r="P2310" s="241"/>
    </row>
    <row r="2311" spans="1:16">
      <c r="A2311" s="238">
        <v>44823</v>
      </c>
      <c r="B2311" s="239">
        <v>700</v>
      </c>
      <c r="C2311" s="240" t="str">
        <f>IF(ISNA(VLOOKUP(Tableau13[[#This Row],[Code machine]],'CODE mchn'!$A$4:$C$170,2,0)),"",VLOOKUP(Tableau13[[#This Row],[Code machine]],'CODE mchn'!$A$4:$C$170,2,0))</f>
        <v>Béton</v>
      </c>
      <c r="D2311" s="241" t="str">
        <f>IF(ISNA(VLOOKUP(Tableau13[[#This Row],[Code machine]],'CODE mchn'!$A$4:$C$170,3,0)),"",VLOOKUP(Tableau13[[#This Row],[Code machine]],'CODE mchn'!$A$4:$C$170,3,0))</f>
        <v>Poyatos 1</v>
      </c>
      <c r="E2311" s="239">
        <v>25488</v>
      </c>
      <c r="F2311" s="241" t="s">
        <v>4140</v>
      </c>
      <c r="G2311" s="241" t="s">
        <v>291</v>
      </c>
      <c r="H2311" s="241" t="s">
        <v>2966</v>
      </c>
      <c r="I2311" s="241" t="s">
        <v>13</v>
      </c>
      <c r="J2311" s="249" t="s">
        <v>2967</v>
      </c>
      <c r="K2311" s="242">
        <v>44824</v>
      </c>
      <c r="L2311" s="241"/>
      <c r="M2311" s="243">
        <v>105</v>
      </c>
      <c r="N2311" s="243">
        <f>MONTH(Tableau13[[#This Row],[Date fin intervention]])</f>
        <v>9</v>
      </c>
      <c r="O2311" s="243">
        <f>YEAR(Tableau13[[#This Row],[Date fin intervention]])</f>
        <v>2022</v>
      </c>
      <c r="P2311" s="241"/>
    </row>
    <row r="2312" spans="1:16">
      <c r="A2312" s="238">
        <v>44823</v>
      </c>
      <c r="B2312" s="239">
        <v>700</v>
      </c>
      <c r="C2312" s="240" t="str">
        <f>IF(ISNA(VLOOKUP(Tableau13[[#This Row],[Code machine]],'CODE mchn'!$A$4:$C$170,2,0)),"",VLOOKUP(Tableau13[[#This Row],[Code machine]],'CODE mchn'!$A$4:$C$170,2,0))</f>
        <v>Béton</v>
      </c>
      <c r="D2312" s="241" t="str">
        <f>IF(ISNA(VLOOKUP(Tableau13[[#This Row],[Code machine]],'CODE mchn'!$A$4:$C$170,3,0)),"",VLOOKUP(Tableau13[[#This Row],[Code machine]],'CODE mchn'!$A$4:$C$170,3,0))</f>
        <v>Poyatos 1</v>
      </c>
      <c r="E2312" s="239">
        <v>25354</v>
      </c>
      <c r="F2312" s="241" t="s">
        <v>4140</v>
      </c>
      <c r="G2312" s="241" t="s">
        <v>291</v>
      </c>
      <c r="H2312" s="241" t="s">
        <v>4141</v>
      </c>
      <c r="I2312" s="241" t="s">
        <v>3287</v>
      </c>
      <c r="J2312" s="249" t="s">
        <v>4142</v>
      </c>
      <c r="K2312" s="242">
        <v>44824</v>
      </c>
      <c r="L2312" s="241"/>
      <c r="M2312" s="243">
        <v>30</v>
      </c>
      <c r="N2312" s="243">
        <f>MONTH(Tableau13[[#This Row],[Date fin intervention]])</f>
        <v>9</v>
      </c>
      <c r="O2312" s="243">
        <f>YEAR(Tableau13[[#This Row],[Date fin intervention]])</f>
        <v>2022</v>
      </c>
      <c r="P2312" s="241"/>
    </row>
    <row r="2313" spans="1:16">
      <c r="A2313" s="238">
        <v>44928</v>
      </c>
      <c r="B2313" s="239">
        <v>607</v>
      </c>
      <c r="C2313" s="240" t="str">
        <f>IF(ISNA(VLOOKUP(Tableau13[[#This Row],[Code machine]],'CODE mchn'!$A$4:$C$170,2,0)),"",VLOOKUP(Tableau13[[#This Row],[Code machine]],'CODE mchn'!$A$4:$C$170,2,0))</f>
        <v>Acier</v>
      </c>
      <c r="D2313" s="241" t="str">
        <f>IF(ISNA(VLOOKUP(Tableau13[[#This Row],[Code machine]],'CODE mchn'!$A$4:$C$170,3,0)),"",VLOOKUP(Tableau13[[#This Row],[Code machine]],'CODE mchn'!$A$4:$C$170,3,0))</f>
        <v>Vitari 3</v>
      </c>
      <c r="E2313" s="239">
        <v>20374</v>
      </c>
      <c r="F2313" s="241"/>
      <c r="G2313" s="241" t="s">
        <v>519</v>
      </c>
      <c r="H2313" s="241" t="s">
        <v>4160</v>
      </c>
      <c r="I2313" s="241" t="s">
        <v>13</v>
      </c>
      <c r="J2313" s="249" t="s">
        <v>4161</v>
      </c>
      <c r="K2313" s="242">
        <v>44928</v>
      </c>
      <c r="L2313" s="241"/>
      <c r="M2313" s="243">
        <v>120</v>
      </c>
      <c r="N2313" s="243">
        <f>MONTH(Tableau13[[#This Row],[Date fin intervention]])</f>
        <v>1</v>
      </c>
      <c r="O2313" s="243">
        <f>YEAR(Tableau13[[#This Row],[Date fin intervention]])</f>
        <v>2023</v>
      </c>
      <c r="P2313" s="241"/>
    </row>
    <row r="2314" spans="1:16">
      <c r="A2314" s="238">
        <v>44929</v>
      </c>
      <c r="B2314" s="239">
        <v>800</v>
      </c>
      <c r="C2314" s="240" t="str">
        <f>IF(ISNA(VLOOKUP(Tableau13[[#This Row],[Code machine]],'CODE mchn'!$A$4:$C$170,2,0)),"",VLOOKUP(Tableau13[[#This Row],[Code machine]],'CODE mchn'!$A$4:$C$170,2,0))</f>
        <v>Béton</v>
      </c>
      <c r="D2314" s="241" t="str">
        <f>IF(ISNA(VLOOKUP(Tableau13[[#This Row],[Code machine]],'CODE mchn'!$A$4:$C$170,3,0)),"",VLOOKUP(Tableau13[[#This Row],[Code machine]],'CODE mchn'!$A$4:$C$170,3,0))</f>
        <v>Poyatos 2</v>
      </c>
      <c r="E2314" s="239">
        <v>20553</v>
      </c>
      <c r="F2314" s="241"/>
      <c r="G2314" s="241" t="s">
        <v>213</v>
      </c>
      <c r="H2314" s="241" t="s">
        <v>2722</v>
      </c>
      <c r="I2314" s="241" t="s">
        <v>13</v>
      </c>
      <c r="J2314" s="249" t="s">
        <v>4162</v>
      </c>
      <c r="K2314" s="242">
        <v>44929</v>
      </c>
      <c r="L2314" s="241"/>
      <c r="M2314" s="243">
        <v>240</v>
      </c>
      <c r="N2314" s="243">
        <f>MONTH(Tableau13[[#This Row],[Date fin intervention]])</f>
        <v>1</v>
      </c>
      <c r="O2314" s="243">
        <f>YEAR(Tableau13[[#This Row],[Date fin intervention]])</f>
        <v>2023</v>
      </c>
      <c r="P2314" s="241"/>
    </row>
    <row r="2315" spans="1:16">
      <c r="A2315" s="238">
        <v>44930</v>
      </c>
      <c r="B2315" s="239">
        <v>700</v>
      </c>
      <c r="C2315" s="240" t="str">
        <f>IF(ISNA(VLOOKUP(Tableau13[[#This Row],[Code machine]],'CODE mchn'!$A$4:$C$170,2,0)),"",VLOOKUP(Tableau13[[#This Row],[Code machine]],'CODE mchn'!$A$4:$C$170,2,0))</f>
        <v>Béton</v>
      </c>
      <c r="D2315" s="241" t="str">
        <f>IF(ISNA(VLOOKUP(Tableau13[[#This Row],[Code machine]],'CODE mchn'!$A$4:$C$170,3,0)),"",VLOOKUP(Tableau13[[#This Row],[Code machine]],'CODE mchn'!$A$4:$C$170,3,0))</f>
        <v>Poyatos 1</v>
      </c>
      <c r="E2315" s="239">
        <v>20551</v>
      </c>
      <c r="F2315" s="241"/>
      <c r="G2315" s="241" t="s">
        <v>291</v>
      </c>
      <c r="H2315" s="241" t="s">
        <v>4163</v>
      </c>
      <c r="I2315" s="241" t="s">
        <v>13</v>
      </c>
      <c r="J2315" s="249" t="s">
        <v>4164</v>
      </c>
      <c r="K2315" s="242">
        <v>44930</v>
      </c>
      <c r="L2315" s="241"/>
      <c r="M2315" s="243">
        <v>420</v>
      </c>
      <c r="N2315" s="243">
        <f>MONTH(Tableau13[[#This Row],[Date fin intervention]])</f>
        <v>1</v>
      </c>
      <c r="O2315" s="243">
        <f>YEAR(Tableau13[[#This Row],[Date fin intervention]])</f>
        <v>2023</v>
      </c>
      <c r="P2315" s="241"/>
    </row>
    <row r="2316" spans="1:16">
      <c r="A2316" s="238">
        <v>44932</v>
      </c>
      <c r="B2316" s="239">
        <v>700</v>
      </c>
      <c r="C2316" s="240" t="str">
        <f>IF(ISNA(VLOOKUP(Tableau13[[#This Row],[Code machine]],'CODE mchn'!$A$4:$C$170,2,0)),"",VLOOKUP(Tableau13[[#This Row],[Code machine]],'CODE mchn'!$A$4:$C$170,2,0))</f>
        <v>Béton</v>
      </c>
      <c r="D2316" s="241" t="str">
        <f>IF(ISNA(VLOOKUP(Tableau13[[#This Row],[Code machine]],'CODE mchn'!$A$4:$C$170,3,0)),"",VLOOKUP(Tableau13[[#This Row],[Code machine]],'CODE mchn'!$A$4:$C$170,3,0))</f>
        <v>Poyatos 1</v>
      </c>
      <c r="E2316" s="239">
        <v>20554</v>
      </c>
      <c r="F2316" s="241"/>
      <c r="G2316" s="241" t="s">
        <v>213</v>
      </c>
      <c r="H2316" s="241" t="s">
        <v>4165</v>
      </c>
      <c r="I2316" s="241" t="s">
        <v>13</v>
      </c>
      <c r="J2316" s="249" t="s">
        <v>4166</v>
      </c>
      <c r="K2316" s="242">
        <v>44932</v>
      </c>
      <c r="L2316" s="241"/>
      <c r="M2316" s="243">
        <v>240</v>
      </c>
      <c r="N2316" s="243">
        <f>MONTH(Tableau13[[#This Row],[Date fin intervention]])</f>
        <v>1</v>
      </c>
      <c r="O2316" s="243">
        <f>YEAR(Tableau13[[#This Row],[Date fin intervention]])</f>
        <v>2023</v>
      </c>
      <c r="P2316" s="241"/>
    </row>
    <row r="2317" spans="1:16">
      <c r="A2317" s="238">
        <v>44932</v>
      </c>
      <c r="B2317" s="239">
        <v>700</v>
      </c>
      <c r="C2317" s="240" t="str">
        <f>IF(ISNA(VLOOKUP(Tableau13[[#This Row],[Code machine]],'CODE mchn'!$A$4:$C$170,2,0)),"",VLOOKUP(Tableau13[[#This Row],[Code machine]],'CODE mchn'!$A$4:$C$170,2,0))</f>
        <v>Béton</v>
      </c>
      <c r="D2317" s="241" t="str">
        <f>IF(ISNA(VLOOKUP(Tableau13[[#This Row],[Code machine]],'CODE mchn'!$A$4:$C$170,3,0)),"",VLOOKUP(Tableau13[[#This Row],[Code machine]],'CODE mchn'!$A$4:$C$170,3,0))</f>
        <v>Poyatos 1</v>
      </c>
      <c r="E2317" s="239">
        <v>20557</v>
      </c>
      <c r="F2317" s="241"/>
      <c r="G2317" s="241" t="s">
        <v>4167</v>
      </c>
      <c r="H2317" s="241" t="s">
        <v>4168</v>
      </c>
      <c r="I2317" s="241" t="s">
        <v>101</v>
      </c>
      <c r="J2317" s="249" t="s">
        <v>4169</v>
      </c>
      <c r="K2317" s="242">
        <v>44932</v>
      </c>
      <c r="L2317" s="241"/>
      <c r="M2317" s="243">
        <v>120</v>
      </c>
      <c r="N2317" s="243">
        <f>MONTH(Tableau13[[#This Row],[Date fin intervention]])</f>
        <v>1</v>
      </c>
      <c r="O2317" s="243">
        <f>YEAR(Tableau13[[#This Row],[Date fin intervention]])</f>
        <v>2023</v>
      </c>
      <c r="P2317" s="241"/>
    </row>
    <row r="2318" spans="1:16">
      <c r="A2318" s="238">
        <v>44933</v>
      </c>
      <c r="B2318" s="239">
        <v>605</v>
      </c>
      <c r="C2318" s="240" t="str">
        <f>IF(ISNA(VLOOKUP(Tableau13[[#This Row],[Code machine]],'CODE mchn'!$A$4:$C$170,2,0)),"",VLOOKUP(Tableau13[[#This Row],[Code machine]],'CODE mchn'!$A$4:$C$170,2,0))</f>
        <v>Acier</v>
      </c>
      <c r="D2318" s="241" t="str">
        <f>IF(ISNA(VLOOKUP(Tableau13[[#This Row],[Code machine]],'CODE mchn'!$A$4:$C$170,3,0)),"",VLOOKUP(Tableau13[[#This Row],[Code machine]],'CODE mchn'!$A$4:$C$170,3,0))</f>
        <v>Vitari 1</v>
      </c>
      <c r="E2318" s="239">
        <v>20375</v>
      </c>
      <c r="F2318" s="241"/>
      <c r="G2318" s="241" t="s">
        <v>4170</v>
      </c>
      <c r="H2318" s="241" t="s">
        <v>4171</v>
      </c>
      <c r="I2318" s="241" t="s">
        <v>13</v>
      </c>
      <c r="J2318" s="249" t="s">
        <v>4172</v>
      </c>
      <c r="K2318" s="242">
        <v>44933</v>
      </c>
      <c r="L2318" s="241"/>
      <c r="M2318" s="243">
        <v>60</v>
      </c>
      <c r="N2318" s="243">
        <f>MONTH(Tableau13[[#This Row],[Date fin intervention]])</f>
        <v>1</v>
      </c>
      <c r="O2318" s="243">
        <f>YEAR(Tableau13[[#This Row],[Date fin intervention]])</f>
        <v>2023</v>
      </c>
      <c r="P2318" s="241"/>
    </row>
    <row r="2319" spans="1:16">
      <c r="A2319" s="238">
        <v>44933</v>
      </c>
      <c r="B2319" s="239">
        <v>607</v>
      </c>
      <c r="C2319" s="240" t="str">
        <f>IF(ISNA(VLOOKUP(Tableau13[[#This Row],[Code machine]],'CODE mchn'!$A$4:$C$170,2,0)),"",VLOOKUP(Tableau13[[#This Row],[Code machine]],'CODE mchn'!$A$4:$C$170,2,0))</f>
        <v>Acier</v>
      </c>
      <c r="D2319" s="241" t="str">
        <f>IF(ISNA(VLOOKUP(Tableau13[[#This Row],[Code machine]],'CODE mchn'!$A$4:$C$170,3,0)),"",VLOOKUP(Tableau13[[#This Row],[Code machine]],'CODE mchn'!$A$4:$C$170,3,0))</f>
        <v>Vitari 3</v>
      </c>
      <c r="E2319" s="239">
        <v>20376</v>
      </c>
      <c r="F2319" s="241"/>
      <c r="G2319" s="241" t="s">
        <v>519</v>
      </c>
      <c r="H2319" s="241" t="s">
        <v>4173</v>
      </c>
      <c r="I2319" s="241" t="s">
        <v>13</v>
      </c>
      <c r="J2319" s="249" t="s">
        <v>4174</v>
      </c>
      <c r="K2319" s="242">
        <v>44933</v>
      </c>
      <c r="L2319" s="241"/>
      <c r="M2319" s="243">
        <v>120</v>
      </c>
      <c r="N2319" s="243">
        <f>MONTH(Tableau13[[#This Row],[Date fin intervention]])</f>
        <v>1</v>
      </c>
      <c r="O2319" s="243">
        <f>YEAR(Tableau13[[#This Row],[Date fin intervention]])</f>
        <v>2023</v>
      </c>
      <c r="P2319" s="241"/>
    </row>
    <row r="2320" spans="1:16">
      <c r="A2320" s="238">
        <v>44933</v>
      </c>
      <c r="B2320" s="239">
        <v>800</v>
      </c>
      <c r="C2320" s="240" t="str">
        <f>IF(ISNA(VLOOKUP(Tableau13[[#This Row],[Code machine]],'CODE mchn'!$A$4:$C$170,2,0)),"",VLOOKUP(Tableau13[[#This Row],[Code machine]],'CODE mchn'!$A$4:$C$170,2,0))</f>
        <v>Béton</v>
      </c>
      <c r="D2320" s="241" t="str">
        <f>IF(ISNA(VLOOKUP(Tableau13[[#This Row],[Code machine]],'CODE mchn'!$A$4:$C$170,3,0)),"",VLOOKUP(Tableau13[[#This Row],[Code machine]],'CODE mchn'!$A$4:$C$170,3,0))</f>
        <v>Poyatos 2</v>
      </c>
      <c r="E2320" s="239">
        <v>20555</v>
      </c>
      <c r="F2320" s="241"/>
      <c r="G2320" s="241" t="s">
        <v>118</v>
      </c>
      <c r="H2320" s="241" t="s">
        <v>4175</v>
      </c>
      <c r="I2320" s="241" t="s">
        <v>13</v>
      </c>
      <c r="J2320" s="249" t="s">
        <v>4176</v>
      </c>
      <c r="K2320" s="242">
        <v>44933</v>
      </c>
      <c r="L2320" s="241"/>
      <c r="M2320" s="243">
        <v>2880</v>
      </c>
      <c r="N2320" s="243">
        <f>MONTH(Tableau13[[#This Row],[Date fin intervention]])</f>
        <v>1</v>
      </c>
      <c r="O2320" s="243">
        <f>YEAR(Tableau13[[#This Row],[Date fin intervention]])</f>
        <v>2023</v>
      </c>
      <c r="P2320" s="241"/>
    </row>
    <row r="2321" spans="1:16" ht="28.5">
      <c r="A2321" s="238">
        <v>44933</v>
      </c>
      <c r="B2321" s="239">
        <v>700</v>
      </c>
      <c r="C2321" s="240" t="str">
        <f>IF(ISNA(VLOOKUP(Tableau13[[#This Row],[Code machine]],'CODE mchn'!$A$4:$C$170,2,0)),"",VLOOKUP(Tableau13[[#This Row],[Code machine]],'CODE mchn'!$A$4:$C$170,2,0))</f>
        <v>Béton</v>
      </c>
      <c r="D2321" s="241" t="str">
        <f>IF(ISNA(VLOOKUP(Tableau13[[#This Row],[Code machine]],'CODE mchn'!$A$4:$C$170,3,0)),"",VLOOKUP(Tableau13[[#This Row],[Code machine]],'CODE mchn'!$A$4:$C$170,3,0))</f>
        <v>Poyatos 1</v>
      </c>
      <c r="E2321" s="239">
        <v>20558</v>
      </c>
      <c r="F2321" s="241"/>
      <c r="G2321" s="241" t="s">
        <v>2721</v>
      </c>
      <c r="H2321" s="241" t="s">
        <v>1134</v>
      </c>
      <c r="I2321" s="241" t="s">
        <v>13</v>
      </c>
      <c r="J2321" s="249" t="s">
        <v>4177</v>
      </c>
      <c r="K2321" s="242">
        <v>44933</v>
      </c>
      <c r="L2321" s="241"/>
      <c r="M2321" s="243">
        <v>480</v>
      </c>
      <c r="N2321" s="243">
        <f>MONTH(Tableau13[[#This Row],[Date fin intervention]])</f>
        <v>1</v>
      </c>
      <c r="O2321" s="243">
        <f>YEAR(Tableau13[[#This Row],[Date fin intervention]])</f>
        <v>2023</v>
      </c>
      <c r="P2321" s="241"/>
    </row>
    <row r="2322" spans="1:16">
      <c r="A2322" s="238">
        <v>44933</v>
      </c>
      <c r="B2322" s="239">
        <v>800</v>
      </c>
      <c r="C2322" s="240" t="str">
        <f>IF(ISNA(VLOOKUP(Tableau13[[#This Row],[Code machine]],'CODE mchn'!$A$4:$C$170,2,0)),"",VLOOKUP(Tableau13[[#This Row],[Code machine]],'CODE mchn'!$A$4:$C$170,2,0))</f>
        <v>Béton</v>
      </c>
      <c r="D2322" s="241" t="str">
        <f>IF(ISNA(VLOOKUP(Tableau13[[#This Row],[Code machine]],'CODE mchn'!$A$4:$C$170,3,0)),"",VLOOKUP(Tableau13[[#This Row],[Code machine]],'CODE mchn'!$A$4:$C$170,3,0))</f>
        <v>Poyatos 2</v>
      </c>
      <c r="E2322" s="239">
        <v>20559</v>
      </c>
      <c r="F2322" s="241"/>
      <c r="G2322" s="241" t="s">
        <v>4178</v>
      </c>
      <c r="H2322" s="241" t="s">
        <v>2915</v>
      </c>
      <c r="I2322" s="241" t="s">
        <v>13</v>
      </c>
      <c r="J2322" s="249" t="s">
        <v>1837</v>
      </c>
      <c r="K2322" s="242">
        <v>44933</v>
      </c>
      <c r="L2322" s="241"/>
      <c r="M2322" s="243">
        <v>90</v>
      </c>
      <c r="N2322" s="243">
        <f>MONTH(Tableau13[[#This Row],[Date fin intervention]])</f>
        <v>1</v>
      </c>
      <c r="O2322" s="243">
        <f>YEAR(Tableau13[[#This Row],[Date fin intervention]])</f>
        <v>2023</v>
      </c>
      <c r="P2322" s="241"/>
    </row>
    <row r="2323" spans="1:16">
      <c r="A2323" s="238">
        <v>44938</v>
      </c>
      <c r="B2323" s="239">
        <v>565</v>
      </c>
      <c r="C2323" s="240" t="str">
        <f>IF(ISNA(VLOOKUP(Tableau13[[#This Row],[Code machine]],'CODE mchn'!$A$4:$C$170,2,0)),"",VLOOKUP(Tableau13[[#This Row],[Code machine]],'CODE mchn'!$A$4:$C$170,2,0))</f>
        <v>Acier</v>
      </c>
      <c r="D2323" s="241" t="str">
        <f>IF(ISNA(VLOOKUP(Tableau13[[#This Row],[Code machine]],'CODE mchn'!$A$4:$C$170,3,0)),"",VLOOKUP(Tableau13[[#This Row],[Code machine]],'CODE mchn'!$A$4:$C$170,3,0))</f>
        <v>EVG GE12</v>
      </c>
      <c r="E2323" s="239">
        <v>20379</v>
      </c>
      <c r="F2323" s="241"/>
      <c r="G2323" s="241" t="s">
        <v>2243</v>
      </c>
      <c r="H2323" s="241" t="s">
        <v>4179</v>
      </c>
      <c r="I2323" s="241" t="s">
        <v>13</v>
      </c>
      <c r="J2323" s="249" t="s">
        <v>4180</v>
      </c>
      <c r="K2323" s="242">
        <v>44938</v>
      </c>
      <c r="L2323" s="241"/>
      <c r="M2323" s="243">
        <v>130</v>
      </c>
      <c r="N2323" s="243">
        <f>MONTH(Tableau13[[#This Row],[Date fin intervention]])</f>
        <v>1</v>
      </c>
      <c r="O2323" s="243">
        <f>YEAR(Tableau13[[#This Row],[Date fin intervention]])</f>
        <v>2023</v>
      </c>
      <c r="P2323" s="241"/>
    </row>
    <row r="2324" spans="1:16">
      <c r="A2324" s="238">
        <v>44950</v>
      </c>
      <c r="B2324" s="239">
        <v>605</v>
      </c>
      <c r="C2324" s="240" t="str">
        <f>IF(ISNA(VLOOKUP(Tableau13[[#This Row],[Code machine]],'CODE mchn'!$A$4:$C$170,2,0)),"",VLOOKUP(Tableau13[[#This Row],[Code machine]],'CODE mchn'!$A$4:$C$170,2,0))</f>
        <v>Acier</v>
      </c>
      <c r="D2324" s="241" t="str">
        <f>IF(ISNA(VLOOKUP(Tableau13[[#This Row],[Code machine]],'CODE mchn'!$A$4:$C$170,3,0)),"",VLOOKUP(Tableau13[[#This Row],[Code machine]],'CODE mchn'!$A$4:$C$170,3,0))</f>
        <v>Vitari 1</v>
      </c>
      <c r="E2324" s="239">
        <v>20382</v>
      </c>
      <c r="F2324" s="241"/>
      <c r="G2324" s="241" t="s">
        <v>4135</v>
      </c>
      <c r="H2324" s="241" t="s">
        <v>4181</v>
      </c>
      <c r="I2324" s="241" t="s">
        <v>13</v>
      </c>
      <c r="J2324" s="249" t="s">
        <v>4182</v>
      </c>
      <c r="K2324" s="242">
        <v>44957</v>
      </c>
      <c r="L2324" s="241"/>
      <c r="M2324" s="243">
        <v>3360</v>
      </c>
      <c r="N2324" s="243">
        <f>MONTH(Tableau13[[#This Row],[Date fin intervention]])</f>
        <v>1</v>
      </c>
      <c r="O2324" s="243">
        <f>YEAR(Tableau13[[#This Row],[Date fin intervention]])</f>
        <v>2023</v>
      </c>
      <c r="P2324" s="241"/>
    </row>
    <row r="2325" spans="1:16">
      <c r="A2325" s="238">
        <v>44950</v>
      </c>
      <c r="B2325" s="239">
        <v>606</v>
      </c>
      <c r="C2325" s="240" t="str">
        <f>IF(ISNA(VLOOKUP(Tableau13[[#This Row],[Code machine]],'CODE mchn'!$A$4:$C$170,2,0)),"",VLOOKUP(Tableau13[[#This Row],[Code machine]],'CODE mchn'!$A$4:$C$170,2,0))</f>
        <v>Acier</v>
      </c>
      <c r="D2325" s="241" t="str">
        <f>IF(ISNA(VLOOKUP(Tableau13[[#This Row],[Code machine]],'CODE mchn'!$A$4:$C$170,3,0)),"",VLOOKUP(Tableau13[[#This Row],[Code machine]],'CODE mchn'!$A$4:$C$170,3,0))</f>
        <v>Vitari 2</v>
      </c>
      <c r="E2325" s="239">
        <v>20383</v>
      </c>
      <c r="F2325" s="241"/>
      <c r="G2325" s="241" t="s">
        <v>519</v>
      </c>
      <c r="H2325" s="241" t="s">
        <v>4183</v>
      </c>
      <c r="I2325" s="241" t="s">
        <v>13</v>
      </c>
      <c r="J2325" s="249" t="s">
        <v>1577</v>
      </c>
      <c r="K2325" s="242">
        <v>44950</v>
      </c>
      <c r="L2325" s="241"/>
      <c r="M2325" s="243">
        <v>60</v>
      </c>
      <c r="N2325" s="243">
        <f>MONTH(Tableau13[[#This Row],[Date fin intervention]])</f>
        <v>1</v>
      </c>
      <c r="O2325" s="243">
        <f>YEAR(Tableau13[[#This Row],[Date fin intervention]])</f>
        <v>2023</v>
      </c>
      <c r="P2325" s="241"/>
    </row>
    <row r="2326" spans="1:16">
      <c r="A2326" s="238">
        <v>44952</v>
      </c>
      <c r="B2326" s="239">
        <v>565</v>
      </c>
      <c r="C2326" s="240" t="str">
        <f>IF(ISNA(VLOOKUP(Tableau13[[#This Row],[Code machine]],'CODE mchn'!$A$4:$C$170,2,0)),"",VLOOKUP(Tableau13[[#This Row],[Code machine]],'CODE mchn'!$A$4:$C$170,2,0))</f>
        <v>Acier</v>
      </c>
      <c r="D2326" s="241" t="str">
        <f>IF(ISNA(VLOOKUP(Tableau13[[#This Row],[Code machine]],'CODE mchn'!$A$4:$C$170,3,0)),"",VLOOKUP(Tableau13[[#This Row],[Code machine]],'CODE mchn'!$A$4:$C$170,3,0))</f>
        <v>EVG GE12</v>
      </c>
      <c r="E2326" s="239">
        <v>20387</v>
      </c>
      <c r="F2326" s="241"/>
      <c r="G2326" s="241" t="s">
        <v>52</v>
      </c>
      <c r="H2326" s="241" t="s">
        <v>4184</v>
      </c>
      <c r="I2326" s="241" t="s">
        <v>13</v>
      </c>
      <c r="J2326" s="249" t="s">
        <v>4185</v>
      </c>
      <c r="K2326" s="242">
        <v>44955</v>
      </c>
      <c r="L2326" s="241"/>
      <c r="M2326" s="243">
        <v>1440</v>
      </c>
      <c r="N2326" s="243">
        <f>MONTH(Tableau13[[#This Row],[Date fin intervention]])</f>
        <v>1</v>
      </c>
      <c r="O2326" s="243">
        <f>YEAR(Tableau13[[#This Row],[Date fin intervention]])</f>
        <v>2023</v>
      </c>
      <c r="P2326" s="241"/>
    </row>
    <row r="2327" spans="1:16">
      <c r="A2327" s="238">
        <v>44953</v>
      </c>
      <c r="B2327" s="239">
        <v>560</v>
      </c>
      <c r="C2327" s="240" t="str">
        <f>IF(ISNA(VLOOKUP(Tableau13[[#This Row],[Code machine]],'CODE mchn'!$A$4:$C$170,2,0)),"",VLOOKUP(Tableau13[[#This Row],[Code machine]],'CODE mchn'!$A$4:$C$170,2,0))</f>
        <v>Acier</v>
      </c>
      <c r="D2327" s="241" t="str">
        <f>IF(ISNA(VLOOKUP(Tableau13[[#This Row],[Code machine]],'CODE mchn'!$A$4:$C$170,3,0)),"",VLOOKUP(Tableau13[[#This Row],[Code machine]],'CODE mchn'!$A$4:$C$170,3,0))</f>
        <v>Schlatter</v>
      </c>
      <c r="E2327" s="239">
        <v>20389</v>
      </c>
      <c r="F2327" s="241"/>
      <c r="G2327" s="241" t="s">
        <v>10</v>
      </c>
      <c r="H2327" s="241" t="s">
        <v>498</v>
      </c>
      <c r="I2327" s="241" t="s">
        <v>13</v>
      </c>
      <c r="J2327" s="249" t="s">
        <v>11</v>
      </c>
      <c r="K2327" s="242">
        <v>44953</v>
      </c>
      <c r="L2327" s="241"/>
      <c r="M2327" s="243">
        <v>60</v>
      </c>
      <c r="N2327" s="243">
        <f>MONTH(Tableau13[[#This Row],[Date fin intervention]])</f>
        <v>1</v>
      </c>
      <c r="O2327" s="243">
        <f>YEAR(Tableau13[[#This Row],[Date fin intervention]])</f>
        <v>2023</v>
      </c>
      <c r="P2327" s="241"/>
    </row>
    <row r="2328" spans="1:16">
      <c r="A2328" s="238">
        <v>44965</v>
      </c>
      <c r="B2328" s="239">
        <v>800</v>
      </c>
      <c r="C2328" s="240" t="str">
        <f>IF(ISNA(VLOOKUP(Tableau13[[#This Row],[Code machine]],'CODE mchn'!$A$4:$C$170,2,0)),"",VLOOKUP(Tableau13[[#This Row],[Code machine]],'CODE mchn'!$A$4:$C$170,2,0))</f>
        <v>Béton</v>
      </c>
      <c r="D2328" s="241" t="str">
        <f>IF(ISNA(VLOOKUP(Tableau13[[#This Row],[Code machine]],'CODE mchn'!$A$4:$C$170,3,0)),"",VLOOKUP(Tableau13[[#This Row],[Code machine]],'CODE mchn'!$A$4:$C$170,3,0))</f>
        <v>Poyatos 2</v>
      </c>
      <c r="E2328" s="239">
        <v>20565</v>
      </c>
      <c r="F2328" s="241"/>
      <c r="G2328" s="241" t="s">
        <v>213</v>
      </c>
      <c r="H2328" s="241" t="s">
        <v>4186</v>
      </c>
      <c r="I2328" s="241" t="s">
        <v>13</v>
      </c>
      <c r="J2328" s="249" t="s">
        <v>4187</v>
      </c>
      <c r="K2328" s="242">
        <v>44965</v>
      </c>
      <c r="L2328" s="241"/>
      <c r="M2328" s="243">
        <v>480</v>
      </c>
      <c r="N2328" s="243">
        <f>MONTH(Tableau13[[#This Row],[Date fin intervention]])</f>
        <v>2</v>
      </c>
      <c r="O2328" s="243">
        <f>YEAR(Tableau13[[#This Row],[Date fin intervention]])</f>
        <v>2023</v>
      </c>
      <c r="P2328" s="241"/>
    </row>
    <row r="2329" spans="1:16">
      <c r="A2329" s="238">
        <v>44966</v>
      </c>
      <c r="B2329" s="239">
        <v>800</v>
      </c>
      <c r="C2329" s="240" t="str">
        <f>IF(ISNA(VLOOKUP(Tableau13[[#This Row],[Code machine]],'CODE mchn'!$A$4:$C$170,2,0)),"",VLOOKUP(Tableau13[[#This Row],[Code machine]],'CODE mchn'!$A$4:$C$170,2,0))</f>
        <v>Béton</v>
      </c>
      <c r="D2329" s="241" t="str">
        <f>IF(ISNA(VLOOKUP(Tableau13[[#This Row],[Code machine]],'CODE mchn'!$A$4:$C$170,3,0)),"",VLOOKUP(Tableau13[[#This Row],[Code machine]],'CODE mchn'!$A$4:$C$170,3,0))</f>
        <v>Poyatos 2</v>
      </c>
      <c r="E2329" s="239">
        <v>20566</v>
      </c>
      <c r="F2329" s="241"/>
      <c r="G2329" s="241" t="s">
        <v>4188</v>
      </c>
      <c r="H2329" s="241" t="s">
        <v>2915</v>
      </c>
      <c r="I2329" s="241" t="s">
        <v>13</v>
      </c>
      <c r="J2329" s="249" t="s">
        <v>1837</v>
      </c>
      <c r="K2329" s="242">
        <v>44966</v>
      </c>
      <c r="L2329" s="241"/>
      <c r="M2329" s="243">
        <v>180</v>
      </c>
      <c r="N2329" s="243">
        <f>MONTH(Tableau13[[#This Row],[Date fin intervention]])</f>
        <v>2</v>
      </c>
      <c r="O2329" s="243">
        <f>YEAR(Tableau13[[#This Row],[Date fin intervention]])</f>
        <v>2023</v>
      </c>
      <c r="P2329" s="241"/>
    </row>
    <row r="2330" spans="1:16">
      <c r="A2330" s="238">
        <v>44971</v>
      </c>
      <c r="B2330" s="239">
        <v>700</v>
      </c>
      <c r="C2330" s="240" t="str">
        <f>IF(ISNA(VLOOKUP(Tableau13[[#This Row],[Code machine]],'CODE mchn'!$A$4:$C$170,2,0)),"",VLOOKUP(Tableau13[[#This Row],[Code machine]],'CODE mchn'!$A$4:$C$170,2,0))</f>
        <v>Béton</v>
      </c>
      <c r="D2330" s="241" t="str">
        <f>IF(ISNA(VLOOKUP(Tableau13[[#This Row],[Code machine]],'CODE mchn'!$A$4:$C$170,3,0)),"",VLOOKUP(Tableau13[[#This Row],[Code machine]],'CODE mchn'!$A$4:$C$170,3,0))</f>
        <v>Poyatos 1</v>
      </c>
      <c r="E2330" s="239">
        <v>20568</v>
      </c>
      <c r="F2330" s="241"/>
      <c r="G2330" s="241" t="s">
        <v>213</v>
      </c>
      <c r="H2330" s="241" t="s">
        <v>4189</v>
      </c>
      <c r="I2330" s="241" t="s">
        <v>13</v>
      </c>
      <c r="J2330" s="249" t="s">
        <v>4190</v>
      </c>
      <c r="K2330" s="242">
        <v>44971</v>
      </c>
      <c r="L2330" s="241"/>
      <c r="M2330" s="243">
        <v>180</v>
      </c>
      <c r="N2330" s="243">
        <f>MONTH(Tableau13[[#This Row],[Date fin intervention]])</f>
        <v>2</v>
      </c>
      <c r="O2330" s="243">
        <f>YEAR(Tableau13[[#This Row],[Date fin intervention]])</f>
        <v>2023</v>
      </c>
      <c r="P2330" s="241"/>
    </row>
    <row r="2331" spans="1:16">
      <c r="A2331" s="238">
        <v>44973</v>
      </c>
      <c r="B2331" s="239">
        <v>565</v>
      </c>
      <c r="C2331" s="240" t="str">
        <f>IF(ISNA(VLOOKUP(Tableau13[[#This Row],[Code machine]],'CODE mchn'!$A$4:$C$170,2,0)),"",VLOOKUP(Tableau13[[#This Row],[Code machine]],'CODE mchn'!$A$4:$C$170,2,0))</f>
        <v>Acier</v>
      </c>
      <c r="D2331" s="241" t="str">
        <f>IF(ISNA(VLOOKUP(Tableau13[[#This Row],[Code machine]],'CODE mchn'!$A$4:$C$170,3,0)),"",VLOOKUP(Tableau13[[#This Row],[Code machine]],'CODE mchn'!$A$4:$C$170,3,0))</f>
        <v>EVG GE12</v>
      </c>
      <c r="E2331" s="239">
        <v>16905</v>
      </c>
      <c r="F2331" s="241"/>
      <c r="G2331" s="241" t="s">
        <v>4191</v>
      </c>
      <c r="H2331" s="241" t="s">
        <v>507</v>
      </c>
      <c r="I2331" s="241" t="s">
        <v>13</v>
      </c>
      <c r="J2331" s="249" t="s">
        <v>2023</v>
      </c>
      <c r="K2331" s="242">
        <v>44973</v>
      </c>
      <c r="L2331" s="241"/>
      <c r="M2331" s="243">
        <v>120</v>
      </c>
      <c r="N2331" s="243">
        <f>MONTH(Tableau13[[#This Row],[Date fin intervention]])</f>
        <v>2</v>
      </c>
      <c r="O2331" s="243">
        <f>YEAR(Tableau13[[#This Row],[Date fin intervention]])</f>
        <v>2023</v>
      </c>
      <c r="P2331" s="241"/>
    </row>
    <row r="2332" spans="1:16">
      <c r="A2332" s="238">
        <v>44973</v>
      </c>
      <c r="B2332" s="239">
        <v>590</v>
      </c>
      <c r="C2332" s="240" t="str">
        <f>IF(ISNA(VLOOKUP(Tableau13[[#This Row],[Code machine]],'CODE mchn'!$A$4:$C$170,2,0)),"",VLOOKUP(Tableau13[[#This Row],[Code machine]],'CODE mchn'!$A$4:$C$170,2,0))</f>
        <v>Acier</v>
      </c>
      <c r="D2332" s="241" t="str">
        <f>IF(ISNA(VLOOKUP(Tableau13[[#This Row],[Code machine]],'CODE mchn'!$A$4:$C$170,3,0)),"",VLOOKUP(Tableau13[[#This Row],[Code machine]],'CODE mchn'!$A$4:$C$170,3,0))</f>
        <v>Teurema 3</v>
      </c>
      <c r="E2332" s="239">
        <v>16906</v>
      </c>
      <c r="F2332" s="241"/>
      <c r="G2332" s="241" t="s">
        <v>4192</v>
      </c>
      <c r="H2332" s="241" t="s">
        <v>4193</v>
      </c>
      <c r="I2332" s="241" t="s">
        <v>13</v>
      </c>
      <c r="J2332" s="249" t="s">
        <v>4194</v>
      </c>
      <c r="K2332" s="242">
        <v>44973</v>
      </c>
      <c r="L2332" s="241"/>
      <c r="M2332" s="243">
        <v>60</v>
      </c>
      <c r="N2332" s="243">
        <f>MONTH(Tableau13[[#This Row],[Date fin intervention]])</f>
        <v>2</v>
      </c>
      <c r="O2332" s="243">
        <f>YEAR(Tableau13[[#This Row],[Date fin intervention]])</f>
        <v>2023</v>
      </c>
      <c r="P2332" s="241"/>
    </row>
    <row r="2333" spans="1:16">
      <c r="A2333" s="238">
        <v>44973</v>
      </c>
      <c r="B2333" s="239">
        <v>590</v>
      </c>
      <c r="C2333" s="240" t="str">
        <f>IF(ISNA(VLOOKUP(Tableau13[[#This Row],[Code machine]],'CODE mchn'!$A$4:$C$170,2,0)),"",VLOOKUP(Tableau13[[#This Row],[Code machine]],'CODE mchn'!$A$4:$C$170,2,0))</f>
        <v>Acier</v>
      </c>
      <c r="D2333" s="241" t="str">
        <f>IF(ISNA(VLOOKUP(Tableau13[[#This Row],[Code machine]],'CODE mchn'!$A$4:$C$170,3,0)),"",VLOOKUP(Tableau13[[#This Row],[Code machine]],'CODE mchn'!$A$4:$C$170,3,0))</f>
        <v>Teurema 3</v>
      </c>
      <c r="E2333" s="239">
        <v>16907</v>
      </c>
      <c r="F2333" s="241"/>
      <c r="G2333" s="241" t="s">
        <v>1644</v>
      </c>
      <c r="H2333" s="241" t="s">
        <v>4195</v>
      </c>
      <c r="I2333" s="241" t="s">
        <v>13</v>
      </c>
      <c r="J2333" s="249" t="s">
        <v>4196</v>
      </c>
      <c r="K2333" s="242">
        <v>44974</v>
      </c>
      <c r="L2333" s="241"/>
      <c r="M2333" s="243">
        <v>60</v>
      </c>
      <c r="N2333" s="243">
        <f>MONTH(Tableau13[[#This Row],[Date fin intervention]])</f>
        <v>2</v>
      </c>
      <c r="O2333" s="243">
        <f>YEAR(Tableau13[[#This Row],[Date fin intervention]])</f>
        <v>2023</v>
      </c>
      <c r="P2333" s="241"/>
    </row>
    <row r="2334" spans="1:16">
      <c r="A2334" s="238">
        <v>44973</v>
      </c>
      <c r="B2334" s="239">
        <v>565</v>
      </c>
      <c r="C2334" s="240" t="str">
        <f>IF(ISNA(VLOOKUP(Tableau13[[#This Row],[Code machine]],'CODE mchn'!$A$4:$C$170,2,0)),"",VLOOKUP(Tableau13[[#This Row],[Code machine]],'CODE mchn'!$A$4:$C$170,2,0))</f>
        <v>Acier</v>
      </c>
      <c r="D2334" s="241" t="str">
        <f>IF(ISNA(VLOOKUP(Tableau13[[#This Row],[Code machine]],'CODE mchn'!$A$4:$C$170,3,0)),"",VLOOKUP(Tableau13[[#This Row],[Code machine]],'CODE mchn'!$A$4:$C$170,3,0))</f>
        <v>EVG GE12</v>
      </c>
      <c r="E2334" s="239">
        <v>16908</v>
      </c>
      <c r="F2334" s="241"/>
      <c r="G2334" s="241" t="s">
        <v>726</v>
      </c>
      <c r="H2334" s="241" t="s">
        <v>4197</v>
      </c>
      <c r="I2334" s="241" t="s">
        <v>13</v>
      </c>
      <c r="J2334" s="249" t="s">
        <v>1403</v>
      </c>
      <c r="K2334" s="242">
        <v>44973</v>
      </c>
      <c r="L2334" s="241"/>
      <c r="M2334" s="243">
        <v>120</v>
      </c>
      <c r="N2334" s="243">
        <f>MONTH(Tableau13[[#This Row],[Date fin intervention]])</f>
        <v>2</v>
      </c>
      <c r="O2334" s="243">
        <f>YEAR(Tableau13[[#This Row],[Date fin intervention]])</f>
        <v>2023</v>
      </c>
      <c r="P2334" s="241"/>
    </row>
    <row r="2335" spans="1:16">
      <c r="A2335" s="238">
        <v>44974</v>
      </c>
      <c r="B2335" s="239">
        <v>582</v>
      </c>
      <c r="C2335" s="240" t="str">
        <f>IF(ISNA(VLOOKUP(Tableau13[[#This Row],[Code machine]],'CODE mchn'!$A$4:$C$170,2,0)),"",VLOOKUP(Tableau13[[#This Row],[Code machine]],'CODE mchn'!$A$4:$C$170,2,0))</f>
        <v>Acier</v>
      </c>
      <c r="D2335" s="241" t="str">
        <f>IF(ISNA(VLOOKUP(Tableau13[[#This Row],[Code machine]],'CODE mchn'!$A$4:$C$170,3,0)),"",VLOOKUP(Tableau13[[#This Row],[Code machine]],'CODE mchn'!$A$4:$C$170,3,0))</f>
        <v>Teurema 2</v>
      </c>
      <c r="E2335" s="239">
        <v>16911</v>
      </c>
      <c r="F2335" s="241"/>
      <c r="G2335" s="241" t="s">
        <v>612</v>
      </c>
      <c r="H2335" s="241" t="s">
        <v>4198</v>
      </c>
      <c r="I2335" s="241" t="s">
        <v>13</v>
      </c>
      <c r="J2335" s="249" t="s">
        <v>4199</v>
      </c>
      <c r="K2335" s="242">
        <v>44975</v>
      </c>
      <c r="L2335" s="241"/>
      <c r="M2335" s="243">
        <v>480</v>
      </c>
      <c r="N2335" s="243">
        <f>MONTH(Tableau13[[#This Row],[Date fin intervention]])</f>
        <v>2</v>
      </c>
      <c r="O2335" s="243">
        <f>YEAR(Tableau13[[#This Row],[Date fin intervention]])</f>
        <v>2023</v>
      </c>
      <c r="P2335" s="241"/>
    </row>
    <row r="2336" spans="1:16">
      <c r="A2336" s="238">
        <v>44974</v>
      </c>
      <c r="B2336" s="239">
        <v>800</v>
      </c>
      <c r="C2336" s="240" t="str">
        <f>IF(ISNA(VLOOKUP(Tableau13[[#This Row],[Code machine]],'CODE mchn'!$A$4:$C$170,2,0)),"",VLOOKUP(Tableau13[[#This Row],[Code machine]],'CODE mchn'!$A$4:$C$170,2,0))</f>
        <v>Béton</v>
      </c>
      <c r="D2336" s="241" t="str">
        <f>IF(ISNA(VLOOKUP(Tableau13[[#This Row],[Code machine]],'CODE mchn'!$A$4:$C$170,3,0)),"",VLOOKUP(Tableau13[[#This Row],[Code machine]],'CODE mchn'!$A$4:$C$170,3,0))</f>
        <v>Poyatos 2</v>
      </c>
      <c r="E2336" s="239">
        <v>20569</v>
      </c>
      <c r="F2336" s="241"/>
      <c r="G2336" s="241" t="s">
        <v>185</v>
      </c>
      <c r="H2336" s="241" t="s">
        <v>4200</v>
      </c>
      <c r="I2336" s="241" t="s">
        <v>3278</v>
      </c>
      <c r="J2336" s="249" t="s">
        <v>4172</v>
      </c>
      <c r="K2336" s="242">
        <v>44975</v>
      </c>
      <c r="L2336" s="241"/>
      <c r="M2336" s="243">
        <v>1440</v>
      </c>
      <c r="N2336" s="243">
        <f>MONTH(Tableau13[[#This Row],[Date fin intervention]])</f>
        <v>2</v>
      </c>
      <c r="O2336" s="243">
        <f>YEAR(Tableau13[[#This Row],[Date fin intervention]])</f>
        <v>2023</v>
      </c>
      <c r="P2336" s="241"/>
    </row>
    <row r="2337" spans="1:16">
      <c r="A2337" s="238">
        <v>44977</v>
      </c>
      <c r="B2337" s="239">
        <v>800</v>
      </c>
      <c r="C2337" s="240" t="str">
        <f>IF(ISNA(VLOOKUP(Tableau13[[#This Row],[Code machine]],'CODE mchn'!$A$4:$C$170,2,0)),"",VLOOKUP(Tableau13[[#This Row],[Code machine]],'CODE mchn'!$A$4:$C$170,2,0))</f>
        <v>Béton</v>
      </c>
      <c r="D2337" s="241" t="str">
        <f>IF(ISNA(VLOOKUP(Tableau13[[#This Row],[Code machine]],'CODE mchn'!$A$4:$C$170,3,0)),"",VLOOKUP(Tableau13[[#This Row],[Code machine]],'CODE mchn'!$A$4:$C$170,3,0))</f>
        <v>Poyatos 2</v>
      </c>
      <c r="E2337" s="239">
        <v>20570</v>
      </c>
      <c r="F2337" s="241"/>
      <c r="G2337" s="241" t="s">
        <v>213</v>
      </c>
      <c r="H2337" s="241" t="s">
        <v>4201</v>
      </c>
      <c r="I2337" s="241" t="s">
        <v>13</v>
      </c>
      <c r="J2337" s="249" t="s">
        <v>4202</v>
      </c>
      <c r="K2337" s="242">
        <v>44977</v>
      </c>
      <c r="L2337" s="241"/>
      <c r="M2337" s="243">
        <v>960</v>
      </c>
      <c r="N2337" s="243">
        <f>MONTH(Tableau13[[#This Row],[Date fin intervention]])</f>
        <v>2</v>
      </c>
      <c r="O2337" s="243">
        <f>YEAR(Tableau13[[#This Row],[Date fin intervention]])</f>
        <v>2023</v>
      </c>
      <c r="P2337" s="241"/>
    </row>
    <row r="2338" spans="1:16">
      <c r="A2338" s="238">
        <v>44978</v>
      </c>
      <c r="B2338" s="239">
        <v>581</v>
      </c>
      <c r="C2338" s="240" t="str">
        <f>IF(ISNA(VLOOKUP(Tableau13[[#This Row],[Code machine]],'CODE mchn'!$A$4:$C$170,2,0)),"",VLOOKUP(Tableau13[[#This Row],[Code machine]],'CODE mchn'!$A$4:$C$170,2,0))</f>
        <v>Acier</v>
      </c>
      <c r="D2338" s="241" t="str">
        <f>IF(ISNA(VLOOKUP(Tableau13[[#This Row],[Code machine]],'CODE mchn'!$A$4:$C$170,3,0)),"",VLOOKUP(Tableau13[[#This Row],[Code machine]],'CODE mchn'!$A$4:$C$170,3,0))</f>
        <v>Teurema 1</v>
      </c>
      <c r="E2338" s="239">
        <v>16915</v>
      </c>
      <c r="F2338" s="241"/>
      <c r="G2338" s="241" t="s">
        <v>612</v>
      </c>
      <c r="H2338" s="241" t="s">
        <v>507</v>
      </c>
      <c r="I2338" s="241" t="s">
        <v>13</v>
      </c>
      <c r="J2338" s="249" t="s">
        <v>4203</v>
      </c>
      <c r="K2338" s="242">
        <v>44978</v>
      </c>
      <c r="L2338" s="241"/>
      <c r="M2338" s="243">
        <v>180</v>
      </c>
      <c r="N2338" s="243">
        <f>MONTH(Tableau13[[#This Row],[Date fin intervention]])</f>
        <v>2</v>
      </c>
      <c r="O2338" s="243">
        <f>YEAR(Tableau13[[#This Row],[Date fin intervention]])</f>
        <v>2023</v>
      </c>
      <c r="P2338" s="241"/>
    </row>
    <row r="2339" spans="1:16">
      <c r="A2339" s="238">
        <v>44979</v>
      </c>
      <c r="B2339" s="239">
        <v>700</v>
      </c>
      <c r="C2339" s="240" t="str">
        <f>IF(ISNA(VLOOKUP(Tableau13[[#This Row],[Code machine]],'CODE mchn'!$A$4:$C$170,2,0)),"",VLOOKUP(Tableau13[[#This Row],[Code machine]],'CODE mchn'!$A$4:$C$170,2,0))</f>
        <v>Béton</v>
      </c>
      <c r="D2339" s="241" t="str">
        <f>IF(ISNA(VLOOKUP(Tableau13[[#This Row],[Code machine]],'CODE mchn'!$A$4:$C$170,3,0)),"",VLOOKUP(Tableau13[[#This Row],[Code machine]],'CODE mchn'!$A$4:$C$170,3,0))</f>
        <v>Poyatos 1</v>
      </c>
      <c r="E2339" s="239">
        <v>20571</v>
      </c>
      <c r="F2339" s="241"/>
      <c r="G2339" s="241" t="s">
        <v>397</v>
      </c>
      <c r="H2339" s="241" t="s">
        <v>4204</v>
      </c>
      <c r="I2339" s="241" t="s">
        <v>13</v>
      </c>
      <c r="J2339" s="249" t="s">
        <v>4205</v>
      </c>
      <c r="K2339" s="242">
        <v>44979</v>
      </c>
      <c r="L2339" s="241"/>
      <c r="M2339" s="243">
        <v>360</v>
      </c>
      <c r="N2339" s="243">
        <f>MONTH(Tableau13[[#This Row],[Date fin intervention]])</f>
        <v>2</v>
      </c>
      <c r="O2339" s="243">
        <f>YEAR(Tableau13[[#This Row],[Date fin intervention]])</f>
        <v>2023</v>
      </c>
      <c r="P2339" s="241"/>
    </row>
    <row r="2340" spans="1:16" ht="28.5">
      <c r="A2340" s="238">
        <v>44980</v>
      </c>
      <c r="B2340" s="239">
        <v>700</v>
      </c>
      <c r="C2340" s="240" t="str">
        <f>IF(ISNA(VLOOKUP(Tableau13[[#This Row],[Code machine]],'CODE mchn'!$A$4:$C$170,2,0)),"",VLOOKUP(Tableau13[[#This Row],[Code machine]],'CODE mchn'!$A$4:$C$170,2,0))</f>
        <v>Béton</v>
      </c>
      <c r="D2340" s="241" t="str">
        <f>IF(ISNA(VLOOKUP(Tableau13[[#This Row],[Code machine]],'CODE mchn'!$A$4:$C$170,3,0)),"",VLOOKUP(Tableau13[[#This Row],[Code machine]],'CODE mchn'!$A$4:$C$170,3,0))</f>
        <v>Poyatos 1</v>
      </c>
      <c r="E2340" s="239">
        <v>20572</v>
      </c>
      <c r="F2340" s="241"/>
      <c r="G2340" s="241" t="s">
        <v>4206</v>
      </c>
      <c r="H2340" s="241" t="s">
        <v>4163</v>
      </c>
      <c r="I2340" s="241" t="s">
        <v>13</v>
      </c>
      <c r="J2340" s="249" t="s">
        <v>4207</v>
      </c>
      <c r="K2340" s="242">
        <v>44980</v>
      </c>
      <c r="L2340" s="241"/>
      <c r="M2340" s="243">
        <v>240</v>
      </c>
      <c r="N2340" s="243">
        <f>MONTH(Tableau13[[#This Row],[Date fin intervention]])</f>
        <v>2</v>
      </c>
      <c r="O2340" s="243">
        <f>YEAR(Tableau13[[#This Row],[Date fin intervention]])</f>
        <v>2023</v>
      </c>
      <c r="P2340" s="241"/>
    </row>
    <row r="2341" spans="1:16">
      <c r="A2341" s="238">
        <v>44980</v>
      </c>
      <c r="B2341" s="239">
        <v>800</v>
      </c>
      <c r="C2341" s="240" t="str">
        <f>IF(ISNA(VLOOKUP(Tableau13[[#This Row],[Code machine]],'CODE mchn'!$A$4:$C$170,2,0)),"",VLOOKUP(Tableau13[[#This Row],[Code machine]],'CODE mchn'!$A$4:$C$170,2,0))</f>
        <v>Béton</v>
      </c>
      <c r="D2341" s="241" t="str">
        <f>IF(ISNA(VLOOKUP(Tableau13[[#This Row],[Code machine]],'CODE mchn'!$A$4:$C$170,3,0)),"",VLOOKUP(Tableau13[[#This Row],[Code machine]],'CODE mchn'!$A$4:$C$170,3,0))</f>
        <v>Poyatos 2</v>
      </c>
      <c r="E2341" s="239">
        <v>20573</v>
      </c>
      <c r="F2341" s="241"/>
      <c r="G2341" s="241" t="s">
        <v>185</v>
      </c>
      <c r="H2341" s="241" t="s">
        <v>4208</v>
      </c>
      <c r="I2341" s="241" t="s">
        <v>13</v>
      </c>
      <c r="J2341" s="249" t="s">
        <v>4209</v>
      </c>
      <c r="K2341" s="242">
        <v>44980</v>
      </c>
      <c r="L2341" s="241"/>
      <c r="M2341" s="243">
        <v>180</v>
      </c>
      <c r="N2341" s="243">
        <f>MONTH(Tableau13[[#This Row],[Date fin intervention]])</f>
        <v>2</v>
      </c>
      <c r="O2341" s="243">
        <f>YEAR(Tableau13[[#This Row],[Date fin intervention]])</f>
        <v>2023</v>
      </c>
      <c r="P2341" s="241"/>
    </row>
    <row r="2342" spans="1:16" ht="28.5">
      <c r="A2342" s="238">
        <v>44982</v>
      </c>
      <c r="B2342" s="239">
        <v>800</v>
      </c>
      <c r="C2342" s="240" t="str">
        <f>IF(ISNA(VLOOKUP(Tableau13[[#This Row],[Code machine]],'CODE mchn'!$A$4:$C$170,2,0)),"",VLOOKUP(Tableau13[[#This Row],[Code machine]],'CODE mchn'!$A$4:$C$170,2,0))</f>
        <v>Béton</v>
      </c>
      <c r="D2342" s="241" t="str">
        <f>IF(ISNA(VLOOKUP(Tableau13[[#This Row],[Code machine]],'CODE mchn'!$A$4:$C$170,3,0)),"",VLOOKUP(Tableau13[[#This Row],[Code machine]],'CODE mchn'!$A$4:$C$170,3,0))</f>
        <v>Poyatos 2</v>
      </c>
      <c r="E2342" s="239">
        <v>20574</v>
      </c>
      <c r="F2342" s="241"/>
      <c r="G2342" s="241" t="s">
        <v>185</v>
      </c>
      <c r="H2342" s="241" t="s">
        <v>4210</v>
      </c>
      <c r="I2342" s="241" t="s">
        <v>13</v>
      </c>
      <c r="J2342" s="249" t="s">
        <v>4211</v>
      </c>
      <c r="K2342" s="242">
        <v>44982</v>
      </c>
      <c r="L2342" s="241"/>
      <c r="M2342" s="243">
        <v>480</v>
      </c>
      <c r="N2342" s="243">
        <f>MONTH(Tableau13[[#This Row],[Date fin intervention]])</f>
        <v>2</v>
      </c>
      <c r="O2342" s="243">
        <f>YEAR(Tableau13[[#This Row],[Date fin intervention]])</f>
        <v>2023</v>
      </c>
      <c r="P2342" s="241"/>
    </row>
    <row r="2343" spans="1:16">
      <c r="A2343" s="238">
        <v>44987</v>
      </c>
      <c r="B2343" s="239">
        <v>700</v>
      </c>
      <c r="C2343" s="240" t="str">
        <f>IF(ISNA(VLOOKUP(Tableau13[[#This Row],[Code machine]],'CODE mchn'!$A$4:$C$170,2,0)),"",VLOOKUP(Tableau13[[#This Row],[Code machine]],'CODE mchn'!$A$4:$C$170,2,0))</f>
        <v>Béton</v>
      </c>
      <c r="D2343" s="241" t="str">
        <f>IF(ISNA(VLOOKUP(Tableau13[[#This Row],[Code machine]],'CODE mchn'!$A$4:$C$170,3,0)),"",VLOOKUP(Tableau13[[#This Row],[Code machine]],'CODE mchn'!$A$4:$C$170,3,0))</f>
        <v>Poyatos 1</v>
      </c>
      <c r="E2343" s="239">
        <v>20575</v>
      </c>
      <c r="F2343" s="241"/>
      <c r="G2343" s="241" t="s">
        <v>20</v>
      </c>
      <c r="H2343" s="241" t="s">
        <v>1188</v>
      </c>
      <c r="I2343" s="241" t="s">
        <v>13</v>
      </c>
      <c r="J2343" s="249" t="s">
        <v>4212</v>
      </c>
      <c r="K2343" s="242">
        <v>44987</v>
      </c>
      <c r="L2343" s="241"/>
      <c r="M2343" s="243">
        <v>120</v>
      </c>
      <c r="N2343" s="243">
        <f>MONTH(Tableau13[[#This Row],[Date fin intervention]])</f>
        <v>3</v>
      </c>
      <c r="O2343" s="243">
        <f>YEAR(Tableau13[[#This Row],[Date fin intervention]])</f>
        <v>2023</v>
      </c>
      <c r="P2343" s="241"/>
    </row>
    <row r="2344" spans="1:16" ht="28.5">
      <c r="A2344" s="238">
        <v>44988</v>
      </c>
      <c r="B2344" s="239">
        <v>582</v>
      </c>
      <c r="C2344" s="240" t="str">
        <f>IF(ISNA(VLOOKUP(Tableau13[[#This Row],[Code machine]],'CODE mchn'!$A$4:$C$170,2,0)),"",VLOOKUP(Tableau13[[#This Row],[Code machine]],'CODE mchn'!$A$4:$C$170,2,0))</f>
        <v>Acier</v>
      </c>
      <c r="D2344" s="241" t="str">
        <f>IF(ISNA(VLOOKUP(Tableau13[[#This Row],[Code machine]],'CODE mchn'!$A$4:$C$170,3,0)),"",VLOOKUP(Tableau13[[#This Row],[Code machine]],'CODE mchn'!$A$4:$C$170,3,0))</f>
        <v>Teurema 2</v>
      </c>
      <c r="E2344" s="239">
        <v>16932</v>
      </c>
      <c r="F2344" s="241"/>
      <c r="G2344" s="241" t="s">
        <v>1347</v>
      </c>
      <c r="H2344" s="241" t="s">
        <v>4213</v>
      </c>
      <c r="I2344" s="241" t="s">
        <v>13</v>
      </c>
      <c r="J2344" s="249" t="s">
        <v>4214</v>
      </c>
      <c r="K2344" s="242">
        <v>44993</v>
      </c>
      <c r="L2344" s="241"/>
      <c r="M2344" s="243">
        <v>1440</v>
      </c>
      <c r="N2344" s="243">
        <f>MONTH(Tableau13[[#This Row],[Date fin intervention]])</f>
        <v>3</v>
      </c>
      <c r="O2344" s="243">
        <f>YEAR(Tableau13[[#This Row],[Date fin intervention]])</f>
        <v>2023</v>
      </c>
      <c r="P2344" s="241"/>
    </row>
    <row r="2345" spans="1:16">
      <c r="A2345" s="238">
        <v>44988</v>
      </c>
      <c r="B2345" s="239">
        <v>700</v>
      </c>
      <c r="C2345" s="240" t="str">
        <f>IF(ISNA(VLOOKUP(Tableau13[[#This Row],[Code machine]],'CODE mchn'!$A$4:$C$170,2,0)),"",VLOOKUP(Tableau13[[#This Row],[Code machine]],'CODE mchn'!$A$4:$C$170,2,0))</f>
        <v>Béton</v>
      </c>
      <c r="D2345" s="241" t="str">
        <f>IF(ISNA(VLOOKUP(Tableau13[[#This Row],[Code machine]],'CODE mchn'!$A$4:$C$170,3,0)),"",VLOOKUP(Tableau13[[#This Row],[Code machine]],'CODE mchn'!$A$4:$C$170,3,0))</f>
        <v>Poyatos 1</v>
      </c>
      <c r="E2345" s="239">
        <v>20576</v>
      </c>
      <c r="F2345" s="241"/>
      <c r="G2345" s="241" t="s">
        <v>375</v>
      </c>
      <c r="H2345" s="241" t="s">
        <v>4215</v>
      </c>
      <c r="I2345" s="241" t="s">
        <v>13</v>
      </c>
      <c r="J2345" s="249" t="s">
        <v>4216</v>
      </c>
      <c r="K2345" s="242">
        <v>44988</v>
      </c>
      <c r="L2345" s="241"/>
      <c r="M2345" s="243">
        <v>240</v>
      </c>
      <c r="N2345" s="243">
        <f>MONTH(Tableau13[[#This Row],[Date fin intervention]])</f>
        <v>3</v>
      </c>
      <c r="O2345" s="243">
        <f>YEAR(Tableau13[[#This Row],[Date fin intervention]])</f>
        <v>2023</v>
      </c>
      <c r="P2345" s="241"/>
    </row>
    <row r="2346" spans="1:16">
      <c r="A2346" s="238">
        <v>44988</v>
      </c>
      <c r="B2346" s="239">
        <v>800</v>
      </c>
      <c r="C2346" s="240" t="str">
        <f>IF(ISNA(VLOOKUP(Tableau13[[#This Row],[Code machine]],'CODE mchn'!$A$4:$C$170,2,0)),"",VLOOKUP(Tableau13[[#This Row],[Code machine]],'CODE mchn'!$A$4:$C$170,2,0))</f>
        <v>Béton</v>
      </c>
      <c r="D2346" s="241" t="str">
        <f>IF(ISNA(VLOOKUP(Tableau13[[#This Row],[Code machine]],'CODE mchn'!$A$4:$C$170,3,0)),"",VLOOKUP(Tableau13[[#This Row],[Code machine]],'CODE mchn'!$A$4:$C$170,3,0))</f>
        <v>Poyatos 2</v>
      </c>
      <c r="E2346" s="239">
        <v>20577</v>
      </c>
      <c r="F2346" s="241"/>
      <c r="G2346" s="241" t="s">
        <v>185</v>
      </c>
      <c r="H2346" s="241" t="s">
        <v>875</v>
      </c>
      <c r="I2346" s="241" t="s">
        <v>13</v>
      </c>
      <c r="J2346" s="249" t="s">
        <v>4217</v>
      </c>
      <c r="K2346" s="242">
        <v>44988</v>
      </c>
      <c r="L2346" s="241"/>
      <c r="M2346" s="243">
        <v>240</v>
      </c>
      <c r="N2346" s="243">
        <f>MONTH(Tableau13[[#This Row],[Date fin intervention]])</f>
        <v>3</v>
      </c>
      <c r="O2346" s="243">
        <f>YEAR(Tableau13[[#This Row],[Date fin intervention]])</f>
        <v>2023</v>
      </c>
      <c r="P2346" s="241"/>
    </row>
    <row r="2347" spans="1:16">
      <c r="A2347" s="238">
        <v>44989</v>
      </c>
      <c r="B2347" s="239">
        <v>581</v>
      </c>
      <c r="C2347" s="240" t="str">
        <f>IF(ISNA(VLOOKUP(Tableau13[[#This Row],[Code machine]],'CODE mchn'!$A$4:$C$170,2,0)),"",VLOOKUP(Tableau13[[#This Row],[Code machine]],'CODE mchn'!$A$4:$C$170,2,0))</f>
        <v>Acier</v>
      </c>
      <c r="D2347" s="241" t="str">
        <f>IF(ISNA(VLOOKUP(Tableau13[[#This Row],[Code machine]],'CODE mchn'!$A$4:$C$170,3,0)),"",VLOOKUP(Tableau13[[#This Row],[Code machine]],'CODE mchn'!$A$4:$C$170,3,0))</f>
        <v>Teurema 1</v>
      </c>
      <c r="E2347" s="239">
        <v>16933</v>
      </c>
      <c r="F2347" s="241"/>
      <c r="G2347" s="241" t="s">
        <v>70</v>
      </c>
      <c r="H2347" s="241" t="s">
        <v>507</v>
      </c>
      <c r="I2347" s="241" t="s">
        <v>13</v>
      </c>
      <c r="J2347" s="249" t="s">
        <v>4218</v>
      </c>
      <c r="K2347" s="242">
        <v>44989</v>
      </c>
      <c r="L2347" s="241"/>
      <c r="M2347" s="243">
        <v>60</v>
      </c>
      <c r="N2347" s="243">
        <f>MONTH(Tableau13[[#This Row],[Date fin intervention]])</f>
        <v>3</v>
      </c>
      <c r="O2347" s="243">
        <f>YEAR(Tableau13[[#This Row],[Date fin intervention]])</f>
        <v>2023</v>
      </c>
      <c r="P2347" s="241"/>
    </row>
    <row r="2348" spans="1:16">
      <c r="A2348" s="238">
        <v>44991</v>
      </c>
      <c r="B2348" s="239">
        <v>800</v>
      </c>
      <c r="C2348" s="240" t="str">
        <f>IF(ISNA(VLOOKUP(Tableau13[[#This Row],[Code machine]],'CODE mchn'!$A$4:$C$170,2,0)),"",VLOOKUP(Tableau13[[#This Row],[Code machine]],'CODE mchn'!$A$4:$C$170,2,0))</f>
        <v>Béton</v>
      </c>
      <c r="D2348" s="241" t="str">
        <f>IF(ISNA(VLOOKUP(Tableau13[[#This Row],[Code machine]],'CODE mchn'!$A$4:$C$170,3,0)),"",VLOOKUP(Tableau13[[#This Row],[Code machine]],'CODE mchn'!$A$4:$C$170,3,0))</f>
        <v>Poyatos 2</v>
      </c>
      <c r="E2348" s="239">
        <v>20578</v>
      </c>
      <c r="F2348" s="241"/>
      <c r="G2348" s="241" t="s">
        <v>1707</v>
      </c>
      <c r="H2348" s="241" t="s">
        <v>4219</v>
      </c>
      <c r="I2348" s="241" t="s">
        <v>13</v>
      </c>
      <c r="J2348" s="249" t="s">
        <v>4084</v>
      </c>
      <c r="K2348" s="242">
        <v>44991</v>
      </c>
      <c r="L2348" s="241"/>
      <c r="M2348" s="243">
        <v>120</v>
      </c>
      <c r="N2348" s="243">
        <f>MONTH(Tableau13[[#This Row],[Date fin intervention]])</f>
        <v>3</v>
      </c>
      <c r="O2348" s="243">
        <f>YEAR(Tableau13[[#This Row],[Date fin intervention]])</f>
        <v>2023</v>
      </c>
      <c r="P2348" s="241"/>
    </row>
    <row r="2349" spans="1:16">
      <c r="A2349" s="238">
        <v>44991</v>
      </c>
      <c r="B2349" s="239">
        <v>606</v>
      </c>
      <c r="C2349" s="240" t="str">
        <f>IF(ISNA(VLOOKUP(Tableau13[[#This Row],[Code machine]],'CODE mchn'!$A$4:$C$170,2,0)),"",VLOOKUP(Tableau13[[#This Row],[Code machine]],'CODE mchn'!$A$4:$C$170,2,0))</f>
        <v>Acier</v>
      </c>
      <c r="D2349" s="241" t="str">
        <f>IF(ISNA(VLOOKUP(Tableau13[[#This Row],[Code machine]],'CODE mchn'!$A$4:$C$170,3,0)),"",VLOOKUP(Tableau13[[#This Row],[Code machine]],'CODE mchn'!$A$4:$C$170,3,0))</f>
        <v>Vitari 2</v>
      </c>
      <c r="E2349" s="239">
        <v>16935</v>
      </c>
      <c r="F2349" s="241"/>
      <c r="G2349" s="241" t="s">
        <v>4135</v>
      </c>
      <c r="H2349" s="241" t="s">
        <v>1963</v>
      </c>
      <c r="I2349" s="241" t="s">
        <v>13</v>
      </c>
      <c r="J2349" s="249" t="s">
        <v>4220</v>
      </c>
      <c r="K2349" s="242">
        <v>44991</v>
      </c>
      <c r="L2349" s="241"/>
      <c r="M2349" s="243">
        <v>90</v>
      </c>
      <c r="N2349" s="243">
        <f>MONTH(Tableau13[[#This Row],[Date fin intervention]])</f>
        <v>3</v>
      </c>
      <c r="O2349" s="243">
        <f>YEAR(Tableau13[[#This Row],[Date fin intervention]])</f>
        <v>2023</v>
      </c>
      <c r="P2349" s="241"/>
    </row>
    <row r="2350" spans="1:16">
      <c r="A2350" s="238">
        <v>44991</v>
      </c>
      <c r="B2350" s="239">
        <v>560</v>
      </c>
      <c r="C2350" s="240" t="str">
        <f>IF(ISNA(VLOOKUP(Tableau13[[#This Row],[Code machine]],'CODE mchn'!$A$4:$C$170,2,0)),"",VLOOKUP(Tableau13[[#This Row],[Code machine]],'CODE mchn'!$A$4:$C$170,2,0))</f>
        <v>Acier</v>
      </c>
      <c r="D2350" s="241" t="str">
        <f>IF(ISNA(VLOOKUP(Tableau13[[#This Row],[Code machine]],'CODE mchn'!$A$4:$C$170,3,0)),"",VLOOKUP(Tableau13[[#This Row],[Code machine]],'CODE mchn'!$A$4:$C$170,3,0))</f>
        <v>Schlatter</v>
      </c>
      <c r="E2350" s="239">
        <v>16936</v>
      </c>
      <c r="F2350" s="241"/>
      <c r="G2350" s="241" t="s">
        <v>4221</v>
      </c>
      <c r="H2350" s="241" t="s">
        <v>4222</v>
      </c>
      <c r="I2350" s="241" t="s">
        <v>101</v>
      </c>
      <c r="J2350" s="249" t="s">
        <v>4223</v>
      </c>
      <c r="K2350" s="242">
        <v>44993</v>
      </c>
      <c r="L2350" s="241"/>
      <c r="M2350" s="243">
        <v>1920</v>
      </c>
      <c r="N2350" s="243">
        <f>MONTH(Tableau13[[#This Row],[Date fin intervention]])</f>
        <v>3</v>
      </c>
      <c r="O2350" s="243">
        <f>YEAR(Tableau13[[#This Row],[Date fin intervention]])</f>
        <v>2023</v>
      </c>
      <c r="P2350" s="241"/>
    </row>
    <row r="2351" spans="1:16">
      <c r="A2351" s="238">
        <v>44991</v>
      </c>
      <c r="B2351" s="239">
        <v>606</v>
      </c>
      <c r="C2351" s="240" t="str">
        <f>IF(ISNA(VLOOKUP(Tableau13[[#This Row],[Code machine]],'CODE mchn'!$A$4:$C$170,2,0)),"",VLOOKUP(Tableau13[[#This Row],[Code machine]],'CODE mchn'!$A$4:$C$170,2,0))</f>
        <v>Acier</v>
      </c>
      <c r="D2351" s="241" t="str">
        <f>IF(ISNA(VLOOKUP(Tableau13[[#This Row],[Code machine]],'CODE mchn'!$A$4:$C$170,3,0)),"",VLOOKUP(Tableau13[[#This Row],[Code machine]],'CODE mchn'!$A$4:$C$170,3,0))</f>
        <v>Vitari 2</v>
      </c>
      <c r="E2351" s="239">
        <v>16935</v>
      </c>
      <c r="F2351" s="241"/>
      <c r="G2351" s="241" t="s">
        <v>10</v>
      </c>
      <c r="H2351" s="241" t="s">
        <v>1963</v>
      </c>
      <c r="I2351" s="241" t="s">
        <v>13</v>
      </c>
      <c r="J2351" s="249" t="s">
        <v>2023</v>
      </c>
      <c r="K2351" s="242">
        <v>44991</v>
      </c>
      <c r="L2351" s="241"/>
      <c r="M2351" s="243">
        <v>240</v>
      </c>
      <c r="N2351" s="243">
        <f>MONTH(Tableau13[[#This Row],[Date fin intervention]])</f>
        <v>3</v>
      </c>
      <c r="O2351" s="243">
        <f>YEAR(Tableau13[[#This Row],[Date fin intervention]])</f>
        <v>2023</v>
      </c>
      <c r="P2351" s="241"/>
    </row>
    <row r="2352" spans="1:16">
      <c r="A2352" s="238">
        <v>44991</v>
      </c>
      <c r="B2352" s="239">
        <v>560</v>
      </c>
      <c r="C2352" s="240" t="str">
        <f>IF(ISNA(VLOOKUP(Tableau13[[#This Row],[Code machine]],'CODE mchn'!$A$4:$C$170,2,0)),"",VLOOKUP(Tableau13[[#This Row],[Code machine]],'CODE mchn'!$A$4:$C$170,2,0))</f>
        <v>Acier</v>
      </c>
      <c r="D2352" s="241" t="str">
        <f>IF(ISNA(VLOOKUP(Tableau13[[#This Row],[Code machine]],'CODE mchn'!$A$4:$C$170,3,0)),"",VLOOKUP(Tableau13[[#This Row],[Code machine]],'CODE mchn'!$A$4:$C$170,3,0))</f>
        <v>Schlatter</v>
      </c>
      <c r="E2352" s="239">
        <v>16936</v>
      </c>
      <c r="F2352" s="241"/>
      <c r="G2352" s="241" t="s">
        <v>726</v>
      </c>
      <c r="H2352" s="241" t="s">
        <v>586</v>
      </c>
      <c r="I2352" s="241" t="s">
        <v>13</v>
      </c>
      <c r="J2352" s="249" t="s">
        <v>4224</v>
      </c>
      <c r="K2352" s="242">
        <v>44991</v>
      </c>
      <c r="L2352" s="241"/>
      <c r="M2352" s="243">
        <v>45</v>
      </c>
      <c r="N2352" s="243">
        <f>MONTH(Tableau13[[#This Row],[Date fin intervention]])</f>
        <v>3</v>
      </c>
      <c r="O2352" s="243">
        <f>YEAR(Tableau13[[#This Row],[Date fin intervention]])</f>
        <v>2023</v>
      </c>
      <c r="P2352" s="241"/>
    </row>
    <row r="2353" spans="1:16">
      <c r="A2353" s="238">
        <v>44992</v>
      </c>
      <c r="B2353" s="239">
        <v>580</v>
      </c>
      <c r="C2353" s="240" t="str">
        <f>IF(ISNA(VLOOKUP(Tableau13[[#This Row],[Code machine]],'CODE mchn'!$A$4:$C$170,2,0)),"",VLOOKUP(Tableau13[[#This Row],[Code machine]],'CODE mchn'!$A$4:$C$170,2,0))</f>
        <v>Acier</v>
      </c>
      <c r="D2353" s="241" t="str">
        <f>IF(ISNA(VLOOKUP(Tableau13[[#This Row],[Code machine]],'CODE mchn'!$A$4:$C$170,3,0)),"",VLOOKUP(Tableau13[[#This Row],[Code machine]],'CODE mchn'!$A$4:$C$170,3,0))</f>
        <v>Techno Impiante</v>
      </c>
      <c r="E2353" s="239">
        <v>16941</v>
      </c>
      <c r="F2353" s="241"/>
      <c r="G2353" s="241" t="s">
        <v>612</v>
      </c>
      <c r="H2353" s="241" t="s">
        <v>2975</v>
      </c>
      <c r="I2353" s="241" t="s">
        <v>13</v>
      </c>
      <c r="J2353" s="249" t="s">
        <v>1598</v>
      </c>
      <c r="K2353" s="242">
        <v>44992</v>
      </c>
      <c r="L2353" s="241"/>
      <c r="M2353" s="243">
        <v>480</v>
      </c>
      <c r="N2353" s="243">
        <f>MONTH(Tableau13[[#This Row],[Date fin intervention]])</f>
        <v>3</v>
      </c>
      <c r="O2353" s="243">
        <f>YEAR(Tableau13[[#This Row],[Date fin intervention]])</f>
        <v>2023</v>
      </c>
      <c r="P2353" s="241"/>
    </row>
    <row r="2354" spans="1:16">
      <c r="A2354" s="238">
        <v>44992</v>
      </c>
      <c r="B2354" s="239">
        <v>581</v>
      </c>
      <c r="C2354" s="240" t="str">
        <f>IF(ISNA(VLOOKUP(Tableau13[[#This Row],[Code machine]],'CODE mchn'!$A$4:$C$170,2,0)),"",VLOOKUP(Tableau13[[#This Row],[Code machine]],'CODE mchn'!$A$4:$C$170,2,0))</f>
        <v>Acier</v>
      </c>
      <c r="D2354" s="241" t="str">
        <f>IF(ISNA(VLOOKUP(Tableau13[[#This Row],[Code machine]],'CODE mchn'!$A$4:$C$170,3,0)),"",VLOOKUP(Tableau13[[#This Row],[Code machine]],'CODE mchn'!$A$4:$C$170,3,0))</f>
        <v>Teurema 1</v>
      </c>
      <c r="E2354" s="239">
        <v>16942</v>
      </c>
      <c r="F2354" s="241"/>
      <c r="G2354" s="241" t="s">
        <v>70</v>
      </c>
      <c r="H2354" s="241" t="s">
        <v>507</v>
      </c>
      <c r="I2354" s="241" t="s">
        <v>13</v>
      </c>
      <c r="J2354" s="249" t="s">
        <v>4218</v>
      </c>
      <c r="K2354" s="242">
        <v>44992</v>
      </c>
      <c r="L2354" s="241"/>
      <c r="M2354" s="243">
        <v>240</v>
      </c>
      <c r="N2354" s="243">
        <f>MONTH(Tableau13[[#This Row],[Date fin intervention]])</f>
        <v>3</v>
      </c>
      <c r="O2354" s="243">
        <f>YEAR(Tableau13[[#This Row],[Date fin intervention]])</f>
        <v>2023</v>
      </c>
      <c r="P2354" s="241"/>
    </row>
    <row r="2355" spans="1:16">
      <c r="A2355" s="238">
        <v>44992</v>
      </c>
      <c r="B2355" s="239">
        <v>607</v>
      </c>
      <c r="C2355" s="240" t="str">
        <f>IF(ISNA(VLOOKUP(Tableau13[[#This Row],[Code machine]],'CODE mchn'!$A$4:$C$170,2,0)),"",VLOOKUP(Tableau13[[#This Row],[Code machine]],'CODE mchn'!$A$4:$C$170,2,0))</f>
        <v>Acier</v>
      </c>
      <c r="D2355" s="241" t="str">
        <f>IF(ISNA(VLOOKUP(Tableau13[[#This Row],[Code machine]],'CODE mchn'!$A$4:$C$170,3,0)),"",VLOOKUP(Tableau13[[#This Row],[Code machine]],'CODE mchn'!$A$4:$C$170,3,0))</f>
        <v>Vitari 3</v>
      </c>
      <c r="E2355" s="239">
        <v>16939</v>
      </c>
      <c r="F2355" s="241"/>
      <c r="G2355" s="241" t="s">
        <v>10</v>
      </c>
      <c r="H2355" s="241" t="s">
        <v>4225</v>
      </c>
      <c r="I2355" s="241" t="s">
        <v>13</v>
      </c>
      <c r="J2355" s="249" t="s">
        <v>4226</v>
      </c>
      <c r="K2355" s="242">
        <v>44992</v>
      </c>
      <c r="L2355" s="241"/>
      <c r="M2355" s="243">
        <v>60</v>
      </c>
      <c r="N2355" s="243">
        <f>MONTH(Tableau13[[#This Row],[Date fin intervention]])</f>
        <v>3</v>
      </c>
      <c r="O2355" s="243">
        <f>YEAR(Tableau13[[#This Row],[Date fin intervention]])</f>
        <v>2023</v>
      </c>
      <c r="P2355" s="241"/>
    </row>
    <row r="2356" spans="1:16">
      <c r="A2356" s="238">
        <v>44993</v>
      </c>
      <c r="B2356" s="239">
        <v>565</v>
      </c>
      <c r="C2356" s="240" t="str">
        <f>IF(ISNA(VLOOKUP(Tableau13[[#This Row],[Code machine]],'CODE mchn'!$A$4:$C$170,2,0)),"",VLOOKUP(Tableau13[[#This Row],[Code machine]],'CODE mchn'!$A$4:$C$170,2,0))</f>
        <v>Acier</v>
      </c>
      <c r="D2356" s="241" t="str">
        <f>IF(ISNA(VLOOKUP(Tableau13[[#This Row],[Code machine]],'CODE mchn'!$A$4:$C$170,3,0)),"",VLOOKUP(Tableau13[[#This Row],[Code machine]],'CODE mchn'!$A$4:$C$170,3,0))</f>
        <v>EVG GE12</v>
      </c>
      <c r="E2356" s="239">
        <v>16943</v>
      </c>
      <c r="F2356" s="241"/>
      <c r="G2356" s="241" t="s">
        <v>2243</v>
      </c>
      <c r="H2356" s="241" t="s">
        <v>4227</v>
      </c>
      <c r="I2356" s="241" t="s">
        <v>13</v>
      </c>
      <c r="J2356" s="249" t="s">
        <v>4228</v>
      </c>
      <c r="K2356" s="242">
        <v>44993</v>
      </c>
      <c r="L2356" s="241"/>
      <c r="M2356" s="243"/>
      <c r="N2356" s="243">
        <f>MONTH(Tableau13[[#This Row],[Date fin intervention]])</f>
        <v>3</v>
      </c>
      <c r="O2356" s="243">
        <f>YEAR(Tableau13[[#This Row],[Date fin intervention]])</f>
        <v>2023</v>
      </c>
      <c r="P2356" s="241"/>
    </row>
    <row r="2357" spans="1:16">
      <c r="A2357" s="238">
        <v>44994</v>
      </c>
      <c r="B2357" s="239">
        <v>800</v>
      </c>
      <c r="C2357" s="240" t="str">
        <f>IF(ISNA(VLOOKUP(Tableau13[[#This Row],[Code machine]],'CODE mchn'!$A$4:$C$170,2,0)),"",VLOOKUP(Tableau13[[#This Row],[Code machine]],'CODE mchn'!$A$4:$C$170,2,0))</f>
        <v>Béton</v>
      </c>
      <c r="D2357" s="241" t="str">
        <f>IF(ISNA(VLOOKUP(Tableau13[[#This Row],[Code machine]],'CODE mchn'!$A$4:$C$170,3,0)),"",VLOOKUP(Tableau13[[#This Row],[Code machine]],'CODE mchn'!$A$4:$C$170,3,0))</f>
        <v>Poyatos 2</v>
      </c>
      <c r="E2357" s="239">
        <v>29517</v>
      </c>
      <c r="F2357" s="241"/>
      <c r="G2357" s="241" t="s">
        <v>185</v>
      </c>
      <c r="H2357" s="241" t="s">
        <v>3201</v>
      </c>
      <c r="I2357" s="241" t="s">
        <v>13</v>
      </c>
      <c r="J2357" s="249" t="s">
        <v>4229</v>
      </c>
      <c r="K2357" s="242">
        <v>44994</v>
      </c>
      <c r="L2357" s="241"/>
      <c r="M2357" s="243">
        <v>120</v>
      </c>
      <c r="N2357" s="243">
        <f>MONTH(Tableau13[[#This Row],[Date fin intervention]])</f>
        <v>3</v>
      </c>
      <c r="O2357" s="243">
        <f>YEAR(Tableau13[[#This Row],[Date fin intervention]])</f>
        <v>2023</v>
      </c>
      <c r="P2357" s="241"/>
    </row>
    <row r="2358" spans="1:16" ht="28.5">
      <c r="A2358" s="238">
        <v>44995</v>
      </c>
      <c r="B2358" s="239">
        <v>800</v>
      </c>
      <c r="C2358" s="240" t="str">
        <f>IF(ISNA(VLOOKUP(Tableau13[[#This Row],[Code machine]],'CODE mchn'!$A$4:$C$170,2,0)),"",VLOOKUP(Tableau13[[#This Row],[Code machine]],'CODE mchn'!$A$4:$C$170,2,0))</f>
        <v>Béton</v>
      </c>
      <c r="D2358" s="241" t="str">
        <f>IF(ISNA(VLOOKUP(Tableau13[[#This Row],[Code machine]],'CODE mchn'!$A$4:$C$170,3,0)),"",VLOOKUP(Tableau13[[#This Row],[Code machine]],'CODE mchn'!$A$4:$C$170,3,0))</f>
        <v>Poyatos 2</v>
      </c>
      <c r="E2358" s="239">
        <v>29506</v>
      </c>
      <c r="F2358" s="241"/>
      <c r="G2358" s="241" t="s">
        <v>185</v>
      </c>
      <c r="H2358" s="241" t="s">
        <v>4230</v>
      </c>
      <c r="I2358" s="241" t="s">
        <v>13</v>
      </c>
      <c r="J2358" s="249" t="s">
        <v>4231</v>
      </c>
      <c r="K2358" s="242">
        <v>44996</v>
      </c>
      <c r="L2358" s="241"/>
      <c r="M2358" s="243">
        <v>1440</v>
      </c>
      <c r="N2358" s="243">
        <f>MONTH(Tableau13[[#This Row],[Date fin intervention]])</f>
        <v>3</v>
      </c>
      <c r="O2358" s="243">
        <f>YEAR(Tableau13[[#This Row],[Date fin intervention]])</f>
        <v>2023</v>
      </c>
      <c r="P2358" s="241"/>
    </row>
    <row r="2359" spans="1:16">
      <c r="A2359" s="238">
        <v>44995</v>
      </c>
      <c r="B2359" s="239">
        <v>533</v>
      </c>
      <c r="C2359" s="240" t="str">
        <f>IF(ISNA(VLOOKUP(Tableau13[[#This Row],[Code machine]],'CODE mchn'!$A$4:$C$170,2,0)),"",VLOOKUP(Tableau13[[#This Row],[Code machine]],'CODE mchn'!$A$4:$C$170,2,0))</f>
        <v>Enrobage</v>
      </c>
      <c r="D2359" s="241" t="str">
        <f>IF(ISNA(VLOOKUP(Tableau13[[#This Row],[Code machine]],'CODE mchn'!$A$4:$C$170,3,0)),"",VLOOKUP(Tableau13[[#This Row],[Code machine]],'CODE mchn'!$A$4:$C$170,3,0))</f>
        <v>CAROSSEL</v>
      </c>
      <c r="E2359" s="239">
        <v>16357</v>
      </c>
      <c r="F2359" s="241"/>
      <c r="G2359" s="241" t="s">
        <v>4232</v>
      </c>
      <c r="H2359" s="241" t="s">
        <v>1188</v>
      </c>
      <c r="I2359" s="241" t="s">
        <v>13</v>
      </c>
      <c r="J2359" s="249" t="s">
        <v>4233</v>
      </c>
      <c r="K2359" s="242">
        <v>44995</v>
      </c>
      <c r="L2359" s="241"/>
      <c r="M2359" s="243">
        <v>240</v>
      </c>
      <c r="N2359" s="243">
        <f>MONTH(Tableau13[[#This Row],[Date fin intervention]])</f>
        <v>3</v>
      </c>
      <c r="O2359" s="243">
        <f>YEAR(Tableau13[[#This Row],[Date fin intervention]])</f>
        <v>2023</v>
      </c>
      <c r="P2359" s="241"/>
    </row>
    <row r="2360" spans="1:16">
      <c r="A2360" s="238">
        <v>44999</v>
      </c>
      <c r="B2360" s="239">
        <v>800</v>
      </c>
      <c r="C2360" s="240" t="str">
        <f>IF(ISNA(VLOOKUP(Tableau13[[#This Row],[Code machine]],'CODE mchn'!$A$4:$C$170,2,0)),"",VLOOKUP(Tableau13[[#This Row],[Code machine]],'CODE mchn'!$A$4:$C$170,2,0))</f>
        <v>Béton</v>
      </c>
      <c r="D2360" s="241" t="str">
        <f>IF(ISNA(VLOOKUP(Tableau13[[#This Row],[Code machine]],'CODE mchn'!$A$4:$C$170,3,0)),"",VLOOKUP(Tableau13[[#This Row],[Code machine]],'CODE mchn'!$A$4:$C$170,3,0))</f>
        <v>Poyatos 2</v>
      </c>
      <c r="E2360" s="239">
        <v>29515</v>
      </c>
      <c r="F2360" s="241"/>
      <c r="G2360" s="241" t="s">
        <v>185</v>
      </c>
      <c r="H2360" s="241" t="s">
        <v>764</v>
      </c>
      <c r="I2360" s="241" t="s">
        <v>13</v>
      </c>
      <c r="J2360" s="249" t="s">
        <v>4234</v>
      </c>
      <c r="K2360" s="242">
        <v>44999</v>
      </c>
      <c r="L2360" s="241"/>
      <c r="M2360" s="243">
        <v>420</v>
      </c>
      <c r="N2360" s="243">
        <f>MONTH(Tableau13[[#This Row],[Date fin intervention]])</f>
        <v>3</v>
      </c>
      <c r="O2360" s="243">
        <f>YEAR(Tableau13[[#This Row],[Date fin intervention]])</f>
        <v>2023</v>
      </c>
      <c r="P2360" s="241"/>
    </row>
    <row r="2361" spans="1:16">
      <c r="A2361" s="238">
        <v>45001</v>
      </c>
      <c r="B2361" s="239">
        <v>700</v>
      </c>
      <c r="C2361" s="240" t="str">
        <f>IF(ISNA(VLOOKUP(Tableau13[[#This Row],[Code machine]],'CODE mchn'!$A$4:$C$170,2,0)),"",VLOOKUP(Tableau13[[#This Row],[Code machine]],'CODE mchn'!$A$4:$C$170,2,0))</f>
        <v>Béton</v>
      </c>
      <c r="D2361" s="241" t="str">
        <f>IF(ISNA(VLOOKUP(Tableau13[[#This Row],[Code machine]],'CODE mchn'!$A$4:$C$170,3,0)),"",VLOOKUP(Tableau13[[#This Row],[Code machine]],'CODE mchn'!$A$4:$C$170,3,0))</f>
        <v>Poyatos 1</v>
      </c>
      <c r="E2361" s="239">
        <v>29518</v>
      </c>
      <c r="F2361" s="241"/>
      <c r="G2361" s="241" t="s">
        <v>291</v>
      </c>
      <c r="H2361" s="241" t="s">
        <v>4235</v>
      </c>
      <c r="I2361" s="241" t="s">
        <v>13</v>
      </c>
      <c r="J2361" s="249" t="s">
        <v>4236</v>
      </c>
      <c r="K2361" s="242">
        <v>45001</v>
      </c>
      <c r="L2361" s="241"/>
      <c r="M2361" s="243">
        <v>120</v>
      </c>
      <c r="N2361" s="243">
        <f>MONTH(Tableau13[[#This Row],[Date fin intervention]])</f>
        <v>3</v>
      </c>
      <c r="O2361" s="243">
        <f>YEAR(Tableau13[[#This Row],[Date fin intervention]])</f>
        <v>2023</v>
      </c>
      <c r="P2361" s="241"/>
    </row>
    <row r="2362" spans="1:16">
      <c r="A2362" s="238">
        <v>45001</v>
      </c>
      <c r="B2362" s="239">
        <v>534</v>
      </c>
      <c r="C2362" s="240" t="str">
        <f>IF(ISNA(VLOOKUP(Tableau13[[#This Row],[Code machine]],'CODE mchn'!$A$4:$C$170,2,0)),"",VLOOKUP(Tableau13[[#This Row],[Code machine]],'CODE mchn'!$A$4:$C$170,2,0))</f>
        <v>Enrobage</v>
      </c>
      <c r="D2362" s="241" t="str">
        <f>IF(ISNA(VLOOKUP(Tableau13[[#This Row],[Code machine]],'CODE mchn'!$A$4:$C$170,3,0)),"",VLOOKUP(Tableau13[[#This Row],[Code machine]],'CODE mchn'!$A$4:$C$170,3,0))</f>
        <v>ELKON 2</v>
      </c>
      <c r="E2362" s="239">
        <v>16548</v>
      </c>
      <c r="F2362" s="241"/>
      <c r="G2362" s="241" t="s">
        <v>2774</v>
      </c>
      <c r="H2362" s="241" t="s">
        <v>1853</v>
      </c>
      <c r="I2362" s="241" t="s">
        <v>3130</v>
      </c>
      <c r="J2362" s="249" t="s">
        <v>4237</v>
      </c>
      <c r="K2362" s="242">
        <v>45001</v>
      </c>
      <c r="L2362" s="241"/>
      <c r="M2362" s="243">
        <v>90</v>
      </c>
      <c r="N2362" s="243">
        <f>MONTH(Tableau13[[#This Row],[Date fin intervention]])</f>
        <v>3</v>
      </c>
      <c r="O2362" s="243">
        <f>YEAR(Tableau13[[#This Row],[Date fin intervention]])</f>
        <v>2023</v>
      </c>
      <c r="P2362" s="241"/>
    </row>
    <row r="2363" spans="1:16">
      <c r="A2363" s="238">
        <v>45005</v>
      </c>
      <c r="B2363" s="239">
        <v>700</v>
      </c>
      <c r="C2363" s="240" t="str">
        <f>IF(ISNA(VLOOKUP(Tableau13[[#This Row],[Code machine]],'CODE mchn'!$A$4:$C$170,2,0)),"",VLOOKUP(Tableau13[[#This Row],[Code machine]],'CODE mchn'!$A$4:$C$170,2,0))</f>
        <v>Béton</v>
      </c>
      <c r="D2363" s="241" t="str">
        <f>IF(ISNA(VLOOKUP(Tableau13[[#This Row],[Code machine]],'CODE mchn'!$A$4:$C$170,3,0)),"",VLOOKUP(Tableau13[[#This Row],[Code machine]],'CODE mchn'!$A$4:$C$170,3,0))</f>
        <v>Poyatos 1</v>
      </c>
      <c r="E2363" s="239">
        <v>29519</v>
      </c>
      <c r="F2363" s="241"/>
      <c r="G2363" s="241" t="s">
        <v>4238</v>
      </c>
      <c r="H2363" s="241" t="s">
        <v>1916</v>
      </c>
      <c r="I2363" s="241" t="s">
        <v>101</v>
      </c>
      <c r="J2363" s="249" t="s">
        <v>4239</v>
      </c>
      <c r="K2363" s="242">
        <v>45005</v>
      </c>
      <c r="L2363" s="241"/>
      <c r="M2363" s="243">
        <v>240</v>
      </c>
      <c r="N2363" s="243">
        <f>MONTH(Tableau13[[#This Row],[Date fin intervention]])</f>
        <v>3</v>
      </c>
      <c r="O2363" s="243">
        <f>YEAR(Tableau13[[#This Row],[Date fin intervention]])</f>
        <v>2023</v>
      </c>
      <c r="P2363" s="241"/>
    </row>
    <row r="2364" spans="1:16">
      <c r="A2364" s="238">
        <v>45006</v>
      </c>
      <c r="B2364" s="239">
        <v>565</v>
      </c>
      <c r="C2364" s="240" t="str">
        <f>IF(ISNA(VLOOKUP(Tableau13[[#This Row],[Code machine]],'CODE mchn'!$A$4:$C$170,2,0)),"",VLOOKUP(Tableau13[[#This Row],[Code machine]],'CODE mchn'!$A$4:$C$170,2,0))</f>
        <v>Acier</v>
      </c>
      <c r="D2364" s="241" t="str">
        <f>IF(ISNA(VLOOKUP(Tableau13[[#This Row],[Code machine]],'CODE mchn'!$A$4:$C$170,3,0)),"",VLOOKUP(Tableau13[[#This Row],[Code machine]],'CODE mchn'!$A$4:$C$170,3,0))</f>
        <v>EVG GE12</v>
      </c>
      <c r="E2364" s="239">
        <v>16943</v>
      </c>
      <c r="F2364" s="241"/>
      <c r="G2364" s="241" t="s">
        <v>3</v>
      </c>
      <c r="H2364" s="241" t="s">
        <v>4240</v>
      </c>
      <c r="I2364" s="241" t="s">
        <v>13</v>
      </c>
      <c r="J2364" s="249" t="s">
        <v>4241</v>
      </c>
      <c r="K2364" s="242">
        <v>45012</v>
      </c>
      <c r="L2364" s="241"/>
      <c r="M2364" s="243">
        <v>3360</v>
      </c>
      <c r="N2364" s="243">
        <f>MONTH(Tableau13[[#This Row],[Date fin intervention]])</f>
        <v>3</v>
      </c>
      <c r="O2364" s="243">
        <f>YEAR(Tableau13[[#This Row],[Date fin intervention]])</f>
        <v>2023</v>
      </c>
      <c r="P2364" s="241"/>
    </row>
    <row r="2365" spans="1:16">
      <c r="A2365" s="238">
        <v>45007</v>
      </c>
      <c r="B2365" s="239">
        <v>800</v>
      </c>
      <c r="C2365" s="240" t="str">
        <f>IF(ISNA(VLOOKUP(Tableau13[[#This Row],[Code machine]],'CODE mchn'!$A$4:$C$170,2,0)),"",VLOOKUP(Tableau13[[#This Row],[Code machine]],'CODE mchn'!$A$4:$C$170,2,0))</f>
        <v>Béton</v>
      </c>
      <c r="D2365" s="241" t="str">
        <f>IF(ISNA(VLOOKUP(Tableau13[[#This Row],[Code machine]],'CODE mchn'!$A$4:$C$170,3,0)),"",VLOOKUP(Tableau13[[#This Row],[Code machine]],'CODE mchn'!$A$4:$C$170,3,0))</f>
        <v>Poyatos 2</v>
      </c>
      <c r="E2365" s="239">
        <v>29520</v>
      </c>
      <c r="F2365" s="241"/>
      <c r="G2365" s="241" t="s">
        <v>397</v>
      </c>
      <c r="H2365" s="241" t="s">
        <v>4242</v>
      </c>
      <c r="I2365" s="241" t="s">
        <v>13</v>
      </c>
      <c r="J2365" s="249" t="s">
        <v>4242</v>
      </c>
      <c r="K2365" s="242">
        <v>45007</v>
      </c>
      <c r="L2365" s="241"/>
      <c r="M2365" s="243">
        <v>60</v>
      </c>
      <c r="N2365" s="243">
        <f>MONTH(Tableau13[[#This Row],[Date fin intervention]])</f>
        <v>3</v>
      </c>
      <c r="O2365" s="243">
        <f>YEAR(Tableau13[[#This Row],[Date fin intervention]])</f>
        <v>2023</v>
      </c>
      <c r="P2365" s="241"/>
    </row>
    <row r="2366" spans="1:16" ht="28.5">
      <c r="A2366" s="238">
        <v>45008</v>
      </c>
      <c r="B2366" s="239">
        <v>700</v>
      </c>
      <c r="C2366" s="240" t="str">
        <f>IF(ISNA(VLOOKUP(Tableau13[[#This Row],[Code machine]],'CODE mchn'!$A$4:$C$170,2,0)),"",VLOOKUP(Tableau13[[#This Row],[Code machine]],'CODE mchn'!$A$4:$C$170,2,0))</f>
        <v>Béton</v>
      </c>
      <c r="D2366" s="241" t="str">
        <f>IF(ISNA(VLOOKUP(Tableau13[[#This Row],[Code machine]],'CODE mchn'!$A$4:$C$170,3,0)),"",VLOOKUP(Tableau13[[#This Row],[Code machine]],'CODE mchn'!$A$4:$C$170,3,0))</f>
        <v>Poyatos 1</v>
      </c>
      <c r="E2366" s="239">
        <v>29516</v>
      </c>
      <c r="F2366" s="241"/>
      <c r="G2366" s="241" t="s">
        <v>397</v>
      </c>
      <c r="H2366" s="241" t="s">
        <v>4165</v>
      </c>
      <c r="I2366" s="241" t="s">
        <v>13</v>
      </c>
      <c r="J2366" s="249" t="s">
        <v>4243</v>
      </c>
      <c r="K2366" s="242">
        <v>45008</v>
      </c>
      <c r="L2366" s="241"/>
      <c r="M2366" s="243">
        <v>450</v>
      </c>
      <c r="N2366" s="243">
        <f>MONTH(Tableau13[[#This Row],[Date fin intervention]])</f>
        <v>3</v>
      </c>
      <c r="O2366" s="243">
        <f>YEAR(Tableau13[[#This Row],[Date fin intervention]])</f>
        <v>2023</v>
      </c>
      <c r="P2366" s="241"/>
    </row>
    <row r="2367" spans="1:16">
      <c r="A2367" s="238">
        <v>45008</v>
      </c>
      <c r="B2367" s="239">
        <v>700</v>
      </c>
      <c r="C2367" s="240" t="str">
        <f>IF(ISNA(VLOOKUP(Tableau13[[#This Row],[Code machine]],'CODE mchn'!$A$4:$C$170,2,0)),"",VLOOKUP(Tableau13[[#This Row],[Code machine]],'CODE mchn'!$A$4:$C$170,2,0))</f>
        <v>Béton</v>
      </c>
      <c r="D2367" s="241" t="str">
        <f>IF(ISNA(VLOOKUP(Tableau13[[#This Row],[Code machine]],'CODE mchn'!$A$4:$C$170,3,0)),"",VLOOKUP(Tableau13[[#This Row],[Code machine]],'CODE mchn'!$A$4:$C$170,3,0))</f>
        <v>Poyatos 1</v>
      </c>
      <c r="E2367" s="239">
        <v>29523</v>
      </c>
      <c r="F2367" s="241"/>
      <c r="G2367" s="241" t="s">
        <v>394</v>
      </c>
      <c r="H2367" s="241" t="s">
        <v>1685</v>
      </c>
      <c r="I2367" s="241" t="s">
        <v>101</v>
      </c>
      <c r="J2367" s="249" t="s">
        <v>4244</v>
      </c>
      <c r="K2367" s="242">
        <v>45008</v>
      </c>
      <c r="L2367" s="241"/>
      <c r="M2367" s="243">
        <v>60</v>
      </c>
      <c r="N2367" s="243">
        <f>MONTH(Tableau13[[#This Row],[Date fin intervention]])</f>
        <v>3</v>
      </c>
      <c r="O2367" s="243">
        <f>YEAR(Tableau13[[#This Row],[Date fin intervention]])</f>
        <v>2023</v>
      </c>
      <c r="P2367" s="241"/>
    </row>
    <row r="2368" spans="1:16">
      <c r="A2368" s="238">
        <v>45009</v>
      </c>
      <c r="B2368" s="239">
        <v>700</v>
      </c>
      <c r="C2368" s="240" t="str">
        <f>IF(ISNA(VLOOKUP(Tableau13[[#This Row],[Code machine]],'CODE mchn'!$A$4:$C$170,2,0)),"",VLOOKUP(Tableau13[[#This Row],[Code machine]],'CODE mchn'!$A$4:$C$170,2,0))</f>
        <v>Béton</v>
      </c>
      <c r="D2368" s="241" t="str">
        <f>IF(ISNA(VLOOKUP(Tableau13[[#This Row],[Code machine]],'CODE mchn'!$A$4:$C$170,3,0)),"",VLOOKUP(Tableau13[[#This Row],[Code machine]],'CODE mchn'!$A$4:$C$170,3,0))</f>
        <v>Poyatos 1</v>
      </c>
      <c r="E2368" s="239">
        <v>29522</v>
      </c>
      <c r="F2368" s="241"/>
      <c r="G2368" s="241" t="s">
        <v>809</v>
      </c>
      <c r="H2368" s="241" t="s">
        <v>4245</v>
      </c>
      <c r="I2368" s="241" t="s">
        <v>13</v>
      </c>
      <c r="J2368" s="249" t="s">
        <v>4166</v>
      </c>
      <c r="K2368" s="242">
        <v>45009</v>
      </c>
      <c r="L2368" s="241"/>
      <c r="M2368" s="243">
        <v>180</v>
      </c>
      <c r="N2368" s="243">
        <f>MONTH(Tableau13[[#This Row],[Date fin intervention]])</f>
        <v>3</v>
      </c>
      <c r="O2368" s="243">
        <f>YEAR(Tableau13[[#This Row],[Date fin intervention]])</f>
        <v>2023</v>
      </c>
      <c r="P2368" s="241"/>
    </row>
    <row r="2369" spans="1:16">
      <c r="A2369" s="238">
        <v>45012</v>
      </c>
      <c r="B2369" s="239">
        <v>700</v>
      </c>
      <c r="C2369" s="240" t="str">
        <f>IF(ISNA(VLOOKUP(Tableau13[[#This Row],[Code machine]],'CODE mchn'!$A$4:$C$170,2,0)),"",VLOOKUP(Tableau13[[#This Row],[Code machine]],'CODE mchn'!$A$4:$C$170,2,0))</f>
        <v>Béton</v>
      </c>
      <c r="D2369" s="241" t="str">
        <f>IF(ISNA(VLOOKUP(Tableau13[[#This Row],[Code machine]],'CODE mchn'!$A$4:$C$170,3,0)),"",VLOOKUP(Tableau13[[#This Row],[Code machine]],'CODE mchn'!$A$4:$C$170,3,0))</f>
        <v>Poyatos 1</v>
      </c>
      <c r="E2369" s="239">
        <v>29524</v>
      </c>
      <c r="F2369" s="241"/>
      <c r="G2369" s="241" t="s">
        <v>43</v>
      </c>
      <c r="H2369" s="241" t="s">
        <v>4246</v>
      </c>
      <c r="I2369" s="241" t="s">
        <v>13</v>
      </c>
      <c r="J2369" s="249" t="s">
        <v>4247</v>
      </c>
      <c r="K2369" s="242">
        <v>45012</v>
      </c>
      <c r="L2369" s="241"/>
      <c r="M2369" s="243">
        <v>180</v>
      </c>
      <c r="N2369" s="243">
        <f>MONTH(Tableau13[[#This Row],[Date fin intervention]])</f>
        <v>3</v>
      </c>
      <c r="O2369" s="243">
        <f>YEAR(Tableau13[[#This Row],[Date fin intervention]])</f>
        <v>2023</v>
      </c>
      <c r="P2369" s="241"/>
    </row>
    <row r="2370" spans="1:16">
      <c r="A2370" s="238">
        <v>45016</v>
      </c>
      <c r="B2370" s="239">
        <v>800</v>
      </c>
      <c r="C2370" s="240" t="str">
        <f>IF(ISNA(VLOOKUP(Tableau13[[#This Row],[Code machine]],'CODE mchn'!$A$4:$C$170,2,0)),"",VLOOKUP(Tableau13[[#This Row],[Code machine]],'CODE mchn'!$A$4:$C$170,2,0))</f>
        <v>Béton</v>
      </c>
      <c r="D2370" s="241" t="str">
        <f>IF(ISNA(VLOOKUP(Tableau13[[#This Row],[Code machine]],'CODE mchn'!$A$4:$C$170,3,0)),"",VLOOKUP(Tableau13[[#This Row],[Code machine]],'CODE mchn'!$A$4:$C$170,3,0))</f>
        <v>Poyatos 2</v>
      </c>
      <c r="E2370" s="239">
        <v>29521</v>
      </c>
      <c r="F2370" s="241"/>
      <c r="G2370" s="241" t="s">
        <v>185</v>
      </c>
      <c r="H2370" s="241" t="s">
        <v>3201</v>
      </c>
      <c r="I2370" s="241" t="s">
        <v>13</v>
      </c>
      <c r="J2370" s="249" t="s">
        <v>4248</v>
      </c>
      <c r="K2370" s="242">
        <v>45016</v>
      </c>
      <c r="L2370" s="241"/>
      <c r="M2370" s="243">
        <v>570</v>
      </c>
      <c r="N2370" s="243">
        <f>MONTH(Tableau13[[#This Row],[Date fin intervention]])</f>
        <v>3</v>
      </c>
      <c r="O2370" s="243">
        <f>YEAR(Tableau13[[#This Row],[Date fin intervention]])</f>
        <v>2023</v>
      </c>
      <c r="P2370" s="241"/>
    </row>
    <row r="2371" spans="1:16">
      <c r="A2371" s="238">
        <v>45018</v>
      </c>
      <c r="B2371" s="239">
        <v>605</v>
      </c>
      <c r="C2371" s="240" t="str">
        <f>IF(ISNA(VLOOKUP(Tableau13[[#This Row],[Code machine]],'CODE mchn'!$A$4:$C$170,2,0)),"",VLOOKUP(Tableau13[[#This Row],[Code machine]],'CODE mchn'!$A$4:$C$170,2,0))</f>
        <v>Acier</v>
      </c>
      <c r="D2371" s="241" t="str">
        <f>IF(ISNA(VLOOKUP(Tableau13[[#This Row],[Code machine]],'CODE mchn'!$A$4:$C$170,3,0)),"",VLOOKUP(Tableau13[[#This Row],[Code machine]],'CODE mchn'!$A$4:$C$170,3,0))</f>
        <v>Vitari 1</v>
      </c>
      <c r="E2371" s="239">
        <v>26673</v>
      </c>
      <c r="F2371" s="241"/>
      <c r="G2371" s="241" t="s">
        <v>78</v>
      </c>
      <c r="H2371" s="241" t="s">
        <v>4249</v>
      </c>
      <c r="I2371" s="241" t="s">
        <v>13</v>
      </c>
      <c r="J2371" s="249" t="s">
        <v>4250</v>
      </c>
      <c r="K2371" s="242">
        <v>45018</v>
      </c>
      <c r="L2371" s="241"/>
      <c r="M2371" s="243">
        <v>120</v>
      </c>
      <c r="N2371" s="243">
        <f>MONTH(Tableau13[[#This Row],[Date fin intervention]])</f>
        <v>4</v>
      </c>
      <c r="O2371" s="243">
        <f>YEAR(Tableau13[[#This Row],[Date fin intervention]])</f>
        <v>2023</v>
      </c>
      <c r="P2371" s="241"/>
    </row>
    <row r="2372" spans="1:16" ht="28.5">
      <c r="A2372" s="238">
        <v>45020</v>
      </c>
      <c r="B2372" s="239">
        <v>568</v>
      </c>
      <c r="C2372" s="240" t="str">
        <f>IF(ISNA(VLOOKUP(Tableau13[[#This Row],[Code machine]],'CODE mchn'!$A$4:$C$170,2,0)),"",VLOOKUP(Tableau13[[#This Row],[Code machine]],'CODE mchn'!$A$4:$C$170,2,0))</f>
        <v>Ponts roulants</v>
      </c>
      <c r="D2372" s="241" t="str">
        <f>IF(ISNA(VLOOKUP(Tableau13[[#This Row],[Code machine]],'CODE mchn'!$A$4:$C$170,3,0)),"",VLOOKUP(Tableau13[[#This Row],[Code machine]],'CODE mchn'!$A$4:$C$170,3,0))</f>
        <v>Pont roulant Demag 5T (milieu)</v>
      </c>
      <c r="E2372" s="239">
        <v>29601</v>
      </c>
      <c r="F2372" s="241"/>
      <c r="G2372" s="241" t="s">
        <v>2923</v>
      </c>
      <c r="H2372" s="241" t="s">
        <v>4251</v>
      </c>
      <c r="I2372" s="241" t="s">
        <v>13</v>
      </c>
      <c r="J2372" s="249" t="s">
        <v>4252</v>
      </c>
      <c r="K2372" s="242">
        <v>45020</v>
      </c>
      <c r="L2372" s="241"/>
      <c r="M2372" s="243">
        <v>120</v>
      </c>
      <c r="N2372" s="243">
        <f>MONTH(Tableau13[[#This Row],[Date fin intervention]])</f>
        <v>4</v>
      </c>
      <c r="O2372" s="243">
        <f>YEAR(Tableau13[[#This Row],[Date fin intervention]])</f>
        <v>2023</v>
      </c>
      <c r="P2372" s="241"/>
    </row>
    <row r="2373" spans="1:16">
      <c r="A2373" s="238">
        <v>45021</v>
      </c>
      <c r="B2373" s="239">
        <v>700</v>
      </c>
      <c r="C2373" s="240" t="str">
        <f>IF(ISNA(VLOOKUP(Tableau13[[#This Row],[Code machine]],'CODE mchn'!$A$4:$C$170,2,0)),"",VLOOKUP(Tableau13[[#This Row],[Code machine]],'CODE mchn'!$A$4:$C$170,2,0))</f>
        <v>Béton</v>
      </c>
      <c r="D2373" s="241" t="str">
        <f>IF(ISNA(VLOOKUP(Tableau13[[#This Row],[Code machine]],'CODE mchn'!$A$4:$C$170,3,0)),"",VLOOKUP(Tableau13[[#This Row],[Code machine]],'CODE mchn'!$A$4:$C$170,3,0))</f>
        <v>Poyatos 1</v>
      </c>
      <c r="E2373" s="239">
        <v>29527</v>
      </c>
      <c r="F2373" s="241"/>
      <c r="G2373" s="241" t="s">
        <v>4253</v>
      </c>
      <c r="H2373" s="241" t="s">
        <v>4254</v>
      </c>
      <c r="I2373" s="241" t="s">
        <v>13</v>
      </c>
      <c r="J2373" s="249" t="s">
        <v>4255</v>
      </c>
      <c r="K2373" s="242">
        <v>45021</v>
      </c>
      <c r="L2373" s="241"/>
      <c r="M2373" s="243">
        <v>120</v>
      </c>
      <c r="N2373" s="243">
        <f>MONTH(Tableau13[[#This Row],[Date fin intervention]])</f>
        <v>4</v>
      </c>
      <c r="O2373" s="243">
        <f>YEAR(Tableau13[[#This Row],[Date fin intervention]])</f>
        <v>2023</v>
      </c>
      <c r="P2373" s="241"/>
    </row>
    <row r="2374" spans="1:16" ht="28.5">
      <c r="A2374" s="238">
        <v>45022</v>
      </c>
      <c r="B2374" s="239">
        <v>700</v>
      </c>
      <c r="C2374" s="240" t="str">
        <f>IF(ISNA(VLOOKUP(Tableau13[[#This Row],[Code machine]],'CODE mchn'!$A$4:$C$170,2,0)),"",VLOOKUP(Tableau13[[#This Row],[Code machine]],'CODE mchn'!$A$4:$C$170,2,0))</f>
        <v>Béton</v>
      </c>
      <c r="D2374" s="241" t="str">
        <f>IF(ISNA(VLOOKUP(Tableau13[[#This Row],[Code machine]],'CODE mchn'!$A$4:$C$170,3,0)),"",VLOOKUP(Tableau13[[#This Row],[Code machine]],'CODE mchn'!$A$4:$C$170,3,0))</f>
        <v>Poyatos 1</v>
      </c>
      <c r="E2374" s="239">
        <v>29525</v>
      </c>
      <c r="F2374" s="241"/>
      <c r="G2374" s="241" t="s">
        <v>4256</v>
      </c>
      <c r="H2374" s="241" t="s">
        <v>4257</v>
      </c>
      <c r="I2374" s="241" t="s">
        <v>13</v>
      </c>
      <c r="J2374" s="249" t="s">
        <v>4258</v>
      </c>
      <c r="K2374" s="242">
        <v>45022</v>
      </c>
      <c r="L2374" s="241"/>
      <c r="M2374" s="243">
        <v>120</v>
      </c>
      <c r="N2374" s="243">
        <f>MONTH(Tableau13[[#This Row],[Date fin intervention]])</f>
        <v>4</v>
      </c>
      <c r="O2374" s="243">
        <f>YEAR(Tableau13[[#This Row],[Date fin intervention]])</f>
        <v>2023</v>
      </c>
      <c r="P2374" s="241"/>
    </row>
    <row r="2375" spans="1:16">
      <c r="A2375" s="238">
        <v>45022</v>
      </c>
      <c r="B2375" s="239">
        <v>560</v>
      </c>
      <c r="C2375" s="240" t="str">
        <f>IF(ISNA(VLOOKUP(Tableau13[[#This Row],[Code machine]],'CODE mchn'!$A$4:$C$170,2,0)),"",VLOOKUP(Tableau13[[#This Row],[Code machine]],'CODE mchn'!$A$4:$C$170,2,0))</f>
        <v>Acier</v>
      </c>
      <c r="D2375" s="241" t="str">
        <f>IF(ISNA(VLOOKUP(Tableau13[[#This Row],[Code machine]],'CODE mchn'!$A$4:$C$170,3,0)),"",VLOOKUP(Tableau13[[#This Row],[Code machine]],'CODE mchn'!$A$4:$C$170,3,0))</f>
        <v>Schlatter</v>
      </c>
      <c r="E2375" s="239">
        <v>26674</v>
      </c>
      <c r="F2375" s="241"/>
      <c r="G2375" s="241" t="s">
        <v>726</v>
      </c>
      <c r="H2375" s="241" t="s">
        <v>4259</v>
      </c>
      <c r="I2375" s="241" t="s">
        <v>13</v>
      </c>
      <c r="J2375" s="249" t="s">
        <v>3919</v>
      </c>
      <c r="K2375" s="242">
        <v>45022</v>
      </c>
      <c r="L2375" s="241"/>
      <c r="M2375" s="243">
        <v>60</v>
      </c>
      <c r="N2375" s="243">
        <f>MONTH(Tableau13[[#This Row],[Date fin intervention]])</f>
        <v>4</v>
      </c>
      <c r="O2375" s="243">
        <f>YEAR(Tableau13[[#This Row],[Date fin intervention]])</f>
        <v>2023</v>
      </c>
      <c r="P2375" s="241"/>
    </row>
    <row r="2376" spans="1:16">
      <c r="A2376" s="238">
        <v>45023</v>
      </c>
      <c r="B2376" s="239">
        <v>580</v>
      </c>
      <c r="C2376" s="240" t="str">
        <f>IF(ISNA(VLOOKUP(Tableau13[[#This Row],[Code machine]],'CODE mchn'!$A$4:$C$170,2,0)),"",VLOOKUP(Tableau13[[#This Row],[Code machine]],'CODE mchn'!$A$4:$C$170,2,0))</f>
        <v>Acier</v>
      </c>
      <c r="D2376" s="241" t="str">
        <f>IF(ISNA(VLOOKUP(Tableau13[[#This Row],[Code machine]],'CODE mchn'!$A$4:$C$170,3,0)),"",VLOOKUP(Tableau13[[#This Row],[Code machine]],'CODE mchn'!$A$4:$C$170,3,0))</f>
        <v>Techno Impiante</v>
      </c>
      <c r="E2376" s="239">
        <v>29909</v>
      </c>
      <c r="F2376" s="241"/>
      <c r="G2376" s="241" t="s">
        <v>78</v>
      </c>
      <c r="H2376" s="241" t="s">
        <v>4260</v>
      </c>
      <c r="I2376" s="241" t="s">
        <v>13</v>
      </c>
      <c r="J2376" s="249" t="s">
        <v>4115</v>
      </c>
      <c r="K2376" s="242">
        <v>45024</v>
      </c>
      <c r="L2376" s="241"/>
      <c r="M2376" s="243">
        <v>120</v>
      </c>
      <c r="N2376" s="243">
        <f>MONTH(Tableau13[[#This Row],[Date fin intervention]])</f>
        <v>4</v>
      </c>
      <c r="O2376" s="243">
        <f>YEAR(Tableau13[[#This Row],[Date fin intervention]])</f>
        <v>2023</v>
      </c>
      <c r="P2376" s="241"/>
    </row>
    <row r="2377" spans="1:16">
      <c r="A2377" s="238">
        <v>45023</v>
      </c>
      <c r="B2377" s="239">
        <v>561</v>
      </c>
      <c r="C2377" s="240" t="str">
        <f>IF(ISNA(VLOOKUP(Tableau13[[#This Row],[Code machine]],'CODE mchn'!$A$4:$C$170,2,0)),"",VLOOKUP(Tableau13[[#This Row],[Code machine]],'CODE mchn'!$A$4:$C$170,2,0))</f>
        <v>Ponts roulants</v>
      </c>
      <c r="D2377" s="241" t="str">
        <f>IF(ISNA(VLOOKUP(Tableau13[[#This Row],[Code machine]],'CODE mchn'!$A$4:$C$170,3,0)),"",VLOOKUP(Tableau13[[#This Row],[Code machine]],'CODE mchn'!$A$4:$C$170,3,0))</f>
        <v>Pont roulant Demag 5T TS</v>
      </c>
      <c r="E2377" s="239">
        <v>29602</v>
      </c>
      <c r="F2377" s="241"/>
      <c r="G2377" s="241" t="s">
        <v>4261</v>
      </c>
      <c r="H2377" s="241" t="s">
        <v>2556</v>
      </c>
      <c r="I2377" s="241" t="s">
        <v>13</v>
      </c>
      <c r="J2377" s="249" t="s">
        <v>4262</v>
      </c>
      <c r="K2377" s="242">
        <v>45023</v>
      </c>
      <c r="L2377" s="241"/>
      <c r="M2377" s="243">
        <v>40</v>
      </c>
      <c r="N2377" s="243">
        <f>MONTH(Tableau13[[#This Row],[Date fin intervention]])</f>
        <v>4</v>
      </c>
      <c r="O2377" s="243">
        <f>YEAR(Tableau13[[#This Row],[Date fin intervention]])</f>
        <v>2023</v>
      </c>
      <c r="P2377" s="241"/>
    </row>
    <row r="2378" spans="1:16">
      <c r="A2378" s="238">
        <v>45024</v>
      </c>
      <c r="B2378" s="239">
        <v>560</v>
      </c>
      <c r="C2378" s="240" t="str">
        <f>IF(ISNA(VLOOKUP(Tableau13[[#This Row],[Code machine]],'CODE mchn'!$A$4:$C$170,2,0)),"",VLOOKUP(Tableau13[[#This Row],[Code machine]],'CODE mchn'!$A$4:$C$170,2,0))</f>
        <v>Acier</v>
      </c>
      <c r="D2378" s="241" t="str">
        <f>IF(ISNA(VLOOKUP(Tableau13[[#This Row],[Code machine]],'CODE mchn'!$A$4:$C$170,3,0)),"",VLOOKUP(Tableau13[[#This Row],[Code machine]],'CODE mchn'!$A$4:$C$170,3,0))</f>
        <v>Schlatter</v>
      </c>
      <c r="E2378" s="239">
        <v>26671</v>
      </c>
      <c r="F2378" s="241"/>
      <c r="G2378" s="241" t="s">
        <v>726</v>
      </c>
      <c r="H2378" s="241" t="s">
        <v>4263</v>
      </c>
      <c r="I2378" s="241" t="s">
        <v>13</v>
      </c>
      <c r="J2378" s="249" t="s">
        <v>4264</v>
      </c>
      <c r="K2378" s="242">
        <v>45024</v>
      </c>
      <c r="L2378" s="241"/>
      <c r="M2378" s="243">
        <v>10</v>
      </c>
      <c r="N2378" s="243">
        <f>MONTH(Tableau13[[#This Row],[Date fin intervention]])</f>
        <v>4</v>
      </c>
      <c r="O2378" s="243">
        <f>YEAR(Tableau13[[#This Row],[Date fin intervention]])</f>
        <v>2023</v>
      </c>
      <c r="P2378" s="241"/>
    </row>
    <row r="2379" spans="1:16" ht="28.5">
      <c r="A2379" s="238">
        <v>45025</v>
      </c>
      <c r="B2379" s="239">
        <v>583</v>
      </c>
      <c r="C2379" s="240" t="str">
        <f>IF(ISNA(VLOOKUP(Tableau13[[#This Row],[Code machine]],'CODE mchn'!$A$4:$C$170,2,0)),"",VLOOKUP(Tableau13[[#This Row],[Code machine]],'CODE mchn'!$A$4:$C$170,2,0))</f>
        <v>Ponts roulants</v>
      </c>
      <c r="D2379" s="241" t="str">
        <f>IF(ISNA(VLOOKUP(Tableau13[[#This Row],[Code machine]],'CODE mchn'!$A$4:$C$170,3,0)),"",VLOOKUP(Tableau13[[#This Row],[Code machine]],'CODE mchn'!$A$4:$C$170,3,0))</f>
        <v>Pont roulant Abus 5T (teurema1)</v>
      </c>
      <c r="E2379" s="239">
        <v>29910</v>
      </c>
      <c r="F2379" s="241"/>
      <c r="G2379" s="241" t="s">
        <v>35</v>
      </c>
      <c r="H2379" s="241" t="s">
        <v>4265</v>
      </c>
      <c r="I2379" s="241" t="s">
        <v>13</v>
      </c>
      <c r="J2379" s="249" t="s">
        <v>4266</v>
      </c>
      <c r="K2379" s="242">
        <v>45025</v>
      </c>
      <c r="L2379" s="241"/>
      <c r="M2379" s="243">
        <v>75</v>
      </c>
      <c r="N2379" s="243">
        <f>MONTH(Tableau13[[#This Row],[Date fin intervention]])</f>
        <v>4</v>
      </c>
      <c r="O2379" s="243">
        <f>YEAR(Tableau13[[#This Row],[Date fin intervention]])</f>
        <v>2023</v>
      </c>
      <c r="P2379" s="241"/>
    </row>
    <row r="2380" spans="1:16">
      <c r="A2380" s="238">
        <v>45026</v>
      </c>
      <c r="B2380" s="239">
        <v>582</v>
      </c>
      <c r="C2380" s="240" t="str">
        <f>IF(ISNA(VLOOKUP(Tableau13[[#This Row],[Code machine]],'CODE mchn'!$A$4:$C$170,2,0)),"",VLOOKUP(Tableau13[[#This Row],[Code machine]],'CODE mchn'!$A$4:$C$170,2,0))</f>
        <v>Acier</v>
      </c>
      <c r="D2380" s="241" t="str">
        <f>IF(ISNA(VLOOKUP(Tableau13[[#This Row],[Code machine]],'CODE mchn'!$A$4:$C$170,3,0)),"",VLOOKUP(Tableau13[[#This Row],[Code machine]],'CODE mchn'!$A$4:$C$170,3,0))</f>
        <v>Teurema 2</v>
      </c>
      <c r="E2380" s="239">
        <v>29911</v>
      </c>
      <c r="F2380" s="241"/>
      <c r="G2380" s="241" t="s">
        <v>70</v>
      </c>
      <c r="H2380" s="241" t="s">
        <v>1758</v>
      </c>
      <c r="I2380" s="241" t="s">
        <v>13</v>
      </c>
      <c r="J2380" s="249" t="s">
        <v>4115</v>
      </c>
      <c r="K2380" s="242">
        <v>45026</v>
      </c>
      <c r="L2380" s="241"/>
      <c r="M2380" s="243">
        <v>240</v>
      </c>
      <c r="N2380" s="243">
        <f>MONTH(Tableau13[[#This Row],[Date fin intervention]])</f>
        <v>4</v>
      </c>
      <c r="O2380" s="243">
        <f>YEAR(Tableau13[[#This Row],[Date fin intervention]])</f>
        <v>2023</v>
      </c>
      <c r="P2380" s="241"/>
    </row>
    <row r="2381" spans="1:16" ht="28.5">
      <c r="A2381" s="238">
        <v>45026</v>
      </c>
      <c r="B2381" s="239">
        <v>582</v>
      </c>
      <c r="C2381" s="240" t="str">
        <f>IF(ISNA(VLOOKUP(Tableau13[[#This Row],[Code machine]],'CODE mchn'!$A$4:$C$170,2,0)),"",VLOOKUP(Tableau13[[#This Row],[Code machine]],'CODE mchn'!$A$4:$C$170,2,0))</f>
        <v>Acier</v>
      </c>
      <c r="D2381" s="241" t="str">
        <f>IF(ISNA(VLOOKUP(Tableau13[[#This Row],[Code machine]],'CODE mchn'!$A$4:$C$170,3,0)),"",VLOOKUP(Tableau13[[#This Row],[Code machine]],'CODE mchn'!$A$4:$C$170,3,0))</f>
        <v>Teurema 2</v>
      </c>
      <c r="E2381" s="239">
        <v>29930</v>
      </c>
      <c r="F2381" s="241"/>
      <c r="G2381" s="241" t="s">
        <v>78</v>
      </c>
      <c r="H2381" s="241" t="s">
        <v>4267</v>
      </c>
      <c r="I2381" s="241" t="s">
        <v>13</v>
      </c>
      <c r="J2381" s="249" t="s">
        <v>4268</v>
      </c>
      <c r="K2381" s="242">
        <v>45056</v>
      </c>
      <c r="L2381" s="241"/>
      <c r="M2381" s="243">
        <v>90</v>
      </c>
      <c r="N2381" s="243">
        <f>MONTH(Tableau13[[#This Row],[Date fin intervention]])</f>
        <v>5</v>
      </c>
      <c r="O2381" s="243">
        <f>YEAR(Tableau13[[#This Row],[Date fin intervention]])</f>
        <v>2023</v>
      </c>
      <c r="P2381" s="241"/>
    </row>
    <row r="2382" spans="1:16">
      <c r="A2382" s="238">
        <v>45027</v>
      </c>
      <c r="B2382" s="239">
        <v>582</v>
      </c>
      <c r="C2382" s="240" t="str">
        <f>IF(ISNA(VLOOKUP(Tableau13[[#This Row],[Code machine]],'CODE mchn'!$A$4:$C$170,2,0)),"",VLOOKUP(Tableau13[[#This Row],[Code machine]],'CODE mchn'!$A$4:$C$170,2,0))</f>
        <v>Acier</v>
      </c>
      <c r="D2382" s="241" t="str">
        <f>IF(ISNA(VLOOKUP(Tableau13[[#This Row],[Code machine]],'CODE mchn'!$A$4:$C$170,3,0)),"",VLOOKUP(Tableau13[[#This Row],[Code machine]],'CODE mchn'!$A$4:$C$170,3,0))</f>
        <v>Teurema 2</v>
      </c>
      <c r="E2382" s="239">
        <v>29913</v>
      </c>
      <c r="F2382" s="241"/>
      <c r="G2382" s="241" t="s">
        <v>70</v>
      </c>
      <c r="H2382" s="241" t="s">
        <v>4269</v>
      </c>
      <c r="I2382" s="241" t="s">
        <v>4270</v>
      </c>
      <c r="J2382" s="249" t="s">
        <v>4271</v>
      </c>
      <c r="K2382" s="242">
        <v>45027</v>
      </c>
      <c r="L2382" s="241"/>
      <c r="M2382" s="243">
        <v>180</v>
      </c>
      <c r="N2382" s="243">
        <f>MONTH(Tableau13[[#This Row],[Date fin intervention]])</f>
        <v>4</v>
      </c>
      <c r="O2382" s="243">
        <f>YEAR(Tableau13[[#This Row],[Date fin intervention]])</f>
        <v>2023</v>
      </c>
      <c r="P2382" s="241"/>
    </row>
    <row r="2383" spans="1:16" ht="28.5">
      <c r="A2383" s="238">
        <v>45028</v>
      </c>
      <c r="B2383" s="239">
        <v>583</v>
      </c>
      <c r="C2383" s="240" t="str">
        <f>IF(ISNA(VLOOKUP(Tableau13[[#This Row],[Code machine]],'CODE mchn'!$A$4:$C$170,2,0)),"",VLOOKUP(Tableau13[[#This Row],[Code machine]],'CODE mchn'!$A$4:$C$170,2,0))</f>
        <v>Ponts roulants</v>
      </c>
      <c r="D2383" s="241" t="str">
        <f>IF(ISNA(VLOOKUP(Tableau13[[#This Row],[Code machine]],'CODE mchn'!$A$4:$C$170,3,0)),"",VLOOKUP(Tableau13[[#This Row],[Code machine]],'CODE mchn'!$A$4:$C$170,3,0))</f>
        <v>Pont roulant Abus 5T (teurema1)</v>
      </c>
      <c r="E2383" s="239">
        <v>29912</v>
      </c>
      <c r="F2383" s="241"/>
      <c r="G2383" s="241" t="s">
        <v>35</v>
      </c>
      <c r="H2383" s="241" t="s">
        <v>4265</v>
      </c>
      <c r="I2383" s="241" t="s">
        <v>13</v>
      </c>
      <c r="J2383" s="249" t="s">
        <v>4266</v>
      </c>
      <c r="K2383" s="242">
        <v>45028</v>
      </c>
      <c r="L2383" s="241"/>
      <c r="M2383" s="243">
        <v>45</v>
      </c>
      <c r="N2383" s="243">
        <f>MONTH(Tableau13[[#This Row],[Date fin intervention]])</f>
        <v>4</v>
      </c>
      <c r="O2383" s="243">
        <f>YEAR(Tableau13[[#This Row],[Date fin intervention]])</f>
        <v>2023</v>
      </c>
      <c r="P2383" s="241"/>
    </row>
    <row r="2384" spans="1:16" ht="28.5">
      <c r="A2384" s="238">
        <v>45029</v>
      </c>
      <c r="B2384" s="239">
        <v>583</v>
      </c>
      <c r="C2384" s="240" t="str">
        <f>IF(ISNA(VLOOKUP(Tableau13[[#This Row],[Code machine]],'CODE mchn'!$A$4:$C$170,2,0)),"",VLOOKUP(Tableau13[[#This Row],[Code machine]],'CODE mchn'!$A$4:$C$170,2,0))</f>
        <v>Ponts roulants</v>
      </c>
      <c r="D2384" s="241" t="str">
        <f>IF(ISNA(VLOOKUP(Tableau13[[#This Row],[Code machine]],'CODE mchn'!$A$4:$C$170,3,0)),"",VLOOKUP(Tableau13[[#This Row],[Code machine]],'CODE mchn'!$A$4:$C$170,3,0))</f>
        <v>Pont roulant Abus 5T (teurema1)</v>
      </c>
      <c r="E2384" s="239">
        <v>29914</v>
      </c>
      <c r="F2384" s="241"/>
      <c r="G2384" s="241" t="s">
        <v>35</v>
      </c>
      <c r="H2384" s="241" t="s">
        <v>3126</v>
      </c>
      <c r="I2384" s="241" t="s">
        <v>13</v>
      </c>
      <c r="J2384" s="249" t="s">
        <v>4272</v>
      </c>
      <c r="K2384" s="242">
        <v>45029</v>
      </c>
      <c r="L2384" s="241"/>
      <c r="M2384" s="243">
        <v>120</v>
      </c>
      <c r="N2384" s="243">
        <f>MONTH(Tableau13[[#This Row],[Date fin intervention]])</f>
        <v>4</v>
      </c>
      <c r="O2384" s="243">
        <f>YEAR(Tableau13[[#This Row],[Date fin intervention]])</f>
        <v>2023</v>
      </c>
      <c r="P2384" s="241"/>
    </row>
    <row r="2385" spans="1:16">
      <c r="A2385" s="238">
        <v>45029</v>
      </c>
      <c r="B2385" s="239">
        <v>565</v>
      </c>
      <c r="C2385" s="240" t="str">
        <f>IF(ISNA(VLOOKUP(Tableau13[[#This Row],[Code machine]],'CODE mchn'!$A$4:$C$170,2,0)),"",VLOOKUP(Tableau13[[#This Row],[Code machine]],'CODE mchn'!$A$4:$C$170,2,0))</f>
        <v>Acier</v>
      </c>
      <c r="D2385" s="241" t="str">
        <f>IF(ISNA(VLOOKUP(Tableau13[[#This Row],[Code machine]],'CODE mchn'!$A$4:$C$170,3,0)),"",VLOOKUP(Tableau13[[#This Row],[Code machine]],'CODE mchn'!$A$4:$C$170,3,0))</f>
        <v>EVG GE12</v>
      </c>
      <c r="E2385" s="239">
        <v>29604</v>
      </c>
      <c r="F2385" s="241"/>
      <c r="G2385" s="241" t="s">
        <v>4273</v>
      </c>
      <c r="H2385" s="241" t="s">
        <v>4274</v>
      </c>
      <c r="I2385" s="241" t="s">
        <v>13</v>
      </c>
      <c r="J2385" s="249" t="s">
        <v>4275</v>
      </c>
      <c r="K2385" s="242">
        <v>45029</v>
      </c>
      <c r="L2385" s="241"/>
      <c r="M2385" s="243">
        <v>180</v>
      </c>
      <c r="N2385" s="243">
        <f>MONTH(Tableau13[[#This Row],[Date fin intervention]])</f>
        <v>4</v>
      </c>
      <c r="O2385" s="243">
        <f>YEAR(Tableau13[[#This Row],[Date fin intervention]])</f>
        <v>2023</v>
      </c>
      <c r="P2385" s="241"/>
    </row>
    <row r="2386" spans="1:16">
      <c r="A2386" s="238">
        <v>45031</v>
      </c>
      <c r="B2386" s="239">
        <v>609</v>
      </c>
      <c r="C2386" s="240" t="str">
        <f>IF(ISNA(VLOOKUP(Tableau13[[#This Row],[Code machine]],'CODE mchn'!$A$4:$C$170,2,0)),"",VLOOKUP(Tableau13[[#This Row],[Code machine]],'CODE mchn'!$A$4:$C$170,2,0))</f>
        <v>Acier</v>
      </c>
      <c r="D2386" s="241" t="str">
        <f>IF(ISNA(VLOOKUP(Tableau13[[#This Row],[Code machine]],'CODE mchn'!$A$4:$C$170,3,0)),"",VLOOKUP(Tableau13[[#This Row],[Code machine]],'CODE mchn'!$A$4:$C$170,3,0))</f>
        <v>Vitari 4</v>
      </c>
      <c r="E2386" s="239">
        <v>29603</v>
      </c>
      <c r="F2386" s="241"/>
      <c r="G2386" s="241" t="s">
        <v>10</v>
      </c>
      <c r="H2386" s="241" t="s">
        <v>4276</v>
      </c>
      <c r="I2386" s="241" t="s">
        <v>13</v>
      </c>
      <c r="J2386" s="249" t="s">
        <v>4277</v>
      </c>
      <c r="K2386" s="242">
        <v>45031</v>
      </c>
      <c r="L2386" s="241"/>
      <c r="M2386" s="243">
        <v>2400</v>
      </c>
      <c r="N2386" s="243">
        <f>MONTH(Tableau13[[#This Row],[Date fin intervention]])</f>
        <v>4</v>
      </c>
      <c r="O2386" s="243">
        <f>YEAR(Tableau13[[#This Row],[Date fin intervention]])</f>
        <v>2023</v>
      </c>
      <c r="P2386" s="241"/>
    </row>
    <row r="2387" spans="1:16">
      <c r="A2387" s="238">
        <v>45034</v>
      </c>
      <c r="B2387" s="239">
        <v>565</v>
      </c>
      <c r="C2387" s="240" t="str">
        <f>IF(ISNA(VLOOKUP(Tableau13[[#This Row],[Code machine]],'CODE mchn'!$A$4:$C$170,2,0)),"",VLOOKUP(Tableau13[[#This Row],[Code machine]],'CODE mchn'!$A$4:$C$170,2,0))</f>
        <v>Acier</v>
      </c>
      <c r="D2387" s="241" t="str">
        <f>IF(ISNA(VLOOKUP(Tableau13[[#This Row],[Code machine]],'CODE mchn'!$A$4:$C$170,3,0)),"",VLOOKUP(Tableau13[[#This Row],[Code machine]],'CODE mchn'!$A$4:$C$170,3,0))</f>
        <v>EVG GE12</v>
      </c>
      <c r="E2387" s="239">
        <v>29605</v>
      </c>
      <c r="F2387" s="241"/>
      <c r="G2387" s="241" t="s">
        <v>4191</v>
      </c>
      <c r="H2387" s="241" t="s">
        <v>4278</v>
      </c>
      <c r="I2387" s="241" t="s">
        <v>13</v>
      </c>
      <c r="J2387" s="249" t="s">
        <v>4279</v>
      </c>
      <c r="K2387" s="242">
        <v>45034</v>
      </c>
      <c r="L2387" s="241"/>
      <c r="M2387" s="243">
        <v>120</v>
      </c>
      <c r="N2387" s="243">
        <f>MONTH(Tableau13[[#This Row],[Date fin intervention]])</f>
        <v>4</v>
      </c>
      <c r="O2387" s="243">
        <f>YEAR(Tableau13[[#This Row],[Date fin intervention]])</f>
        <v>2023</v>
      </c>
      <c r="P2387" s="241"/>
    </row>
    <row r="2388" spans="1:16">
      <c r="A2388" s="238">
        <v>45034</v>
      </c>
      <c r="B2388" s="239">
        <v>565</v>
      </c>
      <c r="C2388" s="240" t="str">
        <f>IF(ISNA(VLOOKUP(Tableau13[[#This Row],[Code machine]],'CODE mchn'!$A$4:$C$170,2,0)),"",VLOOKUP(Tableau13[[#This Row],[Code machine]],'CODE mchn'!$A$4:$C$170,2,0))</f>
        <v>Acier</v>
      </c>
      <c r="D2388" s="241" t="str">
        <f>IF(ISNA(VLOOKUP(Tableau13[[#This Row],[Code machine]],'CODE mchn'!$A$4:$C$170,3,0)),"",VLOOKUP(Tableau13[[#This Row],[Code machine]],'CODE mchn'!$A$4:$C$170,3,0))</f>
        <v>EVG GE12</v>
      </c>
      <c r="E2388" s="239">
        <v>29606</v>
      </c>
      <c r="F2388" s="241"/>
      <c r="G2388" s="241" t="s">
        <v>463</v>
      </c>
      <c r="H2388" s="241" t="s">
        <v>4280</v>
      </c>
      <c r="I2388" s="241" t="s">
        <v>13</v>
      </c>
      <c r="J2388" s="249" t="s">
        <v>4281</v>
      </c>
      <c r="K2388" s="242">
        <v>45034</v>
      </c>
      <c r="L2388" s="241"/>
      <c r="M2388" s="243">
        <v>90</v>
      </c>
      <c r="N2388" s="243">
        <f>MONTH(Tableau13[[#This Row],[Date fin intervention]])</f>
        <v>4</v>
      </c>
      <c r="O2388" s="243">
        <f>YEAR(Tableau13[[#This Row],[Date fin intervention]])</f>
        <v>2023</v>
      </c>
      <c r="P2388" s="241"/>
    </row>
    <row r="2389" spans="1:16">
      <c r="A2389" s="238">
        <v>45035</v>
      </c>
      <c r="B2389" s="239">
        <v>580</v>
      </c>
      <c r="C2389" s="240" t="str">
        <f>IF(ISNA(VLOOKUP(Tableau13[[#This Row],[Code machine]],'CODE mchn'!$A$4:$C$170,2,0)),"",VLOOKUP(Tableau13[[#This Row],[Code machine]],'CODE mchn'!$A$4:$C$170,2,0))</f>
        <v>Acier</v>
      </c>
      <c r="D2389" s="241" t="str">
        <f>IF(ISNA(VLOOKUP(Tableau13[[#This Row],[Code machine]],'CODE mchn'!$A$4:$C$170,3,0)),"",VLOOKUP(Tableau13[[#This Row],[Code machine]],'CODE mchn'!$A$4:$C$170,3,0))</f>
        <v>Techno Impiante</v>
      </c>
      <c r="E2389" s="239">
        <v>29919</v>
      </c>
      <c r="F2389" s="241"/>
      <c r="G2389" s="241" t="s">
        <v>4195</v>
      </c>
      <c r="H2389" s="241" t="s">
        <v>4282</v>
      </c>
      <c r="I2389" s="241" t="s">
        <v>13</v>
      </c>
      <c r="J2389" s="249" t="s">
        <v>4283</v>
      </c>
      <c r="K2389" s="242">
        <v>45035</v>
      </c>
      <c r="L2389" s="241"/>
      <c r="M2389" s="243">
        <v>180</v>
      </c>
      <c r="N2389" s="243">
        <f>MONTH(Tableau13[[#This Row],[Date fin intervention]])</f>
        <v>4</v>
      </c>
      <c r="O2389" s="243">
        <f>YEAR(Tableau13[[#This Row],[Date fin intervention]])</f>
        <v>2023</v>
      </c>
      <c r="P2389" s="241"/>
    </row>
    <row r="2390" spans="1:16">
      <c r="A2390" s="238">
        <v>45036</v>
      </c>
      <c r="B2390" s="239">
        <v>605</v>
      </c>
      <c r="C2390" s="240" t="str">
        <f>IF(ISNA(VLOOKUP(Tableau13[[#This Row],[Code machine]],'CODE mchn'!$A$4:$C$170,2,0)),"",VLOOKUP(Tableau13[[#This Row],[Code machine]],'CODE mchn'!$A$4:$C$170,2,0))</f>
        <v>Acier</v>
      </c>
      <c r="D2390" s="241" t="str">
        <f>IF(ISNA(VLOOKUP(Tableau13[[#This Row],[Code machine]],'CODE mchn'!$A$4:$C$170,3,0)),"",VLOOKUP(Tableau13[[#This Row],[Code machine]],'CODE mchn'!$A$4:$C$170,3,0))</f>
        <v>Vitari 1</v>
      </c>
      <c r="E2390" s="239">
        <v>29607</v>
      </c>
      <c r="F2390" s="241"/>
      <c r="G2390" s="241" t="s">
        <v>78</v>
      </c>
      <c r="H2390" s="241" t="s">
        <v>4284</v>
      </c>
      <c r="I2390" s="241" t="s">
        <v>13</v>
      </c>
      <c r="J2390" s="249" t="s">
        <v>4285</v>
      </c>
      <c r="K2390" s="242">
        <v>45037</v>
      </c>
      <c r="L2390" s="241"/>
      <c r="M2390" s="243">
        <v>120</v>
      </c>
      <c r="N2390" s="243">
        <f>MONTH(Tableau13[[#This Row],[Date fin intervention]])</f>
        <v>4</v>
      </c>
      <c r="O2390" s="243">
        <f>YEAR(Tableau13[[#This Row],[Date fin intervention]])</f>
        <v>2023</v>
      </c>
      <c r="P2390" s="241"/>
    </row>
    <row r="2391" spans="1:16">
      <c r="A2391" s="238">
        <v>45042</v>
      </c>
      <c r="B2391" s="239">
        <v>607</v>
      </c>
      <c r="C2391" s="240" t="str">
        <f>IF(ISNA(VLOOKUP(Tableau13[[#This Row],[Code machine]],'CODE mchn'!$A$4:$C$170,2,0)),"",VLOOKUP(Tableau13[[#This Row],[Code machine]],'CODE mchn'!$A$4:$C$170,2,0))</f>
        <v>Acier</v>
      </c>
      <c r="D2391" s="241" t="str">
        <f>IF(ISNA(VLOOKUP(Tableau13[[#This Row],[Code machine]],'CODE mchn'!$A$4:$C$170,3,0)),"",VLOOKUP(Tableau13[[#This Row],[Code machine]],'CODE mchn'!$A$4:$C$170,3,0))</f>
        <v>Vitari 3</v>
      </c>
      <c r="E2391" s="239">
        <v>29608</v>
      </c>
      <c r="F2391" s="241"/>
      <c r="G2391" s="241" t="s">
        <v>10</v>
      </c>
      <c r="H2391" s="241" t="s">
        <v>1306</v>
      </c>
      <c r="I2391" s="241" t="s">
        <v>13</v>
      </c>
      <c r="J2391" s="249" t="s">
        <v>4286</v>
      </c>
      <c r="K2391" s="242">
        <v>45042</v>
      </c>
      <c r="L2391" s="241"/>
      <c r="M2391" s="243">
        <v>2400</v>
      </c>
      <c r="N2391" s="243">
        <f>MONTH(Tableau13[[#This Row],[Date fin intervention]])</f>
        <v>4</v>
      </c>
      <c r="O2391" s="243">
        <f>YEAR(Tableau13[[#This Row],[Date fin intervention]])</f>
        <v>2023</v>
      </c>
      <c r="P2391" s="241"/>
    </row>
    <row r="2392" spans="1:16">
      <c r="A2392" s="238">
        <v>45043</v>
      </c>
      <c r="B2392" s="239">
        <v>580</v>
      </c>
      <c r="C2392" s="240" t="str">
        <f>IF(ISNA(VLOOKUP(Tableau13[[#This Row],[Code machine]],'CODE mchn'!$A$4:$C$170,2,0)),"",VLOOKUP(Tableau13[[#This Row],[Code machine]],'CODE mchn'!$A$4:$C$170,2,0))</f>
        <v>Acier</v>
      </c>
      <c r="D2392" s="241" t="str">
        <f>IF(ISNA(VLOOKUP(Tableau13[[#This Row],[Code machine]],'CODE mchn'!$A$4:$C$170,3,0)),"",VLOOKUP(Tableau13[[#This Row],[Code machine]],'CODE mchn'!$A$4:$C$170,3,0))</f>
        <v>Techno Impiante</v>
      </c>
      <c r="E2392" s="239">
        <v>29921</v>
      </c>
      <c r="F2392" s="241"/>
      <c r="G2392" s="241" t="s">
        <v>612</v>
      </c>
      <c r="H2392" s="241" t="s">
        <v>4287</v>
      </c>
      <c r="I2392" s="241" t="s">
        <v>13</v>
      </c>
      <c r="J2392" s="249" t="s">
        <v>4139</v>
      </c>
      <c r="K2392" s="242">
        <v>45043</v>
      </c>
      <c r="L2392" s="241"/>
      <c r="M2392" s="243">
        <v>480</v>
      </c>
      <c r="N2392" s="243">
        <f>MONTH(Tableau13[[#This Row],[Date fin intervention]])</f>
        <v>4</v>
      </c>
      <c r="O2392" s="243">
        <f>YEAR(Tableau13[[#This Row],[Date fin intervention]])</f>
        <v>2023</v>
      </c>
      <c r="P2392" s="241"/>
    </row>
    <row r="2393" spans="1:16">
      <c r="A2393" s="238">
        <v>45043</v>
      </c>
      <c r="B2393" s="239">
        <v>565</v>
      </c>
      <c r="C2393" s="240" t="str">
        <f>IF(ISNA(VLOOKUP(Tableau13[[#This Row],[Code machine]],'CODE mchn'!$A$4:$C$170,2,0)),"",VLOOKUP(Tableau13[[#This Row],[Code machine]],'CODE mchn'!$A$4:$C$170,2,0))</f>
        <v>Acier</v>
      </c>
      <c r="D2393" s="241" t="str">
        <f>IF(ISNA(VLOOKUP(Tableau13[[#This Row],[Code machine]],'CODE mchn'!$A$4:$C$170,3,0)),"",VLOOKUP(Tableau13[[#This Row],[Code machine]],'CODE mchn'!$A$4:$C$170,3,0))</f>
        <v>EVG GE12</v>
      </c>
      <c r="E2393" s="239">
        <v>29610</v>
      </c>
      <c r="F2393" s="241"/>
      <c r="G2393" s="241" t="s">
        <v>4288</v>
      </c>
      <c r="H2393" s="241" t="s">
        <v>4289</v>
      </c>
      <c r="I2393" s="241" t="s">
        <v>13</v>
      </c>
      <c r="J2393" s="249" t="s">
        <v>4290</v>
      </c>
      <c r="K2393" s="242">
        <v>45043</v>
      </c>
      <c r="L2393" s="241"/>
      <c r="M2393" s="243">
        <v>40</v>
      </c>
      <c r="N2393" s="243">
        <f>MONTH(Tableau13[[#This Row],[Date fin intervention]])</f>
        <v>4</v>
      </c>
      <c r="O2393" s="243">
        <f>YEAR(Tableau13[[#This Row],[Date fin intervention]])</f>
        <v>2023</v>
      </c>
      <c r="P2393" s="241"/>
    </row>
    <row r="2394" spans="1:16">
      <c r="A2394" s="238">
        <v>45043</v>
      </c>
      <c r="B2394" s="239">
        <v>605</v>
      </c>
      <c r="C2394" s="240" t="str">
        <f>IF(ISNA(VLOOKUP(Tableau13[[#This Row],[Code machine]],'CODE mchn'!$A$4:$C$170,2,0)),"",VLOOKUP(Tableau13[[#This Row],[Code machine]],'CODE mchn'!$A$4:$C$170,2,0))</f>
        <v>Acier</v>
      </c>
      <c r="D2394" s="241" t="str">
        <f>IF(ISNA(VLOOKUP(Tableau13[[#This Row],[Code machine]],'CODE mchn'!$A$4:$C$170,3,0)),"",VLOOKUP(Tableau13[[#This Row],[Code machine]],'CODE mchn'!$A$4:$C$170,3,0))</f>
        <v>Vitari 1</v>
      </c>
      <c r="E2394" s="239">
        <v>29611</v>
      </c>
      <c r="F2394" s="241"/>
      <c r="G2394" s="241" t="s">
        <v>78</v>
      </c>
      <c r="H2394" s="241" t="s">
        <v>4276</v>
      </c>
      <c r="I2394" s="241" t="s">
        <v>13</v>
      </c>
      <c r="J2394" s="249" t="s">
        <v>4291</v>
      </c>
      <c r="K2394" s="242">
        <v>45043</v>
      </c>
      <c r="L2394" s="241"/>
      <c r="M2394" s="243">
        <v>60</v>
      </c>
      <c r="N2394" s="243">
        <f>MONTH(Tableau13[[#This Row],[Date fin intervention]])</f>
        <v>4</v>
      </c>
      <c r="O2394" s="243">
        <f>YEAR(Tableau13[[#This Row],[Date fin intervention]])</f>
        <v>2023</v>
      </c>
      <c r="P2394" s="241"/>
    </row>
    <row r="2395" spans="1:16">
      <c r="A2395" s="238">
        <v>45044</v>
      </c>
      <c r="B2395" s="239">
        <v>800</v>
      </c>
      <c r="C2395" s="240" t="str">
        <f>IF(ISNA(VLOOKUP(Tableau13[[#This Row],[Code machine]],'CODE mchn'!$A$4:$C$170,2,0)),"",VLOOKUP(Tableau13[[#This Row],[Code machine]],'CODE mchn'!$A$4:$C$170,2,0))</f>
        <v>Béton</v>
      </c>
      <c r="D2395" s="241" t="str">
        <f>IF(ISNA(VLOOKUP(Tableau13[[#This Row],[Code machine]],'CODE mchn'!$A$4:$C$170,3,0)),"",VLOOKUP(Tableau13[[#This Row],[Code machine]],'CODE mchn'!$A$4:$C$170,3,0))</f>
        <v>Poyatos 2</v>
      </c>
      <c r="E2395" s="239">
        <v>29529</v>
      </c>
      <c r="F2395" s="241"/>
      <c r="G2395" s="241" t="s">
        <v>185</v>
      </c>
      <c r="H2395" s="241" t="s">
        <v>4292</v>
      </c>
      <c r="I2395" s="241" t="s">
        <v>13</v>
      </c>
      <c r="J2395" s="249" t="s">
        <v>4293</v>
      </c>
      <c r="K2395" s="242">
        <v>45044</v>
      </c>
      <c r="L2395" s="241"/>
      <c r="M2395" s="243">
        <v>2880</v>
      </c>
      <c r="N2395" s="243">
        <f>MONTH(Tableau13[[#This Row],[Date fin intervention]])</f>
        <v>4</v>
      </c>
      <c r="O2395" s="243">
        <f>YEAR(Tableau13[[#This Row],[Date fin intervention]])</f>
        <v>2023</v>
      </c>
      <c r="P2395" s="241"/>
    </row>
    <row r="2396" spans="1:16">
      <c r="A2396" s="238">
        <v>45045</v>
      </c>
      <c r="B2396" s="239">
        <v>580</v>
      </c>
      <c r="C2396" s="240" t="str">
        <f>IF(ISNA(VLOOKUP(Tableau13[[#This Row],[Code machine]],'CODE mchn'!$A$4:$C$170,2,0)),"",VLOOKUP(Tableau13[[#This Row],[Code machine]],'CODE mchn'!$A$4:$C$170,2,0))</f>
        <v>Acier</v>
      </c>
      <c r="D2396" s="241" t="str">
        <f>IF(ISNA(VLOOKUP(Tableau13[[#This Row],[Code machine]],'CODE mchn'!$A$4:$C$170,3,0)),"",VLOOKUP(Tableau13[[#This Row],[Code machine]],'CODE mchn'!$A$4:$C$170,3,0))</f>
        <v>Techno Impiante</v>
      </c>
      <c r="E2396" s="239">
        <v>29923</v>
      </c>
      <c r="F2396" s="241"/>
      <c r="G2396" s="241" t="s">
        <v>612</v>
      </c>
      <c r="H2396" s="241" t="s">
        <v>4294</v>
      </c>
      <c r="I2396" s="241" t="s">
        <v>13</v>
      </c>
      <c r="J2396" s="249" t="s">
        <v>4295</v>
      </c>
      <c r="K2396" s="242">
        <v>45045</v>
      </c>
      <c r="L2396" s="241"/>
      <c r="M2396" s="243">
        <v>180</v>
      </c>
      <c r="N2396" s="243">
        <f>MONTH(Tableau13[[#This Row],[Date fin intervention]])</f>
        <v>4</v>
      </c>
      <c r="O2396" s="243">
        <f>YEAR(Tableau13[[#This Row],[Date fin intervention]])</f>
        <v>2023</v>
      </c>
      <c r="P2396" s="241"/>
    </row>
    <row r="2397" spans="1:16">
      <c r="A2397" s="238">
        <v>45048</v>
      </c>
      <c r="B2397" s="239">
        <v>581</v>
      </c>
      <c r="C2397" s="240" t="str">
        <f>IF(ISNA(VLOOKUP(Tableau13[[#This Row],[Code machine]],'CODE mchn'!$A$4:$C$170,2,0)),"",VLOOKUP(Tableau13[[#This Row],[Code machine]],'CODE mchn'!$A$4:$C$170,2,0))</f>
        <v>Acier</v>
      </c>
      <c r="D2397" s="241" t="str">
        <f>IF(ISNA(VLOOKUP(Tableau13[[#This Row],[Code machine]],'CODE mchn'!$A$4:$C$170,3,0)),"",VLOOKUP(Tableau13[[#This Row],[Code machine]],'CODE mchn'!$A$4:$C$170,3,0))</f>
        <v>Teurema 1</v>
      </c>
      <c r="E2397" s="239">
        <v>29926</v>
      </c>
      <c r="F2397" s="241"/>
      <c r="G2397" s="241" t="s">
        <v>70</v>
      </c>
      <c r="H2397" s="241" t="s">
        <v>4296</v>
      </c>
      <c r="I2397" s="241" t="s">
        <v>101</v>
      </c>
      <c r="J2397" s="249" t="s">
        <v>4297</v>
      </c>
      <c r="K2397" s="242">
        <v>45048</v>
      </c>
      <c r="L2397" s="241"/>
      <c r="M2397" s="243">
        <v>285</v>
      </c>
      <c r="N2397" s="243">
        <f>MONTH(Tableau13[[#This Row],[Date fin intervention]])</f>
        <v>5</v>
      </c>
      <c r="O2397" s="243">
        <f>YEAR(Tableau13[[#This Row],[Date fin intervention]])</f>
        <v>2023</v>
      </c>
      <c r="P2397" s="241"/>
    </row>
    <row r="2398" spans="1:16">
      <c r="A2398" s="238">
        <v>45049</v>
      </c>
      <c r="B2398" s="239">
        <v>607</v>
      </c>
      <c r="C2398" s="240" t="str">
        <f>IF(ISNA(VLOOKUP(Tableau13[[#This Row],[Code machine]],'CODE mchn'!$A$4:$C$170,2,0)),"",VLOOKUP(Tableau13[[#This Row],[Code machine]],'CODE mchn'!$A$4:$C$170,2,0))</f>
        <v>Acier</v>
      </c>
      <c r="D2398" s="241" t="str">
        <f>IF(ISNA(VLOOKUP(Tableau13[[#This Row],[Code machine]],'CODE mchn'!$A$4:$C$170,3,0)),"",VLOOKUP(Tableau13[[#This Row],[Code machine]],'CODE mchn'!$A$4:$C$170,3,0))</f>
        <v>Vitari 3</v>
      </c>
      <c r="E2398" s="239">
        <v>29613</v>
      </c>
      <c r="F2398" s="241"/>
      <c r="G2398" s="241" t="s">
        <v>4298</v>
      </c>
      <c r="H2398" s="241" t="s">
        <v>4299</v>
      </c>
      <c r="I2398" s="241" t="s">
        <v>13</v>
      </c>
      <c r="J2398" s="249" t="s">
        <v>4300</v>
      </c>
      <c r="K2398" s="242">
        <v>45049</v>
      </c>
      <c r="L2398" s="241"/>
      <c r="M2398" s="243">
        <v>45</v>
      </c>
      <c r="N2398" s="243">
        <f>MONTH(Tableau13[[#This Row],[Date fin intervention]])</f>
        <v>5</v>
      </c>
      <c r="O2398" s="243">
        <f>YEAR(Tableau13[[#This Row],[Date fin intervention]])</f>
        <v>2023</v>
      </c>
      <c r="P2398" s="241"/>
    </row>
    <row r="2399" spans="1:16">
      <c r="A2399" s="238">
        <v>45050</v>
      </c>
      <c r="B2399" s="239">
        <v>580</v>
      </c>
      <c r="C2399" s="240" t="str">
        <f>IF(ISNA(VLOOKUP(Tableau13[[#This Row],[Code machine]],'CODE mchn'!$A$4:$C$170,2,0)),"",VLOOKUP(Tableau13[[#This Row],[Code machine]],'CODE mchn'!$A$4:$C$170,2,0))</f>
        <v>Acier</v>
      </c>
      <c r="D2399" s="241" t="str">
        <f>IF(ISNA(VLOOKUP(Tableau13[[#This Row],[Code machine]],'CODE mchn'!$A$4:$C$170,3,0)),"",VLOOKUP(Tableau13[[#This Row],[Code machine]],'CODE mchn'!$A$4:$C$170,3,0))</f>
        <v>Techno Impiante</v>
      </c>
      <c r="E2399" s="239">
        <v>29928</v>
      </c>
      <c r="F2399" s="241"/>
      <c r="G2399" s="241" t="s">
        <v>1644</v>
      </c>
      <c r="H2399" s="241" t="s">
        <v>1654</v>
      </c>
      <c r="I2399" s="241" t="s">
        <v>13</v>
      </c>
      <c r="J2399" s="249" t="s">
        <v>4301</v>
      </c>
      <c r="K2399" s="242">
        <v>45050</v>
      </c>
      <c r="L2399" s="241"/>
      <c r="M2399" s="243">
        <v>150</v>
      </c>
      <c r="N2399" s="243">
        <f>MONTH(Tableau13[[#This Row],[Date fin intervention]])</f>
        <v>5</v>
      </c>
      <c r="O2399" s="243">
        <f>YEAR(Tableau13[[#This Row],[Date fin intervention]])</f>
        <v>2023</v>
      </c>
      <c r="P2399" s="241"/>
    </row>
    <row r="2400" spans="1:16">
      <c r="A2400" s="238">
        <v>45051</v>
      </c>
      <c r="B2400" s="239">
        <v>607</v>
      </c>
      <c r="C2400" s="240" t="str">
        <f>IF(ISNA(VLOOKUP(Tableau13[[#This Row],[Code machine]],'CODE mchn'!$A$4:$C$170,2,0)),"",VLOOKUP(Tableau13[[#This Row],[Code machine]],'CODE mchn'!$A$4:$C$170,2,0))</f>
        <v>Acier</v>
      </c>
      <c r="D2400" s="241" t="str">
        <f>IF(ISNA(VLOOKUP(Tableau13[[#This Row],[Code machine]],'CODE mchn'!$A$4:$C$170,3,0)),"",VLOOKUP(Tableau13[[#This Row],[Code machine]],'CODE mchn'!$A$4:$C$170,3,0))</f>
        <v>Vitari 3</v>
      </c>
      <c r="E2400" s="239">
        <v>29614</v>
      </c>
      <c r="F2400" s="241"/>
      <c r="G2400" s="241" t="s">
        <v>4302</v>
      </c>
      <c r="H2400" s="241" t="s">
        <v>4303</v>
      </c>
      <c r="I2400" s="241" t="s">
        <v>101</v>
      </c>
      <c r="J2400" s="249" t="s">
        <v>4304</v>
      </c>
      <c r="K2400" s="242">
        <v>45051</v>
      </c>
      <c r="L2400" s="241"/>
      <c r="M2400" s="243">
        <v>30</v>
      </c>
      <c r="N2400" s="243">
        <f>MONTH(Tableau13[[#This Row],[Date fin intervention]])</f>
        <v>5</v>
      </c>
      <c r="O2400" s="243">
        <f>YEAR(Tableau13[[#This Row],[Date fin intervention]])</f>
        <v>2023</v>
      </c>
      <c r="P2400" s="241"/>
    </row>
    <row r="2401" spans="1:16">
      <c r="A2401" s="238">
        <v>45056</v>
      </c>
      <c r="B2401" s="239">
        <v>534</v>
      </c>
      <c r="C2401" s="240" t="str">
        <f>IF(ISNA(VLOOKUP(Tableau13[[#This Row],[Code machine]],'CODE mchn'!$A$4:$C$170,2,0)),"",VLOOKUP(Tableau13[[#This Row],[Code machine]],'CODE mchn'!$A$4:$C$170,2,0))</f>
        <v>Enrobage</v>
      </c>
      <c r="D2401" s="241" t="str">
        <f>IF(ISNA(VLOOKUP(Tableau13[[#This Row],[Code machine]],'CODE mchn'!$A$4:$C$170,3,0)),"",VLOOKUP(Tableau13[[#This Row],[Code machine]],'CODE mchn'!$A$4:$C$170,3,0))</f>
        <v>ELKON 2</v>
      </c>
      <c r="E2401" s="239">
        <v>29617</v>
      </c>
      <c r="F2401" s="241"/>
      <c r="G2401" s="241" t="s">
        <v>4066</v>
      </c>
      <c r="H2401" s="241" t="s">
        <v>3126</v>
      </c>
      <c r="I2401" s="241" t="s">
        <v>13</v>
      </c>
      <c r="J2401" s="249" t="s">
        <v>4305</v>
      </c>
      <c r="K2401" s="242">
        <v>45056</v>
      </c>
      <c r="L2401" s="241"/>
      <c r="M2401" s="243">
        <v>120</v>
      </c>
      <c r="N2401" s="243">
        <f>MONTH(Tableau13[[#This Row],[Date fin intervention]])</f>
        <v>5</v>
      </c>
      <c r="O2401" s="243">
        <f>YEAR(Tableau13[[#This Row],[Date fin intervention]])</f>
        <v>2023</v>
      </c>
      <c r="P2401" s="241"/>
    </row>
    <row r="2402" spans="1:16">
      <c r="A2402" s="238">
        <v>45058</v>
      </c>
      <c r="B2402" s="239">
        <v>700</v>
      </c>
      <c r="C2402" s="240" t="str">
        <f>IF(ISNA(VLOOKUP(Tableau13[[#This Row],[Code machine]],'CODE mchn'!$A$4:$C$170,2,0)),"",VLOOKUP(Tableau13[[#This Row],[Code machine]],'CODE mchn'!$A$4:$C$170,2,0))</f>
        <v>Béton</v>
      </c>
      <c r="D2402" s="241" t="str">
        <f>IF(ISNA(VLOOKUP(Tableau13[[#This Row],[Code machine]],'CODE mchn'!$A$4:$C$170,3,0)),"",VLOOKUP(Tableau13[[#This Row],[Code machine]],'CODE mchn'!$A$4:$C$170,3,0))</f>
        <v>Poyatos 1</v>
      </c>
      <c r="E2402" s="239">
        <v>29532</v>
      </c>
      <c r="F2402" s="241"/>
      <c r="G2402" s="241" t="s">
        <v>128</v>
      </c>
      <c r="H2402" s="241" t="s">
        <v>524</v>
      </c>
      <c r="I2402" s="241" t="s">
        <v>13</v>
      </c>
      <c r="J2402" s="249" t="s">
        <v>4306</v>
      </c>
      <c r="K2402" s="242">
        <v>45058</v>
      </c>
      <c r="L2402" s="241"/>
      <c r="M2402" s="243">
        <v>120</v>
      </c>
      <c r="N2402" s="243">
        <f>MONTH(Tableau13[[#This Row],[Date fin intervention]])</f>
        <v>5</v>
      </c>
      <c r="O2402" s="243">
        <f>YEAR(Tableau13[[#This Row],[Date fin intervention]])</f>
        <v>2023</v>
      </c>
      <c r="P2402" s="241"/>
    </row>
    <row r="2403" spans="1:16">
      <c r="A2403" s="238">
        <v>45058</v>
      </c>
      <c r="B2403" s="239">
        <v>605</v>
      </c>
      <c r="C2403" s="240" t="str">
        <f>IF(ISNA(VLOOKUP(Tableau13[[#This Row],[Code machine]],'CODE mchn'!$A$4:$C$170,2,0)),"",VLOOKUP(Tableau13[[#This Row],[Code machine]],'CODE mchn'!$A$4:$C$170,2,0))</f>
        <v>Acier</v>
      </c>
      <c r="D2403" s="241" t="str">
        <f>IF(ISNA(VLOOKUP(Tableau13[[#This Row],[Code machine]],'CODE mchn'!$A$4:$C$170,3,0)),"",VLOOKUP(Tableau13[[#This Row],[Code machine]],'CODE mchn'!$A$4:$C$170,3,0))</f>
        <v>Vitari 1</v>
      </c>
      <c r="E2403" s="239">
        <v>29625</v>
      </c>
      <c r="F2403" s="241"/>
      <c r="G2403" s="241" t="s">
        <v>10</v>
      </c>
      <c r="H2403" s="241" t="s">
        <v>4276</v>
      </c>
      <c r="I2403" s="241" t="s">
        <v>13</v>
      </c>
      <c r="J2403" s="249" t="s">
        <v>4307</v>
      </c>
      <c r="K2403" s="242">
        <v>45058</v>
      </c>
      <c r="L2403" s="241"/>
      <c r="M2403" s="243">
        <v>70</v>
      </c>
      <c r="N2403" s="243">
        <f>MONTH(Tableau13[[#This Row],[Date fin intervention]])</f>
        <v>5</v>
      </c>
      <c r="O2403" s="243">
        <f>YEAR(Tableau13[[#This Row],[Date fin intervention]])</f>
        <v>2023</v>
      </c>
      <c r="P2403" s="241"/>
    </row>
    <row r="2404" spans="1:16">
      <c r="A2404" s="238">
        <v>45058</v>
      </c>
      <c r="B2404" s="239">
        <v>565</v>
      </c>
      <c r="C2404" s="240" t="str">
        <f>IF(ISNA(VLOOKUP(Tableau13[[#This Row],[Code machine]],'CODE mchn'!$A$4:$C$170,2,0)),"",VLOOKUP(Tableau13[[#This Row],[Code machine]],'CODE mchn'!$A$4:$C$170,2,0))</f>
        <v>Acier</v>
      </c>
      <c r="D2404" s="241" t="str">
        <f>IF(ISNA(VLOOKUP(Tableau13[[#This Row],[Code machine]],'CODE mchn'!$A$4:$C$170,3,0)),"",VLOOKUP(Tableau13[[#This Row],[Code machine]],'CODE mchn'!$A$4:$C$170,3,0))</f>
        <v>EVG GE12</v>
      </c>
      <c r="E2404" s="239">
        <v>29626</v>
      </c>
      <c r="F2404" s="241"/>
      <c r="G2404" s="241" t="s">
        <v>726</v>
      </c>
      <c r="H2404" s="241" t="s">
        <v>4308</v>
      </c>
      <c r="I2404" s="241" t="s">
        <v>13</v>
      </c>
      <c r="J2404" s="249" t="s">
        <v>4309</v>
      </c>
      <c r="K2404" s="242">
        <v>45058</v>
      </c>
      <c r="L2404" s="241"/>
      <c r="M2404" s="243">
        <v>30</v>
      </c>
      <c r="N2404" s="243">
        <f>MONTH(Tableau13[[#This Row],[Date fin intervention]])</f>
        <v>5</v>
      </c>
      <c r="O2404" s="243">
        <f>YEAR(Tableau13[[#This Row],[Date fin intervention]])</f>
        <v>2023</v>
      </c>
      <c r="P2404" s="241"/>
    </row>
    <row r="2405" spans="1:16" ht="28.5">
      <c r="A2405" s="238">
        <v>45060</v>
      </c>
      <c r="B2405" s="239">
        <v>582</v>
      </c>
      <c r="C2405" s="240" t="str">
        <f>IF(ISNA(VLOOKUP(Tableau13[[#This Row],[Code machine]],'CODE mchn'!$A$4:$C$170,2,0)),"",VLOOKUP(Tableau13[[#This Row],[Code machine]],'CODE mchn'!$A$4:$C$170,2,0))</f>
        <v>Acier</v>
      </c>
      <c r="D2405" s="241" t="str">
        <f>IF(ISNA(VLOOKUP(Tableau13[[#This Row],[Code machine]],'CODE mchn'!$A$4:$C$170,3,0)),"",VLOOKUP(Tableau13[[#This Row],[Code machine]],'CODE mchn'!$A$4:$C$170,3,0))</f>
        <v>Teurema 2</v>
      </c>
      <c r="E2405" s="239">
        <v>29931</v>
      </c>
      <c r="F2405" s="241"/>
      <c r="G2405" s="241" t="s">
        <v>3797</v>
      </c>
      <c r="H2405" s="241" t="s">
        <v>4310</v>
      </c>
      <c r="I2405" s="241" t="s">
        <v>13</v>
      </c>
      <c r="J2405" s="249" t="s">
        <v>4311</v>
      </c>
      <c r="K2405" s="242">
        <v>45060</v>
      </c>
      <c r="L2405" s="241"/>
      <c r="M2405" s="243"/>
      <c r="N2405" s="243">
        <f>MONTH(Tableau13[[#This Row],[Date fin intervention]])</f>
        <v>5</v>
      </c>
      <c r="O2405" s="243">
        <f>YEAR(Tableau13[[#This Row],[Date fin intervention]])</f>
        <v>2023</v>
      </c>
      <c r="P2405" s="241"/>
    </row>
    <row r="2406" spans="1:16">
      <c r="A2406" s="238">
        <v>45062</v>
      </c>
      <c r="B2406" s="239">
        <v>800</v>
      </c>
      <c r="C2406" s="240" t="str">
        <f>IF(ISNA(VLOOKUP(Tableau13[[#This Row],[Code machine]],'CODE mchn'!$A$4:$C$170,2,0)),"",VLOOKUP(Tableau13[[#This Row],[Code machine]],'CODE mchn'!$A$4:$C$170,2,0))</f>
        <v>Béton</v>
      </c>
      <c r="D2406" s="241" t="str">
        <f>IF(ISNA(VLOOKUP(Tableau13[[#This Row],[Code machine]],'CODE mchn'!$A$4:$C$170,3,0)),"",VLOOKUP(Tableau13[[#This Row],[Code machine]],'CODE mchn'!$A$4:$C$170,3,0))</f>
        <v>Poyatos 2</v>
      </c>
      <c r="E2406" s="239">
        <v>29531</v>
      </c>
      <c r="F2406" s="241"/>
      <c r="G2406" s="241" t="s">
        <v>185</v>
      </c>
      <c r="H2406" s="241" t="s">
        <v>4312</v>
      </c>
      <c r="I2406" s="241" t="s">
        <v>13</v>
      </c>
      <c r="J2406" s="249" t="s">
        <v>4313</v>
      </c>
      <c r="K2406" s="242">
        <v>45062</v>
      </c>
      <c r="L2406" s="241"/>
      <c r="M2406" s="243">
        <v>960</v>
      </c>
      <c r="N2406" s="243">
        <f>MONTH(Tableau13[[#This Row],[Date fin intervention]])</f>
        <v>5</v>
      </c>
      <c r="O2406" s="243">
        <f>YEAR(Tableau13[[#This Row],[Date fin intervention]])</f>
        <v>2023</v>
      </c>
      <c r="P2406" s="241"/>
    </row>
    <row r="2407" spans="1:16">
      <c r="A2407" s="238">
        <v>45063</v>
      </c>
      <c r="B2407" s="239">
        <v>571</v>
      </c>
      <c r="C2407" s="240" t="str">
        <f>IF(ISNA(VLOOKUP(Tableau13[[#This Row],[Code machine]],'CODE mchn'!$A$4:$C$170,2,0)),"",VLOOKUP(Tableau13[[#This Row],[Code machine]],'CODE mchn'!$A$4:$C$170,2,0))</f>
        <v>Acier</v>
      </c>
      <c r="D2407" s="241" t="str">
        <f>IF(ISNA(VLOOKUP(Tableau13[[#This Row],[Code machine]],'CODE mchn'!$A$4:$C$170,3,0)),"",VLOOKUP(Tableau13[[#This Row],[Code machine]],'CODE mchn'!$A$4:$C$170,3,0))</f>
        <v>EVG PN 1</v>
      </c>
      <c r="E2407" s="239">
        <v>29629</v>
      </c>
      <c r="F2407" s="241"/>
      <c r="G2407" s="241" t="s">
        <v>726</v>
      </c>
      <c r="H2407" s="241" t="s">
        <v>4314</v>
      </c>
      <c r="I2407" s="241" t="s">
        <v>13</v>
      </c>
      <c r="J2407" s="249" t="s">
        <v>4315</v>
      </c>
      <c r="K2407" s="242">
        <v>45063</v>
      </c>
      <c r="L2407" s="241"/>
      <c r="M2407" s="243">
        <v>120</v>
      </c>
      <c r="N2407" s="243">
        <f>MONTH(Tableau13[[#This Row],[Date fin intervention]])</f>
        <v>5</v>
      </c>
      <c r="O2407" s="243">
        <f>YEAR(Tableau13[[#This Row],[Date fin intervention]])</f>
        <v>2023</v>
      </c>
      <c r="P2407" s="241"/>
    </row>
    <row r="2408" spans="1:16" ht="28.5">
      <c r="A2408" s="104">
        <v>45064</v>
      </c>
      <c r="B2408" s="105">
        <v>700</v>
      </c>
      <c r="C2408" s="106" t="str">
        <f>IF(ISNA(VLOOKUP(Tableau13[[#This Row],[Code machine]],'CODE mchn'!$A$4:$C$170,2,0)),"",VLOOKUP(Tableau13[[#This Row],[Code machine]],'CODE mchn'!$A$4:$C$170,2,0))</f>
        <v>Béton</v>
      </c>
      <c r="D2408" s="36" t="str">
        <f>IF(ISNA(VLOOKUP(Tableau13[[#This Row],[Code machine]],'CODE mchn'!$A$4:$C$170,3,0)),"",VLOOKUP(Tableau13[[#This Row],[Code machine]],'CODE mchn'!$A$4:$C$170,3,0))</f>
        <v>Poyatos 1</v>
      </c>
      <c r="E2408" s="105">
        <v>29535</v>
      </c>
      <c r="F2408" s="36"/>
      <c r="G2408" s="36" t="s">
        <v>128</v>
      </c>
      <c r="H2408" s="36" t="s">
        <v>4353</v>
      </c>
      <c r="I2408" s="36" t="s">
        <v>13</v>
      </c>
      <c r="J2408" s="252" t="s">
        <v>4354</v>
      </c>
      <c r="K2408" s="71">
        <v>45064</v>
      </c>
      <c r="L2408" s="36"/>
      <c r="M2408" s="108">
        <f>3*60</f>
        <v>180</v>
      </c>
      <c r="N2408" s="108">
        <f>MONTH(Tableau13[[#This Row],[Date fin intervention]])</f>
        <v>5</v>
      </c>
      <c r="O2408" s="108">
        <f>YEAR(Tableau13[[#This Row],[Date fin intervention]])</f>
        <v>2023</v>
      </c>
      <c r="P2408" s="36"/>
    </row>
    <row r="2409" spans="1:16">
      <c r="A2409" s="104">
        <v>45064</v>
      </c>
      <c r="B2409" s="105">
        <v>700</v>
      </c>
      <c r="C2409" s="106" t="str">
        <f>IF(ISNA(VLOOKUP(Tableau13[[#This Row],[Code machine]],'CODE mchn'!$A$4:$C$170,2,0)),"",VLOOKUP(Tableau13[[#This Row],[Code machine]],'CODE mchn'!$A$4:$C$170,2,0))</f>
        <v>Béton</v>
      </c>
      <c r="D2409" s="36" t="str">
        <f>IF(ISNA(VLOOKUP(Tableau13[[#This Row],[Code machine]],'CODE mchn'!$A$4:$C$170,3,0)),"",VLOOKUP(Tableau13[[#This Row],[Code machine]],'CODE mchn'!$A$4:$C$170,3,0))</f>
        <v>Poyatos 1</v>
      </c>
      <c r="E2409" s="105">
        <v>29536</v>
      </c>
      <c r="F2409" s="36"/>
      <c r="G2409" s="36" t="s">
        <v>118</v>
      </c>
      <c r="H2409" s="36" t="s">
        <v>4355</v>
      </c>
      <c r="I2409" s="36" t="s">
        <v>13</v>
      </c>
      <c r="J2409" s="252" t="s">
        <v>4356</v>
      </c>
      <c r="K2409" s="71">
        <v>45064</v>
      </c>
      <c r="L2409" s="36"/>
      <c r="M2409" s="108">
        <v>60</v>
      </c>
      <c r="N2409" s="108">
        <f>MONTH(Tableau13[[#This Row],[Date fin intervention]])</f>
        <v>5</v>
      </c>
      <c r="O2409" s="108">
        <f>YEAR(Tableau13[[#This Row],[Date fin intervention]])</f>
        <v>2023</v>
      </c>
      <c r="P2409" s="36"/>
    </row>
    <row r="2410" spans="1:16">
      <c r="A2410" s="238">
        <v>45068</v>
      </c>
      <c r="B2410" s="239">
        <v>582</v>
      </c>
      <c r="C2410" s="240" t="str">
        <f>IF(ISNA(VLOOKUP(Tableau13[[#This Row],[Code machine]],'CODE mchn'!$A$4:$C$170,2,0)),"",VLOOKUP(Tableau13[[#This Row],[Code machine]],'CODE mchn'!$A$4:$C$170,2,0))</f>
        <v>Acier</v>
      </c>
      <c r="D2410" s="241" t="str">
        <f>IF(ISNA(VLOOKUP(Tableau13[[#This Row],[Code machine]],'CODE mchn'!$A$4:$C$170,3,0)),"",VLOOKUP(Tableau13[[#This Row],[Code machine]],'CODE mchn'!$A$4:$C$170,3,0))</f>
        <v>Teurema 2</v>
      </c>
      <c r="E2410" s="239">
        <v>29934</v>
      </c>
      <c r="F2410" s="241"/>
      <c r="G2410" s="241" t="s">
        <v>3114</v>
      </c>
      <c r="H2410" s="241" t="s">
        <v>2975</v>
      </c>
      <c r="I2410" s="241" t="s">
        <v>13</v>
      </c>
      <c r="J2410" s="249" t="s">
        <v>1598</v>
      </c>
      <c r="K2410" s="242">
        <v>45068</v>
      </c>
      <c r="L2410" s="241"/>
      <c r="M2410" s="243">
        <v>300</v>
      </c>
      <c r="N2410" s="243">
        <f>MONTH(Tableau13[[#This Row],[Date fin intervention]])</f>
        <v>5</v>
      </c>
      <c r="O2410" s="243">
        <f>YEAR(Tableau13[[#This Row],[Date fin intervention]])</f>
        <v>2023</v>
      </c>
      <c r="P2410" s="241"/>
    </row>
    <row r="2411" spans="1:16">
      <c r="A2411" s="104">
        <v>45069</v>
      </c>
      <c r="B2411" s="105">
        <v>609</v>
      </c>
      <c r="C2411" s="291" t="str">
        <f>IF(ISNA(VLOOKUP(Tableau13[[#This Row],[Code machine]],'CODE mchn'!$A$4:$C$170,2,0)),"",VLOOKUP(Tableau13[[#This Row],[Code machine]],'CODE mchn'!$A$4:$C$170,2,0))</f>
        <v>Acier</v>
      </c>
      <c r="D2411" s="36" t="str">
        <f>IF(ISNA(VLOOKUP(Tableau13[[#This Row],[Code machine]],'CODE mchn'!$A$4:$C$170,3,0)),"",VLOOKUP(Tableau13[[#This Row],[Code machine]],'CODE mchn'!$A$4:$C$170,3,0))</f>
        <v>Vitari 4</v>
      </c>
      <c r="E2411" s="105">
        <v>29802</v>
      </c>
      <c r="F2411" s="36"/>
      <c r="G2411" s="36" t="s">
        <v>664</v>
      </c>
      <c r="H2411" s="36" t="s">
        <v>892</v>
      </c>
      <c r="I2411" s="36" t="s">
        <v>13</v>
      </c>
      <c r="J2411" s="252" t="s">
        <v>4277</v>
      </c>
      <c r="K2411" s="71">
        <v>45069</v>
      </c>
      <c r="L2411" s="36"/>
      <c r="M2411" s="108">
        <f>5*60</f>
        <v>300</v>
      </c>
      <c r="N2411" s="108">
        <f>MONTH(Tableau13[[#This Row],[Date fin intervention]])</f>
        <v>5</v>
      </c>
      <c r="O2411" s="108">
        <f>YEAR(Tableau13[[#This Row],[Date fin intervention]])</f>
        <v>2023</v>
      </c>
      <c r="P2411" s="36"/>
    </row>
    <row r="2412" spans="1:16" ht="28.5">
      <c r="A2412" s="238">
        <v>45071</v>
      </c>
      <c r="B2412" s="239">
        <v>580</v>
      </c>
      <c r="C2412" s="240" t="str">
        <f>IF(ISNA(VLOOKUP(Tableau13[[#This Row],[Code machine]],'CODE mchn'!$A$4:$C$170,2,0)),"",VLOOKUP(Tableau13[[#This Row],[Code machine]],'CODE mchn'!$A$4:$C$170,2,0))</f>
        <v>Acier</v>
      </c>
      <c r="D2412" s="241" t="str">
        <f>IF(ISNA(VLOOKUP(Tableau13[[#This Row],[Code machine]],'CODE mchn'!$A$4:$C$170,3,0)),"",VLOOKUP(Tableau13[[#This Row],[Code machine]],'CODE mchn'!$A$4:$C$170,3,0))</f>
        <v>Techno Impiante</v>
      </c>
      <c r="E2412" s="239">
        <v>29935</v>
      </c>
      <c r="F2412" s="241"/>
      <c r="G2412" s="241" t="s">
        <v>1644</v>
      </c>
      <c r="H2412" s="241" t="s">
        <v>3210</v>
      </c>
      <c r="I2412" s="241" t="s">
        <v>13</v>
      </c>
      <c r="J2412" s="249" t="s">
        <v>4316</v>
      </c>
      <c r="K2412" s="242">
        <v>45071</v>
      </c>
      <c r="L2412" s="241"/>
      <c r="M2412" s="243">
        <v>480</v>
      </c>
      <c r="N2412" s="243">
        <f>MONTH(Tableau13[[#This Row],[Date fin intervention]])</f>
        <v>5</v>
      </c>
      <c r="O2412" s="243">
        <f>YEAR(Tableau13[[#This Row],[Date fin intervention]])</f>
        <v>2023</v>
      </c>
      <c r="P2412" s="241"/>
    </row>
    <row r="2413" spans="1:16">
      <c r="A2413" s="104">
        <v>45073</v>
      </c>
      <c r="B2413" s="105">
        <v>605</v>
      </c>
      <c r="C2413" s="106" t="str">
        <f>IF(ISNA(VLOOKUP(Tableau13[[#This Row],[Code machine]],'CODE mchn'!$A$4:$C$170,2,0)),"",VLOOKUP(Tableau13[[#This Row],[Code machine]],'CODE mchn'!$A$4:$C$170,2,0))</f>
        <v>Acier</v>
      </c>
      <c r="D2413" s="36" t="str">
        <f>IF(ISNA(VLOOKUP(Tableau13[[#This Row],[Code machine]],'CODE mchn'!$A$4:$C$170,3,0)),"",VLOOKUP(Tableau13[[#This Row],[Code machine]],'CODE mchn'!$A$4:$C$170,3,0))</f>
        <v>Vitari 1</v>
      </c>
      <c r="E2413" s="105">
        <v>29805</v>
      </c>
      <c r="F2413" s="36"/>
      <c r="G2413" s="36" t="s">
        <v>78</v>
      </c>
      <c r="H2413" s="36" t="s">
        <v>4362</v>
      </c>
      <c r="I2413" s="36" t="s">
        <v>13</v>
      </c>
      <c r="J2413" s="252" t="s">
        <v>4363</v>
      </c>
      <c r="K2413" s="71">
        <v>45073</v>
      </c>
      <c r="L2413" s="36"/>
      <c r="M2413" s="108">
        <v>60</v>
      </c>
      <c r="N2413" s="108">
        <f>MONTH(Tableau13[[#This Row],[Date fin intervention]])</f>
        <v>5</v>
      </c>
      <c r="O2413" s="108">
        <f>YEAR(Tableau13[[#This Row],[Date fin intervention]])</f>
        <v>2023</v>
      </c>
      <c r="P2413" s="36"/>
    </row>
    <row r="2414" spans="1:16">
      <c r="A2414" s="104">
        <v>45075</v>
      </c>
      <c r="B2414" s="105">
        <v>605</v>
      </c>
      <c r="C2414" s="106" t="str">
        <f>IF(ISNA(VLOOKUP(Tableau13[[#This Row],[Code machine]],'CODE mchn'!$A$4:$C$170,2,0)),"",VLOOKUP(Tableau13[[#This Row],[Code machine]],'CODE mchn'!$A$4:$C$170,2,0))</f>
        <v>Acier</v>
      </c>
      <c r="D2414" s="36" t="str">
        <f>IF(ISNA(VLOOKUP(Tableau13[[#This Row],[Code machine]],'CODE mchn'!$A$4:$C$170,3,0)),"",VLOOKUP(Tableau13[[#This Row],[Code machine]],'CODE mchn'!$A$4:$C$170,3,0))</f>
        <v>Vitari 1</v>
      </c>
      <c r="E2414" s="105">
        <v>29806</v>
      </c>
      <c r="F2414" s="36"/>
      <c r="G2414" s="36" t="s">
        <v>78</v>
      </c>
      <c r="H2414" s="36" t="s">
        <v>4364</v>
      </c>
      <c r="I2414" s="36" t="s">
        <v>13</v>
      </c>
      <c r="J2414" s="252" t="s">
        <v>4363</v>
      </c>
      <c r="K2414" s="71">
        <v>45075</v>
      </c>
      <c r="L2414" s="36"/>
      <c r="M2414" s="108">
        <v>20</v>
      </c>
      <c r="N2414" s="108">
        <f>MONTH(Tableau13[[#This Row],[Date fin intervention]])</f>
        <v>5</v>
      </c>
      <c r="O2414" s="108">
        <f>YEAR(Tableau13[[#This Row],[Date fin intervention]])</f>
        <v>2023</v>
      </c>
      <c r="P2414" s="36"/>
    </row>
    <row r="2415" spans="1:16">
      <c r="A2415" s="104">
        <v>45076</v>
      </c>
      <c r="B2415" s="105">
        <v>800</v>
      </c>
      <c r="C2415" s="106" t="str">
        <f>IF(ISNA(VLOOKUP(Tableau13[[#This Row],[Code machine]],'CODE mchn'!$A$4:$C$170,2,0)),"",VLOOKUP(Tableau13[[#This Row],[Code machine]],'CODE mchn'!$A$4:$C$170,2,0))</f>
        <v>Béton</v>
      </c>
      <c r="D2415" s="36" t="str">
        <f>IF(ISNA(VLOOKUP(Tableau13[[#This Row],[Code machine]],'CODE mchn'!$A$4:$C$170,3,0)),"",VLOOKUP(Tableau13[[#This Row],[Code machine]],'CODE mchn'!$A$4:$C$170,3,0))</f>
        <v>Poyatos 2</v>
      </c>
      <c r="E2415" s="105">
        <v>29539</v>
      </c>
      <c r="F2415" s="36"/>
      <c r="G2415" s="36" t="s">
        <v>2951</v>
      </c>
      <c r="H2415" s="36" t="s">
        <v>4357</v>
      </c>
      <c r="I2415" s="36" t="s">
        <v>13</v>
      </c>
      <c r="J2415" s="252" t="s">
        <v>4358</v>
      </c>
      <c r="K2415" s="71">
        <v>45076</v>
      </c>
      <c r="L2415" s="36"/>
      <c r="M2415" s="108">
        <v>150</v>
      </c>
      <c r="N2415" s="108">
        <f>MONTH(Tableau13[[#This Row],[Date fin intervention]])</f>
        <v>5</v>
      </c>
      <c r="O2415" s="108">
        <f>YEAR(Tableau13[[#This Row],[Date fin intervention]])</f>
        <v>2023</v>
      </c>
      <c r="P2415" s="36"/>
    </row>
    <row r="2416" spans="1:16" ht="28.5">
      <c r="A2416" s="104">
        <v>45076</v>
      </c>
      <c r="B2416" s="105">
        <v>562</v>
      </c>
      <c r="C2416" s="106" t="str">
        <f>IF(ISNA(VLOOKUP(Tableau13[[#This Row],[Code machine]],'CODE mchn'!$A$4:$C$170,2,0)),"",VLOOKUP(Tableau13[[#This Row],[Code machine]],'CODE mchn'!$A$4:$C$170,2,0))</f>
        <v>Ponts roulants</v>
      </c>
      <c r="D2416" s="36" t="str">
        <f>IF(ISNA(VLOOKUP(Tableau13[[#This Row],[Code machine]],'CODE mchn'!$A$4:$C$170,3,0)),"",VLOOKUP(Tableau13[[#This Row],[Code machine]],'CODE mchn'!$A$4:$C$170,3,0))</f>
        <v>Pont roulant GH Beasain 12T</v>
      </c>
      <c r="E2416" s="105">
        <v>29807</v>
      </c>
      <c r="F2416" s="36"/>
      <c r="G2416" s="36" t="s">
        <v>4288</v>
      </c>
      <c r="H2416" s="36" t="s">
        <v>2623</v>
      </c>
      <c r="I2416" s="36" t="s">
        <v>13</v>
      </c>
      <c r="J2416" s="252" t="s">
        <v>4365</v>
      </c>
      <c r="K2416" s="71">
        <v>45076</v>
      </c>
      <c r="L2416" s="36"/>
      <c r="M2416" s="108">
        <v>120</v>
      </c>
      <c r="N2416" s="108">
        <f>MONTH(Tableau13[[#This Row],[Date fin intervention]])</f>
        <v>5</v>
      </c>
      <c r="O2416" s="108">
        <f>YEAR(Tableau13[[#This Row],[Date fin intervention]])</f>
        <v>2023</v>
      </c>
      <c r="P2416" s="36"/>
    </row>
    <row r="2417" spans="1:16">
      <c r="A2417" s="104">
        <v>45077</v>
      </c>
      <c r="B2417" s="105">
        <v>700</v>
      </c>
      <c r="C2417" s="106" t="str">
        <f>IF(ISNA(VLOOKUP(Tableau13[[#This Row],[Code machine]],'CODE mchn'!$A$4:$C$170,2,0)),"",VLOOKUP(Tableau13[[#This Row],[Code machine]],'CODE mchn'!$A$4:$C$170,2,0))</f>
        <v>Béton</v>
      </c>
      <c r="D2417" s="36" t="str">
        <f>IF(ISNA(VLOOKUP(Tableau13[[#This Row],[Code machine]],'CODE mchn'!$A$4:$C$170,3,0)),"",VLOOKUP(Tableau13[[#This Row],[Code machine]],'CODE mchn'!$A$4:$C$170,3,0))</f>
        <v>Poyatos 1</v>
      </c>
      <c r="E2417" s="105">
        <v>29540</v>
      </c>
      <c r="F2417" s="36"/>
      <c r="G2417" s="36" t="s">
        <v>809</v>
      </c>
      <c r="H2417" s="36" t="s">
        <v>4359</v>
      </c>
      <c r="I2417" s="36" t="s">
        <v>13</v>
      </c>
      <c r="J2417" s="252" t="s">
        <v>4360</v>
      </c>
      <c r="K2417" s="71">
        <v>45077</v>
      </c>
      <c r="L2417" s="36"/>
      <c r="M2417" s="108">
        <v>60</v>
      </c>
      <c r="N2417" s="108">
        <f>MONTH(Tableau13[[#This Row],[Date fin intervention]])</f>
        <v>5</v>
      </c>
      <c r="O2417" s="108">
        <f>YEAR(Tableau13[[#This Row],[Date fin intervention]])</f>
        <v>2023</v>
      </c>
      <c r="P2417" s="36"/>
    </row>
    <row r="2418" spans="1:16">
      <c r="A2418" s="104">
        <v>45077</v>
      </c>
      <c r="B2418" s="105">
        <v>700</v>
      </c>
      <c r="C2418" s="106" t="str">
        <f>IF(ISNA(VLOOKUP(Tableau13[[#This Row],[Code machine]],'CODE mchn'!$A$4:$C$170,2,0)),"",VLOOKUP(Tableau13[[#This Row],[Code machine]],'CODE mchn'!$A$4:$C$170,2,0))</f>
        <v>Béton</v>
      </c>
      <c r="D2418" s="36" t="str">
        <f>IF(ISNA(VLOOKUP(Tableau13[[#This Row],[Code machine]],'CODE mchn'!$A$4:$C$170,3,0)),"",VLOOKUP(Tableau13[[#This Row],[Code machine]],'CODE mchn'!$A$4:$C$170,3,0))</f>
        <v>Poyatos 1</v>
      </c>
      <c r="E2418" s="105">
        <v>29541</v>
      </c>
      <c r="F2418" s="36"/>
      <c r="G2418" s="36" t="s">
        <v>375</v>
      </c>
      <c r="H2418" s="36" t="s">
        <v>689</v>
      </c>
      <c r="I2418" s="36" t="s">
        <v>13</v>
      </c>
      <c r="J2418" s="252" t="s">
        <v>4361</v>
      </c>
      <c r="K2418" s="71">
        <v>45077</v>
      </c>
      <c r="L2418" s="36"/>
      <c r="M2418" s="108">
        <v>60</v>
      </c>
      <c r="N2418" s="108">
        <f>MONTH(Tableau13[[#This Row],[Date fin intervention]])</f>
        <v>5</v>
      </c>
      <c r="O2418" s="108">
        <f>YEAR(Tableau13[[#This Row],[Date fin intervention]])</f>
        <v>2023</v>
      </c>
      <c r="P2418" s="36"/>
    </row>
    <row r="2419" spans="1:16">
      <c r="A2419" s="238">
        <v>45078</v>
      </c>
      <c r="B2419" s="239">
        <v>700</v>
      </c>
      <c r="C2419" s="240" t="str">
        <f>IF(ISNA(VLOOKUP(Tableau13[[#This Row],[Code machine]],'CODE mchn'!$A$4:$C$170,2,0)),"",VLOOKUP(Tableau13[[#This Row],[Code machine]],'CODE mchn'!$A$4:$C$170,2,0))</f>
        <v>Béton</v>
      </c>
      <c r="D2419" s="241" t="str">
        <f>IF(ISNA(VLOOKUP(Tableau13[[#This Row],[Code machine]],'CODE mchn'!$A$4:$C$170,3,0)),"",VLOOKUP(Tableau13[[#This Row],[Code machine]],'CODE mchn'!$A$4:$C$170,3,0))</f>
        <v>Poyatos 1</v>
      </c>
      <c r="E2419" s="239">
        <v>29542</v>
      </c>
      <c r="F2419" s="241"/>
      <c r="G2419" s="241" t="s">
        <v>4366</v>
      </c>
      <c r="H2419" s="241" t="s">
        <v>2915</v>
      </c>
      <c r="I2419" s="241" t="s">
        <v>13</v>
      </c>
      <c r="J2419" s="249" t="s">
        <v>4367</v>
      </c>
      <c r="K2419" s="242">
        <v>45078</v>
      </c>
      <c r="L2419" s="241"/>
      <c r="M2419" s="243">
        <v>120</v>
      </c>
      <c r="N2419" s="243">
        <f>MONTH(Tableau13[[#This Row],[Date fin intervention]])</f>
        <v>6</v>
      </c>
      <c r="O2419" s="243">
        <f>YEAR(Tableau13[[#This Row],[Date fin intervention]])</f>
        <v>2023</v>
      </c>
      <c r="P2419" s="241"/>
    </row>
    <row r="2420" spans="1:16">
      <c r="A2420" s="238">
        <v>45078</v>
      </c>
      <c r="B2420" s="239">
        <v>606</v>
      </c>
      <c r="C2420" s="240" t="str">
        <f>IF(ISNA(VLOOKUP(Tableau13[[#This Row],[Code machine]],'CODE mchn'!$A$4:$C$170,2,0)),"",VLOOKUP(Tableau13[[#This Row],[Code machine]],'CODE mchn'!$A$4:$C$170,2,0))</f>
        <v>Acier</v>
      </c>
      <c r="D2420" s="241" t="str">
        <f>IF(ISNA(VLOOKUP(Tableau13[[#This Row],[Code machine]],'CODE mchn'!$A$4:$C$170,3,0)),"",VLOOKUP(Tableau13[[#This Row],[Code machine]],'CODE mchn'!$A$4:$C$170,3,0))</f>
        <v>Vitari 2</v>
      </c>
      <c r="E2420" s="239">
        <v>29809</v>
      </c>
      <c r="F2420" s="241"/>
      <c r="G2420" s="241" t="s">
        <v>3127</v>
      </c>
      <c r="H2420" s="241" t="s">
        <v>4413</v>
      </c>
      <c r="I2420" s="241" t="s">
        <v>13</v>
      </c>
      <c r="J2420" s="249" t="s">
        <v>4304</v>
      </c>
      <c r="K2420" s="242">
        <v>45078</v>
      </c>
      <c r="L2420" s="241"/>
      <c r="M2420" s="243">
        <v>60</v>
      </c>
      <c r="N2420" s="243">
        <f>MONTH(Tableau13[[#This Row],[Date fin intervention]])</f>
        <v>6</v>
      </c>
      <c r="O2420" s="243">
        <f>YEAR(Tableau13[[#This Row],[Date fin intervention]])</f>
        <v>2023</v>
      </c>
      <c r="P2420" s="241"/>
    </row>
    <row r="2421" spans="1:16">
      <c r="A2421" s="238">
        <v>45078</v>
      </c>
      <c r="B2421" s="239">
        <v>582</v>
      </c>
      <c r="C2421" s="240" t="str">
        <f>IF(ISNA(VLOOKUP(Tableau13[[#This Row],[Code machine]],'CODE mchn'!$A$4:$C$170,2,0)),"",VLOOKUP(Tableau13[[#This Row],[Code machine]],'CODE mchn'!$A$4:$C$170,2,0))</f>
        <v>Acier</v>
      </c>
      <c r="D2421" s="241" t="str">
        <f>IF(ISNA(VLOOKUP(Tableau13[[#This Row],[Code machine]],'CODE mchn'!$A$4:$C$170,3,0)),"",VLOOKUP(Tableau13[[#This Row],[Code machine]],'CODE mchn'!$A$4:$C$170,3,0))</f>
        <v>Teurema 2</v>
      </c>
      <c r="E2421" s="239"/>
      <c r="F2421" s="241"/>
      <c r="G2421" s="241"/>
      <c r="H2421" s="241" t="s">
        <v>4424</v>
      </c>
      <c r="I2421" s="241" t="s">
        <v>13</v>
      </c>
      <c r="J2421" s="249" t="s">
        <v>4425</v>
      </c>
      <c r="K2421" s="242">
        <v>45107</v>
      </c>
      <c r="L2421" s="241"/>
      <c r="M2421" s="243">
        <f>8*60*26</f>
        <v>12480</v>
      </c>
      <c r="N2421" s="243">
        <f>MONTH(Tableau13[[#This Row],[Date fin intervention]])</f>
        <v>6</v>
      </c>
      <c r="O2421" s="243">
        <f>YEAR(Tableau13[[#This Row],[Date fin intervention]])</f>
        <v>2023</v>
      </c>
      <c r="P2421" s="241"/>
    </row>
    <row r="2422" spans="1:16">
      <c r="A2422" s="238">
        <v>45079</v>
      </c>
      <c r="B2422" s="239">
        <v>700</v>
      </c>
      <c r="C2422" s="240" t="str">
        <f>IF(ISNA(VLOOKUP(Tableau13[[#This Row],[Code machine]],'CODE mchn'!$A$4:$C$170,2,0)),"",VLOOKUP(Tableau13[[#This Row],[Code machine]],'CODE mchn'!$A$4:$C$170,2,0))</f>
        <v>Béton</v>
      </c>
      <c r="D2422" s="241" t="str">
        <f>IF(ISNA(VLOOKUP(Tableau13[[#This Row],[Code machine]],'CODE mchn'!$A$4:$C$170,3,0)),"",VLOOKUP(Tableau13[[#This Row],[Code machine]],'CODE mchn'!$A$4:$C$170,3,0))</f>
        <v>Poyatos 1</v>
      </c>
      <c r="E2422" s="239">
        <v>29543</v>
      </c>
      <c r="F2422" s="241"/>
      <c r="G2422" s="241" t="s">
        <v>46</v>
      </c>
      <c r="H2422" s="241" t="s">
        <v>4368</v>
      </c>
      <c r="I2422" s="241" t="s">
        <v>13</v>
      </c>
      <c r="J2422" s="249" t="s">
        <v>4369</v>
      </c>
      <c r="K2422" s="242">
        <v>45079</v>
      </c>
      <c r="L2422" s="241"/>
      <c r="M2422" s="243">
        <v>45</v>
      </c>
      <c r="N2422" s="243">
        <f>MONTH(Tableau13[[#This Row],[Date fin intervention]])</f>
        <v>6</v>
      </c>
      <c r="O2422" s="243">
        <f>YEAR(Tableau13[[#This Row],[Date fin intervention]])</f>
        <v>2023</v>
      </c>
      <c r="P2422" s="241"/>
    </row>
    <row r="2423" spans="1:16">
      <c r="A2423" s="238">
        <v>45080</v>
      </c>
      <c r="B2423" s="239">
        <v>700</v>
      </c>
      <c r="C2423" s="240" t="str">
        <f>IF(ISNA(VLOOKUP(Tableau13[[#This Row],[Code machine]],'CODE mchn'!$A$4:$C$170,2,0)),"",VLOOKUP(Tableau13[[#This Row],[Code machine]],'CODE mchn'!$A$4:$C$170,2,0))</f>
        <v>Béton</v>
      </c>
      <c r="D2423" s="241" t="str">
        <f>IF(ISNA(VLOOKUP(Tableau13[[#This Row],[Code machine]],'CODE mchn'!$A$4:$C$170,3,0)),"",VLOOKUP(Tableau13[[#This Row],[Code machine]],'CODE mchn'!$A$4:$C$170,3,0))</f>
        <v>Poyatos 1</v>
      </c>
      <c r="E2423" s="239">
        <v>29545</v>
      </c>
      <c r="F2423" s="241"/>
      <c r="G2423" s="241" t="s">
        <v>291</v>
      </c>
      <c r="H2423" s="241" t="s">
        <v>4370</v>
      </c>
      <c r="I2423" s="241" t="s">
        <v>13</v>
      </c>
      <c r="J2423" s="249" t="s">
        <v>4371</v>
      </c>
      <c r="K2423" s="242">
        <v>45080</v>
      </c>
      <c r="L2423" s="241"/>
      <c r="M2423" s="243">
        <v>90</v>
      </c>
      <c r="N2423" s="243">
        <f>MONTH(Tableau13[[#This Row],[Date fin intervention]])</f>
        <v>6</v>
      </c>
      <c r="O2423" s="243">
        <f>YEAR(Tableau13[[#This Row],[Date fin intervention]])</f>
        <v>2023</v>
      </c>
      <c r="P2423" s="241"/>
    </row>
    <row r="2424" spans="1:16">
      <c r="A2424" s="238">
        <v>45081</v>
      </c>
      <c r="B2424" s="239">
        <v>590</v>
      </c>
      <c r="C2424" s="240" t="str">
        <f>IF(ISNA(VLOOKUP(Tableau13[[#This Row],[Code machine]],'CODE mchn'!$A$4:$C$170,2,0)),"",VLOOKUP(Tableau13[[#This Row],[Code machine]],'CODE mchn'!$A$4:$C$170,2,0))</f>
        <v>Acier</v>
      </c>
      <c r="D2424" s="241" t="str">
        <f>IF(ISNA(VLOOKUP(Tableau13[[#This Row],[Code machine]],'CODE mchn'!$A$4:$C$170,3,0)),"",VLOOKUP(Tableau13[[#This Row],[Code machine]],'CODE mchn'!$A$4:$C$170,3,0))</f>
        <v>Teurema 3</v>
      </c>
      <c r="E2424" s="239">
        <v>29960</v>
      </c>
      <c r="F2424" s="241"/>
      <c r="G2424" s="241"/>
      <c r="H2424" s="241"/>
      <c r="I2424" s="241"/>
      <c r="J2424" s="249"/>
      <c r="K2424" s="242"/>
      <c r="L2424" s="241"/>
      <c r="M2424" s="243"/>
      <c r="N2424" s="243">
        <f>MONTH(Tableau13[[#This Row],[Date fin intervention]])</f>
        <v>1</v>
      </c>
      <c r="O2424" s="243">
        <f>YEAR(Tableau13[[#This Row],[Date fin intervention]])</f>
        <v>1900</v>
      </c>
      <c r="P2424" s="241"/>
    </row>
    <row r="2425" spans="1:16">
      <c r="A2425" s="238">
        <v>45082</v>
      </c>
      <c r="B2425" s="239">
        <v>700</v>
      </c>
      <c r="C2425" s="240" t="str">
        <f>IF(ISNA(VLOOKUP(Tableau13[[#This Row],[Code machine]],'CODE mchn'!$A$4:$C$170,2,0)),"",VLOOKUP(Tableau13[[#This Row],[Code machine]],'CODE mchn'!$A$4:$C$170,2,0))</f>
        <v>Béton</v>
      </c>
      <c r="D2425" s="241" t="str">
        <f>IF(ISNA(VLOOKUP(Tableau13[[#This Row],[Code machine]],'CODE mchn'!$A$4:$C$170,3,0)),"",VLOOKUP(Tableau13[[#This Row],[Code machine]],'CODE mchn'!$A$4:$C$170,3,0))</f>
        <v>Poyatos 1</v>
      </c>
      <c r="E2425" s="239">
        <v>29546</v>
      </c>
      <c r="F2425" s="241"/>
      <c r="G2425" s="241" t="s">
        <v>291</v>
      </c>
      <c r="H2425" s="241" t="s">
        <v>4372</v>
      </c>
      <c r="I2425" s="241" t="s">
        <v>13</v>
      </c>
      <c r="J2425" s="249" t="s">
        <v>4373</v>
      </c>
      <c r="K2425" s="242">
        <v>45082</v>
      </c>
      <c r="L2425" s="241"/>
      <c r="M2425" s="243">
        <v>30</v>
      </c>
      <c r="N2425" s="243">
        <f>MONTH(Tableau13[[#This Row],[Date fin intervention]])</f>
        <v>6</v>
      </c>
      <c r="O2425" s="243">
        <f>YEAR(Tableau13[[#This Row],[Date fin intervention]])</f>
        <v>2023</v>
      </c>
      <c r="P2425" s="241"/>
    </row>
    <row r="2426" spans="1:16">
      <c r="A2426" s="238">
        <v>45083</v>
      </c>
      <c r="B2426" s="239">
        <v>800</v>
      </c>
      <c r="C2426" s="240" t="str">
        <f>IF(ISNA(VLOOKUP(Tableau13[[#This Row],[Code machine]],'CODE mchn'!$A$4:$C$170,2,0)),"",VLOOKUP(Tableau13[[#This Row],[Code machine]],'CODE mchn'!$A$4:$C$170,2,0))</f>
        <v>Béton</v>
      </c>
      <c r="D2426" s="241" t="str">
        <f>IF(ISNA(VLOOKUP(Tableau13[[#This Row],[Code machine]],'CODE mchn'!$A$4:$C$170,3,0)),"",VLOOKUP(Tableau13[[#This Row],[Code machine]],'CODE mchn'!$A$4:$C$170,3,0))</f>
        <v>Poyatos 2</v>
      </c>
      <c r="E2426" s="239">
        <v>29547</v>
      </c>
      <c r="F2426" s="241"/>
      <c r="G2426" s="241" t="s">
        <v>291</v>
      </c>
      <c r="H2426" s="241" t="s">
        <v>4009</v>
      </c>
      <c r="I2426" s="241" t="s">
        <v>13</v>
      </c>
      <c r="J2426" s="249" t="s">
        <v>4374</v>
      </c>
      <c r="K2426" s="242">
        <v>45083</v>
      </c>
      <c r="L2426" s="241"/>
      <c r="M2426" s="243">
        <v>100</v>
      </c>
      <c r="N2426" s="243">
        <f>MONTH(Tableau13[[#This Row],[Date fin intervention]])</f>
        <v>6</v>
      </c>
      <c r="O2426" s="243">
        <f>YEAR(Tableau13[[#This Row],[Date fin intervention]])</f>
        <v>2023</v>
      </c>
      <c r="P2426" s="241"/>
    </row>
    <row r="2427" spans="1:16">
      <c r="A2427" s="238">
        <v>45085</v>
      </c>
      <c r="B2427" s="239">
        <v>800</v>
      </c>
      <c r="C2427" s="240" t="str">
        <f>IF(ISNA(VLOOKUP(Tableau13[[#This Row],[Code machine]],'CODE mchn'!$A$4:$C$170,2,0)),"",VLOOKUP(Tableau13[[#This Row],[Code machine]],'CODE mchn'!$A$4:$C$170,2,0))</f>
        <v>Béton</v>
      </c>
      <c r="D2427" s="241" t="str">
        <f>IF(ISNA(VLOOKUP(Tableau13[[#This Row],[Code machine]],'CODE mchn'!$A$4:$C$170,3,0)),"",VLOOKUP(Tableau13[[#This Row],[Code machine]],'CODE mchn'!$A$4:$C$170,3,0))</f>
        <v>Poyatos 2</v>
      </c>
      <c r="E2427" s="239">
        <v>29549</v>
      </c>
      <c r="F2427" s="241"/>
      <c r="G2427" s="241" t="s">
        <v>118</v>
      </c>
      <c r="H2427" s="241" t="s">
        <v>4375</v>
      </c>
      <c r="I2427" s="241" t="s">
        <v>13</v>
      </c>
      <c r="J2427" s="249" t="s">
        <v>4376</v>
      </c>
      <c r="K2427" s="242">
        <v>45085</v>
      </c>
      <c r="L2427" s="241"/>
      <c r="M2427" s="243">
        <v>40</v>
      </c>
      <c r="N2427" s="243">
        <f>MONTH(Tableau13[[#This Row],[Date fin intervention]])</f>
        <v>6</v>
      </c>
      <c r="O2427" s="243">
        <f>YEAR(Tableau13[[#This Row],[Date fin intervention]])</f>
        <v>2023</v>
      </c>
      <c r="P2427" s="241"/>
    </row>
    <row r="2428" spans="1:16">
      <c r="A2428" s="238">
        <v>45086</v>
      </c>
      <c r="B2428" s="239">
        <v>560</v>
      </c>
      <c r="C2428" s="240" t="str">
        <f>IF(ISNA(VLOOKUP(Tableau13[[#This Row],[Code machine]],'CODE mchn'!$A$4:$C$170,2,0)),"",VLOOKUP(Tableau13[[#This Row],[Code machine]],'CODE mchn'!$A$4:$C$170,2,0))</f>
        <v>Acier</v>
      </c>
      <c r="D2428" s="241" t="str">
        <f>IF(ISNA(VLOOKUP(Tableau13[[#This Row],[Code machine]],'CODE mchn'!$A$4:$C$170,3,0)),"",VLOOKUP(Tableau13[[#This Row],[Code machine]],'CODE mchn'!$A$4:$C$170,3,0))</f>
        <v>Schlatter</v>
      </c>
      <c r="E2428" s="239">
        <v>29814</v>
      </c>
      <c r="F2428" s="241"/>
      <c r="G2428" s="241" t="s">
        <v>2243</v>
      </c>
      <c r="H2428" s="241" t="s">
        <v>4414</v>
      </c>
      <c r="I2428" s="241" t="s">
        <v>13</v>
      </c>
      <c r="J2428" s="249" t="s">
        <v>4415</v>
      </c>
      <c r="K2428" s="242">
        <v>45086</v>
      </c>
      <c r="L2428" s="241"/>
      <c r="M2428" s="243">
        <v>30</v>
      </c>
      <c r="N2428" s="243">
        <f>MONTH(Tableau13[[#This Row],[Date fin intervention]])</f>
        <v>6</v>
      </c>
      <c r="O2428" s="243">
        <f>YEAR(Tableau13[[#This Row],[Date fin intervention]])</f>
        <v>2023</v>
      </c>
      <c r="P2428" s="241"/>
    </row>
    <row r="2429" spans="1:16">
      <c r="A2429" s="238">
        <v>45087</v>
      </c>
      <c r="B2429" s="239">
        <v>565</v>
      </c>
      <c r="C2429" s="240" t="str">
        <f>IF(ISNA(VLOOKUP(Tableau13[[#This Row],[Code machine]],'CODE mchn'!$A$4:$C$170,2,0)),"",VLOOKUP(Tableau13[[#This Row],[Code machine]],'CODE mchn'!$A$4:$C$170,2,0))</f>
        <v>Acier</v>
      </c>
      <c r="D2429" s="241" t="str">
        <f>IF(ISNA(VLOOKUP(Tableau13[[#This Row],[Code machine]],'CODE mchn'!$A$4:$C$170,3,0)),"",VLOOKUP(Tableau13[[#This Row],[Code machine]],'CODE mchn'!$A$4:$C$170,3,0))</f>
        <v>EVG GE12</v>
      </c>
      <c r="E2429" s="239">
        <v>29815</v>
      </c>
      <c r="F2429" s="241"/>
      <c r="G2429" s="241" t="s">
        <v>2243</v>
      </c>
      <c r="H2429" s="241" t="s">
        <v>1147</v>
      </c>
      <c r="I2429" s="241" t="s">
        <v>13</v>
      </c>
      <c r="J2429" s="249" t="s">
        <v>4416</v>
      </c>
      <c r="K2429" s="242">
        <v>45087</v>
      </c>
      <c r="L2429" s="241"/>
      <c r="M2429" s="243">
        <v>120</v>
      </c>
      <c r="N2429" s="243">
        <f>MONTH(Tableau13[[#This Row],[Date fin intervention]])</f>
        <v>6</v>
      </c>
      <c r="O2429" s="243">
        <f>YEAR(Tableau13[[#This Row],[Date fin intervention]])</f>
        <v>2023</v>
      </c>
      <c r="P2429" s="241"/>
    </row>
    <row r="2430" spans="1:16">
      <c r="A2430" s="238">
        <v>45089</v>
      </c>
      <c r="B2430" s="239">
        <v>800</v>
      </c>
      <c r="C2430" s="240" t="str">
        <f>IF(ISNA(VLOOKUP(Tableau13[[#This Row],[Code machine]],'CODE mchn'!$A$4:$C$170,2,0)),"",VLOOKUP(Tableau13[[#This Row],[Code machine]],'CODE mchn'!$A$4:$C$170,2,0))</f>
        <v>Béton</v>
      </c>
      <c r="D2430" s="241" t="str">
        <f>IF(ISNA(VLOOKUP(Tableau13[[#This Row],[Code machine]],'CODE mchn'!$A$4:$C$170,3,0)),"",VLOOKUP(Tableau13[[#This Row],[Code machine]],'CODE mchn'!$A$4:$C$170,3,0))</f>
        <v>Poyatos 2</v>
      </c>
      <c r="E2430" s="239">
        <v>26351</v>
      </c>
      <c r="F2430" s="241"/>
      <c r="G2430" s="241" t="s">
        <v>809</v>
      </c>
      <c r="H2430" s="241" t="s">
        <v>4377</v>
      </c>
      <c r="I2430" s="241" t="s">
        <v>13</v>
      </c>
      <c r="J2430" s="249" t="s">
        <v>1724</v>
      </c>
      <c r="K2430" s="242">
        <v>45089</v>
      </c>
      <c r="L2430" s="241"/>
      <c r="M2430" s="243">
        <v>60</v>
      </c>
      <c r="N2430" s="243">
        <f>MONTH(Tableau13[[#This Row],[Date fin intervention]])</f>
        <v>6</v>
      </c>
      <c r="O2430" s="243">
        <f>YEAR(Tableau13[[#This Row],[Date fin intervention]])</f>
        <v>2023</v>
      </c>
      <c r="P2430" s="241"/>
    </row>
    <row r="2431" spans="1:16">
      <c r="A2431" s="238">
        <v>45090</v>
      </c>
      <c r="B2431" s="239">
        <v>800</v>
      </c>
      <c r="C2431" s="240" t="str">
        <f>IF(ISNA(VLOOKUP(Tableau13[[#This Row],[Code machine]],'CODE mchn'!$A$4:$C$170,2,0)),"",VLOOKUP(Tableau13[[#This Row],[Code machine]],'CODE mchn'!$A$4:$C$170,2,0))</f>
        <v>Béton</v>
      </c>
      <c r="D2431" s="241" t="str">
        <f>IF(ISNA(VLOOKUP(Tableau13[[#This Row],[Code machine]],'CODE mchn'!$A$4:$C$170,3,0)),"",VLOOKUP(Tableau13[[#This Row],[Code machine]],'CODE mchn'!$A$4:$C$170,3,0))</f>
        <v>Poyatos 2</v>
      </c>
      <c r="E2431" s="239">
        <v>26352</v>
      </c>
      <c r="F2431" s="241"/>
      <c r="G2431" s="241" t="s">
        <v>128</v>
      </c>
      <c r="H2431" s="241" t="s">
        <v>4378</v>
      </c>
      <c r="I2431" s="241" t="s">
        <v>13</v>
      </c>
      <c r="J2431" s="249" t="s">
        <v>1837</v>
      </c>
      <c r="K2431" s="242">
        <v>45090</v>
      </c>
      <c r="L2431" s="241"/>
      <c r="M2431" s="243">
        <f>3*60+40</f>
        <v>220</v>
      </c>
      <c r="N2431" s="243">
        <f>MONTH(Tableau13[[#This Row],[Date fin intervention]])</f>
        <v>6</v>
      </c>
      <c r="O2431" s="243">
        <f>YEAR(Tableau13[[#This Row],[Date fin intervention]])</f>
        <v>2023</v>
      </c>
      <c r="P2431" s="241"/>
    </row>
    <row r="2432" spans="1:16">
      <c r="A2432" s="238">
        <v>45090</v>
      </c>
      <c r="B2432" s="239">
        <v>533</v>
      </c>
      <c r="C2432" s="240" t="str">
        <f>IF(ISNA(VLOOKUP(Tableau13[[#This Row],[Code machine]],'CODE mchn'!$A$4:$C$170,2,0)),"",VLOOKUP(Tableau13[[#This Row],[Code machine]],'CODE mchn'!$A$4:$C$170,2,0))</f>
        <v>Enrobage</v>
      </c>
      <c r="D2432" s="241" t="str">
        <f>IF(ISNA(VLOOKUP(Tableau13[[#This Row],[Code machine]],'CODE mchn'!$A$4:$C$170,3,0)),"",VLOOKUP(Tableau13[[#This Row],[Code machine]],'CODE mchn'!$A$4:$C$170,3,0))</f>
        <v>CAROSSEL</v>
      </c>
      <c r="E2432" s="239">
        <v>29817</v>
      </c>
      <c r="F2432" s="241"/>
      <c r="G2432" s="241" t="s">
        <v>118</v>
      </c>
      <c r="H2432" s="241" t="s">
        <v>3663</v>
      </c>
      <c r="I2432" s="241" t="s">
        <v>13</v>
      </c>
      <c r="J2432" s="249" t="s">
        <v>4417</v>
      </c>
      <c r="K2432" s="242">
        <v>45090</v>
      </c>
      <c r="L2432" s="241"/>
      <c r="M2432" s="243">
        <v>120</v>
      </c>
      <c r="N2432" s="243">
        <f>MONTH(Tableau13[[#This Row],[Date fin intervention]])</f>
        <v>6</v>
      </c>
      <c r="O2432" s="243">
        <f>YEAR(Tableau13[[#This Row],[Date fin intervention]])</f>
        <v>2023</v>
      </c>
      <c r="P2432" s="241"/>
    </row>
    <row r="2433" spans="1:16">
      <c r="A2433" s="238">
        <v>45093</v>
      </c>
      <c r="B2433" s="239">
        <v>700</v>
      </c>
      <c r="C2433" s="240" t="str">
        <f>IF(ISNA(VLOOKUP(Tableau13[[#This Row],[Code machine]],'CODE mchn'!$A$4:$C$170,2,0)),"",VLOOKUP(Tableau13[[#This Row],[Code machine]],'CODE mchn'!$A$4:$C$170,2,0))</f>
        <v>Béton</v>
      </c>
      <c r="D2433" s="241" t="str">
        <f>IF(ISNA(VLOOKUP(Tableau13[[#This Row],[Code machine]],'CODE mchn'!$A$4:$C$170,3,0)),"",VLOOKUP(Tableau13[[#This Row],[Code machine]],'CODE mchn'!$A$4:$C$170,3,0))</f>
        <v>Poyatos 1</v>
      </c>
      <c r="E2433" s="239">
        <v>26354</v>
      </c>
      <c r="F2433" s="241"/>
      <c r="G2433" s="241" t="s">
        <v>1905</v>
      </c>
      <c r="H2433" s="241" t="s">
        <v>810</v>
      </c>
      <c r="I2433" s="241" t="s">
        <v>101</v>
      </c>
      <c r="J2433" s="249" t="s">
        <v>4379</v>
      </c>
      <c r="K2433" s="242">
        <v>45093</v>
      </c>
      <c r="L2433" s="241"/>
      <c r="M2433" s="243">
        <v>90</v>
      </c>
      <c r="N2433" s="243">
        <f>MONTH(Tableau13[[#This Row],[Date fin intervention]])</f>
        <v>6</v>
      </c>
      <c r="O2433" s="243">
        <f>YEAR(Tableau13[[#This Row],[Date fin intervention]])</f>
        <v>2023</v>
      </c>
      <c r="P2433" s="241"/>
    </row>
    <row r="2434" spans="1:16">
      <c r="A2434" s="238">
        <v>45093</v>
      </c>
      <c r="B2434" s="239">
        <v>620</v>
      </c>
      <c r="C2434" s="240" t="str">
        <f>IF(ISNA(VLOOKUP(Tableau13[[#This Row],[Code machine]],'CODE mchn'!$A$4:$C$170,2,0)),"",VLOOKUP(Tableau13[[#This Row],[Code machine]],'CODE mchn'!$A$4:$C$170,2,0))</f>
        <v>Acier</v>
      </c>
      <c r="D2434" s="241" t="str">
        <f>IF(ISNA(VLOOKUP(Tableau13[[#This Row],[Code machine]],'CODE mchn'!$A$4:$C$170,3,0)),"",VLOOKUP(Tableau13[[#This Row],[Code machine]],'CODE mchn'!$A$4:$C$170,3,0))</f>
        <v>EVG PN 2</v>
      </c>
      <c r="E2434" s="239">
        <v>29819</v>
      </c>
      <c r="F2434" s="241"/>
      <c r="G2434" s="241" t="s">
        <v>4418</v>
      </c>
      <c r="H2434" s="241" t="s">
        <v>4419</v>
      </c>
      <c r="I2434" s="241" t="s">
        <v>13</v>
      </c>
      <c r="J2434" s="249" t="s">
        <v>4420</v>
      </c>
      <c r="K2434" s="242">
        <v>45091</v>
      </c>
      <c r="L2434" s="241"/>
      <c r="M2434" s="243">
        <f>8*60</f>
        <v>480</v>
      </c>
      <c r="N2434" s="243">
        <f>MONTH(Tableau13[[#This Row],[Date fin intervention]])</f>
        <v>6</v>
      </c>
      <c r="O2434" s="243">
        <f>YEAR(Tableau13[[#This Row],[Date fin intervention]])</f>
        <v>2023</v>
      </c>
      <c r="P2434" s="241"/>
    </row>
    <row r="2435" spans="1:16">
      <c r="A2435" s="238">
        <v>45099</v>
      </c>
      <c r="B2435" s="239">
        <v>800</v>
      </c>
      <c r="C2435" s="240" t="str">
        <f>IF(ISNA(VLOOKUP(Tableau13[[#This Row],[Code machine]],'CODE mchn'!$A$4:$C$170,2,0)),"",VLOOKUP(Tableau13[[#This Row],[Code machine]],'CODE mchn'!$A$4:$C$170,2,0))</f>
        <v>Béton</v>
      </c>
      <c r="D2435" s="241" t="str">
        <f>IF(ISNA(VLOOKUP(Tableau13[[#This Row],[Code machine]],'CODE mchn'!$A$4:$C$170,3,0)),"",VLOOKUP(Tableau13[[#This Row],[Code machine]],'CODE mchn'!$A$4:$C$170,3,0))</f>
        <v>Poyatos 2</v>
      </c>
      <c r="E2435" s="239">
        <v>26358</v>
      </c>
      <c r="F2435" s="241"/>
      <c r="G2435" s="241" t="s">
        <v>185</v>
      </c>
      <c r="H2435" s="241" t="s">
        <v>4380</v>
      </c>
      <c r="I2435" s="241" t="s">
        <v>13</v>
      </c>
      <c r="J2435" s="249" t="s">
        <v>4381</v>
      </c>
      <c r="K2435" s="242">
        <v>45099</v>
      </c>
      <c r="L2435" s="241"/>
      <c r="M2435" s="243">
        <v>120</v>
      </c>
      <c r="N2435" s="243">
        <f>MONTH(Tableau13[[#This Row],[Date fin intervention]])</f>
        <v>6</v>
      </c>
      <c r="O2435" s="243">
        <f>YEAR(Tableau13[[#This Row],[Date fin intervention]])</f>
        <v>2023</v>
      </c>
      <c r="P2435" s="241"/>
    </row>
    <row r="2436" spans="1:16">
      <c r="A2436" s="238">
        <v>45101</v>
      </c>
      <c r="B2436" s="239">
        <v>700</v>
      </c>
      <c r="C2436" s="240" t="str">
        <f>IF(ISNA(VLOOKUP(Tableau13[[#This Row],[Code machine]],'CODE mchn'!$A$4:$C$170,2,0)),"",VLOOKUP(Tableau13[[#This Row],[Code machine]],'CODE mchn'!$A$4:$C$170,2,0))</f>
        <v>Béton</v>
      </c>
      <c r="D2436" s="241" t="str">
        <f>IF(ISNA(VLOOKUP(Tableau13[[#This Row],[Code machine]],'CODE mchn'!$A$4:$C$170,3,0)),"",VLOOKUP(Tableau13[[#This Row],[Code machine]],'CODE mchn'!$A$4:$C$170,3,0))</f>
        <v>Poyatos 1</v>
      </c>
      <c r="E2436" s="239">
        <v>26359</v>
      </c>
      <c r="F2436" s="241"/>
      <c r="G2436" s="241" t="s">
        <v>397</v>
      </c>
      <c r="H2436" s="241" t="s">
        <v>2446</v>
      </c>
      <c r="I2436" s="241" t="s">
        <v>13</v>
      </c>
      <c r="J2436" s="249" t="s">
        <v>4166</v>
      </c>
      <c r="K2436" s="242">
        <v>45101</v>
      </c>
      <c r="L2436" s="241"/>
      <c r="M2436" s="243">
        <v>90</v>
      </c>
      <c r="N2436" s="243">
        <f>MONTH(Tableau13[[#This Row],[Date fin intervention]])</f>
        <v>6</v>
      </c>
      <c r="O2436" s="243">
        <f>YEAR(Tableau13[[#This Row],[Date fin intervention]])</f>
        <v>2023</v>
      </c>
      <c r="P2436" s="241"/>
    </row>
    <row r="2437" spans="1:16">
      <c r="A2437" s="238">
        <v>45101</v>
      </c>
      <c r="B2437" s="239">
        <v>700</v>
      </c>
      <c r="C2437" s="240" t="str">
        <f>IF(ISNA(VLOOKUP(Tableau13[[#This Row],[Code machine]],'CODE mchn'!$A$4:$C$170,2,0)),"",VLOOKUP(Tableau13[[#This Row],[Code machine]],'CODE mchn'!$A$4:$C$170,2,0))</f>
        <v>Béton</v>
      </c>
      <c r="D2437" s="241" t="str">
        <f>IF(ISNA(VLOOKUP(Tableau13[[#This Row],[Code machine]],'CODE mchn'!$A$4:$C$170,3,0)),"",VLOOKUP(Tableau13[[#This Row],[Code machine]],'CODE mchn'!$A$4:$C$170,3,0))</f>
        <v>Poyatos 1</v>
      </c>
      <c r="E2437" s="239">
        <v>26360</v>
      </c>
      <c r="F2437" s="241"/>
      <c r="G2437" s="241" t="s">
        <v>397</v>
      </c>
      <c r="H2437" s="241" t="s">
        <v>4201</v>
      </c>
      <c r="I2437" s="241" t="s">
        <v>13</v>
      </c>
      <c r="J2437" s="249" t="s">
        <v>4382</v>
      </c>
      <c r="K2437" s="242">
        <v>45101</v>
      </c>
      <c r="L2437" s="241"/>
      <c r="M2437" s="243">
        <f>13*60</f>
        <v>780</v>
      </c>
      <c r="N2437" s="243">
        <f>MONTH(Tableau13[[#This Row],[Date fin intervention]])</f>
        <v>6</v>
      </c>
      <c r="O2437" s="243">
        <f>YEAR(Tableau13[[#This Row],[Date fin intervention]])</f>
        <v>2023</v>
      </c>
      <c r="P2437" s="241"/>
    </row>
    <row r="2438" spans="1:16">
      <c r="A2438" s="238">
        <v>45108</v>
      </c>
      <c r="B2438" s="239">
        <v>582</v>
      </c>
      <c r="C2438" s="240" t="str">
        <f>IF(ISNA(VLOOKUP(Tableau13[[#This Row],[Code machine]],'CODE mchn'!$A$4:$C$170,2,0)),"",VLOOKUP(Tableau13[[#This Row],[Code machine]],'CODE mchn'!$A$4:$C$170,2,0))</f>
        <v>Acier</v>
      </c>
      <c r="D2438" s="241" t="str">
        <f>IF(ISNA(VLOOKUP(Tableau13[[#This Row],[Code machine]],'CODE mchn'!$A$4:$C$170,3,0)),"",VLOOKUP(Tableau13[[#This Row],[Code machine]],'CODE mchn'!$A$4:$C$170,3,0))</f>
        <v>Teurema 2</v>
      </c>
      <c r="E2438" s="239"/>
      <c r="F2438" s="241"/>
      <c r="G2438" s="241"/>
      <c r="H2438" s="241" t="s">
        <v>4424</v>
      </c>
      <c r="I2438" s="241" t="s">
        <v>13</v>
      </c>
      <c r="J2438" s="249" t="s">
        <v>4425</v>
      </c>
      <c r="K2438" s="242">
        <v>45138</v>
      </c>
      <c r="L2438" s="241"/>
      <c r="M2438" s="243">
        <v>12480</v>
      </c>
      <c r="N2438" s="243">
        <f>MONTH(Tableau13[[#This Row],[Date fin intervention]])</f>
        <v>7</v>
      </c>
      <c r="O2438" s="243">
        <f>YEAR(Tableau13[[#This Row],[Date fin intervention]])</f>
        <v>2023</v>
      </c>
      <c r="P2438" s="241"/>
    </row>
    <row r="2439" spans="1:16" ht="57">
      <c r="A2439" s="238">
        <v>45112</v>
      </c>
      <c r="B2439" s="239">
        <v>700</v>
      </c>
      <c r="C2439" s="240" t="str">
        <f>IF(ISNA(VLOOKUP(Tableau13[[#This Row],[Code machine]],'CODE mchn'!$A$4:$C$170,2,0)),"",VLOOKUP(Tableau13[[#This Row],[Code machine]],'CODE mchn'!$A$4:$C$170,2,0))</f>
        <v>Béton</v>
      </c>
      <c r="D2439" s="241" t="str">
        <f>IF(ISNA(VLOOKUP(Tableau13[[#This Row],[Code machine]],'CODE mchn'!$A$4:$C$170,3,0)),"",VLOOKUP(Tableau13[[#This Row],[Code machine]],'CODE mchn'!$A$4:$C$170,3,0))</f>
        <v>Poyatos 1</v>
      </c>
      <c r="E2439" s="239">
        <v>26361</v>
      </c>
      <c r="F2439" s="241"/>
      <c r="G2439" s="241" t="s">
        <v>3</v>
      </c>
      <c r="H2439" s="241" t="s">
        <v>1615</v>
      </c>
      <c r="I2439" s="241" t="s">
        <v>13</v>
      </c>
      <c r="J2439" s="249" t="s">
        <v>4383</v>
      </c>
      <c r="K2439" s="242">
        <v>45112</v>
      </c>
      <c r="L2439" s="241"/>
      <c r="M2439" s="243">
        <f>5*8*2*60</f>
        <v>4800</v>
      </c>
      <c r="N2439" s="243">
        <f>MONTH(Tableau13[[#This Row],[Date fin intervention]])</f>
        <v>7</v>
      </c>
      <c r="O2439" s="243">
        <f>YEAR(Tableau13[[#This Row],[Date fin intervention]])</f>
        <v>2023</v>
      </c>
      <c r="P2439" s="241"/>
    </row>
    <row r="2440" spans="1:16">
      <c r="A2440" s="238">
        <v>45117</v>
      </c>
      <c r="B2440" s="239">
        <v>800</v>
      </c>
      <c r="C2440" s="240" t="str">
        <f>IF(ISNA(VLOOKUP(Tableau13[[#This Row],[Code machine]],'CODE mchn'!$A$4:$C$170,2,0)),"",VLOOKUP(Tableau13[[#This Row],[Code machine]],'CODE mchn'!$A$4:$C$170,2,0))</f>
        <v>Béton</v>
      </c>
      <c r="D2440" s="241" t="str">
        <f>IF(ISNA(VLOOKUP(Tableau13[[#This Row],[Code machine]],'CODE mchn'!$A$4:$C$170,3,0)),"",VLOOKUP(Tableau13[[#This Row],[Code machine]],'CODE mchn'!$A$4:$C$170,3,0))</f>
        <v>Poyatos 2</v>
      </c>
      <c r="E2440" s="239">
        <v>26363</v>
      </c>
      <c r="F2440" s="241"/>
      <c r="G2440" s="241" t="s">
        <v>4384</v>
      </c>
      <c r="H2440" s="241" t="s">
        <v>4385</v>
      </c>
      <c r="I2440" s="241" t="s">
        <v>13</v>
      </c>
      <c r="J2440" s="249" t="s">
        <v>1901</v>
      </c>
      <c r="K2440" s="242">
        <v>45117</v>
      </c>
      <c r="L2440" s="241"/>
      <c r="M2440" s="243">
        <v>45</v>
      </c>
      <c r="N2440" s="243">
        <f>MONTH(Tableau13[[#This Row],[Date fin intervention]])</f>
        <v>7</v>
      </c>
      <c r="O2440" s="243">
        <f>YEAR(Tableau13[[#This Row],[Date fin intervention]])</f>
        <v>2023</v>
      </c>
      <c r="P2440" s="241"/>
    </row>
    <row r="2441" spans="1:16">
      <c r="A2441" s="238">
        <v>45118</v>
      </c>
      <c r="B2441" s="239">
        <v>800</v>
      </c>
      <c r="C2441" s="240" t="str">
        <f>IF(ISNA(VLOOKUP(Tableau13[[#This Row],[Code machine]],'CODE mchn'!$A$4:$C$170,2,0)),"",VLOOKUP(Tableau13[[#This Row],[Code machine]],'CODE mchn'!$A$4:$C$170,2,0))</f>
        <v>Béton</v>
      </c>
      <c r="D2441" s="241" t="str">
        <f>IF(ISNA(VLOOKUP(Tableau13[[#This Row],[Code machine]],'CODE mchn'!$A$4:$C$170,3,0)),"",VLOOKUP(Tableau13[[#This Row],[Code machine]],'CODE mchn'!$A$4:$C$170,3,0))</f>
        <v>Poyatos 2</v>
      </c>
      <c r="E2441" s="239">
        <v>26364</v>
      </c>
      <c r="F2441" s="241"/>
      <c r="G2441" s="241" t="s">
        <v>4386</v>
      </c>
      <c r="H2441" s="241" t="s">
        <v>4387</v>
      </c>
      <c r="I2441" s="241" t="s">
        <v>13</v>
      </c>
      <c r="J2441" s="241" t="s">
        <v>4387</v>
      </c>
      <c r="K2441" s="242">
        <v>45118</v>
      </c>
      <c r="L2441" s="241"/>
      <c r="M2441" s="243">
        <v>80</v>
      </c>
      <c r="N2441" s="243">
        <f>MONTH(Tableau13[[#This Row],[Date fin intervention]])</f>
        <v>7</v>
      </c>
      <c r="O2441" s="243">
        <f>YEAR(Tableau13[[#This Row],[Date fin intervention]])</f>
        <v>2023</v>
      </c>
      <c r="P2441" s="241"/>
    </row>
    <row r="2442" spans="1:16">
      <c r="A2442" s="238">
        <v>45118</v>
      </c>
      <c r="B2442" s="239">
        <v>700</v>
      </c>
      <c r="C2442" s="240" t="str">
        <f>IF(ISNA(VLOOKUP(Tableau13[[#This Row],[Code machine]],'CODE mchn'!$A$4:$C$170,2,0)),"",VLOOKUP(Tableau13[[#This Row],[Code machine]],'CODE mchn'!$A$4:$C$170,2,0))</f>
        <v>Béton</v>
      </c>
      <c r="D2442" s="241" t="str">
        <f>IF(ISNA(VLOOKUP(Tableau13[[#This Row],[Code machine]],'CODE mchn'!$A$4:$C$170,3,0)),"",VLOOKUP(Tableau13[[#This Row],[Code machine]],'CODE mchn'!$A$4:$C$170,3,0))</f>
        <v>Poyatos 1</v>
      </c>
      <c r="E2442" s="239">
        <v>26365</v>
      </c>
      <c r="F2442" s="241"/>
      <c r="G2442" s="241" t="s">
        <v>118</v>
      </c>
      <c r="H2442" s="241" t="s">
        <v>4388</v>
      </c>
      <c r="I2442" s="241" t="s">
        <v>13</v>
      </c>
      <c r="J2442" s="249" t="s">
        <v>4389</v>
      </c>
      <c r="K2442" s="242">
        <v>45118</v>
      </c>
      <c r="L2442" s="241"/>
      <c r="M2442" s="243">
        <v>210</v>
      </c>
      <c r="N2442" s="243">
        <f>MONTH(Tableau13[[#This Row],[Date fin intervention]])</f>
        <v>7</v>
      </c>
      <c r="O2442" s="243">
        <f>YEAR(Tableau13[[#This Row],[Date fin intervention]])</f>
        <v>2023</v>
      </c>
      <c r="P2442" s="241"/>
    </row>
    <row r="2443" spans="1:16">
      <c r="A2443" s="238">
        <v>45118</v>
      </c>
      <c r="B2443" s="239">
        <v>565</v>
      </c>
      <c r="C2443" s="240" t="str">
        <f>IF(ISNA(VLOOKUP(Tableau13[[#This Row],[Code machine]],'CODE mchn'!$A$4:$C$170,2,0)),"",VLOOKUP(Tableau13[[#This Row],[Code machine]],'CODE mchn'!$A$4:$C$170,2,0))</f>
        <v>Acier</v>
      </c>
      <c r="D2443" s="241" t="str">
        <f>IF(ISNA(VLOOKUP(Tableau13[[#This Row],[Code machine]],'CODE mchn'!$A$4:$C$170,3,0)),"",VLOOKUP(Tableau13[[#This Row],[Code machine]],'CODE mchn'!$A$4:$C$170,3,0))</f>
        <v>EVG GE12</v>
      </c>
      <c r="E2443" s="239">
        <v>29821</v>
      </c>
      <c r="F2443" s="241"/>
      <c r="G2443" s="241" t="s">
        <v>1101</v>
      </c>
      <c r="H2443" s="241" t="s">
        <v>4421</v>
      </c>
      <c r="I2443" s="241" t="s">
        <v>13</v>
      </c>
      <c r="J2443" s="249" t="s">
        <v>4422</v>
      </c>
      <c r="K2443" s="242">
        <v>45118</v>
      </c>
      <c r="L2443" s="241"/>
      <c r="M2443" s="243">
        <v>120</v>
      </c>
      <c r="N2443" s="243">
        <f>MONTH(Tableau13[[#This Row],[Date fin intervention]])</f>
        <v>7</v>
      </c>
      <c r="O2443" s="243">
        <f>YEAR(Tableau13[[#This Row],[Date fin intervention]])</f>
        <v>2023</v>
      </c>
      <c r="P2443" s="241"/>
    </row>
    <row r="2444" spans="1:16">
      <c r="A2444" s="238">
        <v>45119</v>
      </c>
      <c r="B2444" s="239">
        <v>800</v>
      </c>
      <c r="C2444" s="240" t="str">
        <f>IF(ISNA(VLOOKUP(Tableau13[[#This Row],[Code machine]],'CODE mchn'!$A$4:$C$170,2,0)),"",VLOOKUP(Tableau13[[#This Row],[Code machine]],'CODE mchn'!$A$4:$C$170,2,0))</f>
        <v>Béton</v>
      </c>
      <c r="D2444" s="241" t="str">
        <f>IF(ISNA(VLOOKUP(Tableau13[[#This Row],[Code machine]],'CODE mchn'!$A$4:$C$170,3,0)),"",VLOOKUP(Tableau13[[#This Row],[Code machine]],'CODE mchn'!$A$4:$C$170,3,0))</f>
        <v>Poyatos 2</v>
      </c>
      <c r="E2444" s="239">
        <v>26367</v>
      </c>
      <c r="F2444" s="241"/>
      <c r="G2444" s="241" t="s">
        <v>4390</v>
      </c>
      <c r="H2444" s="241" t="s">
        <v>4391</v>
      </c>
      <c r="I2444" s="241" t="s">
        <v>101</v>
      </c>
      <c r="J2444" s="249" t="s">
        <v>4392</v>
      </c>
      <c r="K2444" s="242">
        <v>45119</v>
      </c>
      <c r="L2444" s="241"/>
      <c r="M2444" s="243">
        <v>120</v>
      </c>
      <c r="N2444" s="243">
        <f>MONTH(Tableau13[[#This Row],[Date fin intervention]])</f>
        <v>7</v>
      </c>
      <c r="O2444" s="243">
        <f>YEAR(Tableau13[[#This Row],[Date fin intervention]])</f>
        <v>2023</v>
      </c>
      <c r="P2444" s="241"/>
    </row>
    <row r="2445" spans="1:16">
      <c r="A2445" s="238">
        <v>45119</v>
      </c>
      <c r="B2445" s="239">
        <v>700</v>
      </c>
      <c r="C2445" s="240" t="str">
        <f>IF(ISNA(VLOOKUP(Tableau13[[#This Row],[Code machine]],'CODE mchn'!$A$4:$C$170,2,0)),"",VLOOKUP(Tableau13[[#This Row],[Code machine]],'CODE mchn'!$A$4:$C$170,2,0))</f>
        <v>Béton</v>
      </c>
      <c r="D2445" s="241" t="str">
        <f>IF(ISNA(VLOOKUP(Tableau13[[#This Row],[Code machine]],'CODE mchn'!$A$4:$C$170,3,0)),"",VLOOKUP(Tableau13[[#This Row],[Code machine]],'CODE mchn'!$A$4:$C$170,3,0))</f>
        <v>Poyatos 1</v>
      </c>
      <c r="E2445" s="239">
        <v>26368</v>
      </c>
      <c r="F2445" s="241"/>
      <c r="G2445" s="241" t="s">
        <v>110</v>
      </c>
      <c r="H2445" s="241" t="s">
        <v>4393</v>
      </c>
      <c r="I2445" s="241" t="s">
        <v>13</v>
      </c>
      <c r="J2445" s="249" t="s">
        <v>4394</v>
      </c>
      <c r="K2445" s="242">
        <v>45119</v>
      </c>
      <c r="L2445" s="241"/>
      <c r="M2445" s="243">
        <f>5*60</f>
        <v>300</v>
      </c>
      <c r="N2445" s="243">
        <f>MONTH(Tableau13[[#This Row],[Date fin intervention]])</f>
        <v>7</v>
      </c>
      <c r="O2445" s="243">
        <f>YEAR(Tableau13[[#This Row],[Date fin intervention]])</f>
        <v>2023</v>
      </c>
      <c r="P2445" s="241"/>
    </row>
    <row r="2446" spans="1:16">
      <c r="A2446" s="238">
        <v>45120</v>
      </c>
      <c r="B2446" s="239">
        <v>700</v>
      </c>
      <c r="C2446" s="240" t="str">
        <f>IF(ISNA(VLOOKUP(Tableau13[[#This Row],[Code machine]],'CODE mchn'!$A$4:$C$170,2,0)),"",VLOOKUP(Tableau13[[#This Row],[Code machine]],'CODE mchn'!$A$4:$C$170,2,0))</f>
        <v>Béton</v>
      </c>
      <c r="D2446" s="241" t="str">
        <f>IF(ISNA(VLOOKUP(Tableau13[[#This Row],[Code machine]],'CODE mchn'!$A$4:$C$170,3,0)),"",VLOOKUP(Tableau13[[#This Row],[Code machine]],'CODE mchn'!$A$4:$C$170,3,0))</f>
        <v>Poyatos 1</v>
      </c>
      <c r="E2446" s="239">
        <v>26370</v>
      </c>
      <c r="F2446" s="241"/>
      <c r="G2446" s="241" t="s">
        <v>289</v>
      </c>
      <c r="H2446" s="241" t="s">
        <v>689</v>
      </c>
      <c r="I2446" s="241" t="s">
        <v>13</v>
      </c>
      <c r="J2446" s="249" t="s">
        <v>4397</v>
      </c>
      <c r="K2446" s="242">
        <v>45120</v>
      </c>
      <c r="L2446" s="241"/>
      <c r="M2446" s="243">
        <v>120</v>
      </c>
      <c r="N2446" s="243">
        <f>MONTH(Tableau13[[#This Row],[Date fin intervention]])</f>
        <v>7</v>
      </c>
      <c r="O2446" s="243">
        <f>YEAR(Tableau13[[#This Row],[Date fin intervention]])</f>
        <v>2023</v>
      </c>
      <c r="P2446" s="241"/>
    </row>
    <row r="2447" spans="1:16">
      <c r="A2447" s="238">
        <v>45121</v>
      </c>
      <c r="B2447" s="239">
        <v>800</v>
      </c>
      <c r="C2447" s="240" t="str">
        <f>IF(ISNA(VLOOKUP(Tableau13[[#This Row],[Code machine]],'CODE mchn'!$A$4:$C$170,2,0)),"",VLOOKUP(Tableau13[[#This Row],[Code machine]],'CODE mchn'!$A$4:$C$170,2,0))</f>
        <v>Béton</v>
      </c>
      <c r="D2447" s="241" t="str">
        <f>IF(ISNA(VLOOKUP(Tableau13[[#This Row],[Code machine]],'CODE mchn'!$A$4:$C$170,3,0)),"",VLOOKUP(Tableau13[[#This Row],[Code machine]],'CODE mchn'!$A$4:$C$170,3,0))</f>
        <v>Poyatos 2</v>
      </c>
      <c r="E2447" s="239">
        <v>26369</v>
      </c>
      <c r="F2447" s="241"/>
      <c r="G2447" s="241" t="s">
        <v>289</v>
      </c>
      <c r="H2447" s="241" t="s">
        <v>4395</v>
      </c>
      <c r="I2447" s="241" t="s">
        <v>13</v>
      </c>
      <c r="J2447" s="249" t="s">
        <v>4396</v>
      </c>
      <c r="K2447" s="242">
        <v>45121</v>
      </c>
      <c r="L2447" s="241"/>
      <c r="M2447" s="243">
        <v>90</v>
      </c>
      <c r="N2447" s="243">
        <f>MONTH(Tableau13[[#This Row],[Date fin intervention]])</f>
        <v>7</v>
      </c>
      <c r="O2447" s="243">
        <f>YEAR(Tableau13[[#This Row],[Date fin intervention]])</f>
        <v>2023</v>
      </c>
      <c r="P2447" s="241"/>
    </row>
    <row r="2448" spans="1:16">
      <c r="A2448" s="238">
        <v>45122</v>
      </c>
      <c r="B2448" s="239">
        <v>700</v>
      </c>
      <c r="C2448" s="240" t="str">
        <f>IF(ISNA(VLOOKUP(Tableau13[[#This Row],[Code machine]],'CODE mchn'!$A$4:$C$170,2,0)),"",VLOOKUP(Tableau13[[#This Row],[Code machine]],'CODE mchn'!$A$4:$C$170,2,0))</f>
        <v>Béton</v>
      </c>
      <c r="D2448" s="241" t="str">
        <f>IF(ISNA(VLOOKUP(Tableau13[[#This Row],[Code machine]],'CODE mchn'!$A$4:$C$170,3,0)),"",VLOOKUP(Tableau13[[#This Row],[Code machine]],'CODE mchn'!$A$4:$C$170,3,0))</f>
        <v>Poyatos 1</v>
      </c>
      <c r="E2448" s="239">
        <v>26371</v>
      </c>
      <c r="F2448" s="241"/>
      <c r="G2448" s="241" t="s">
        <v>185</v>
      </c>
      <c r="H2448" s="241" t="s">
        <v>4398</v>
      </c>
      <c r="I2448" s="241" t="s">
        <v>13</v>
      </c>
      <c r="J2448" s="249" t="s">
        <v>4399</v>
      </c>
      <c r="K2448" s="242">
        <v>45122</v>
      </c>
      <c r="L2448" s="241"/>
      <c r="M2448" s="243">
        <f>6*60</f>
        <v>360</v>
      </c>
      <c r="N2448" s="243">
        <f>MONTH(Tableau13[[#This Row],[Date fin intervention]])</f>
        <v>7</v>
      </c>
      <c r="O2448" s="243">
        <f>YEAR(Tableau13[[#This Row],[Date fin intervention]])</f>
        <v>2023</v>
      </c>
      <c r="P2448" s="241"/>
    </row>
    <row r="2449" spans="1:16">
      <c r="A2449" s="238">
        <v>45125</v>
      </c>
      <c r="B2449" s="239">
        <v>800</v>
      </c>
      <c r="C2449" s="240" t="str">
        <f>IF(ISNA(VLOOKUP(Tableau13[[#This Row],[Code machine]],'CODE mchn'!$A$4:$C$170,2,0)),"",VLOOKUP(Tableau13[[#This Row],[Code machine]],'CODE mchn'!$A$4:$C$170,2,0))</f>
        <v>Béton</v>
      </c>
      <c r="D2449" s="241" t="str">
        <f>IF(ISNA(VLOOKUP(Tableau13[[#This Row],[Code machine]],'CODE mchn'!$A$4:$C$170,3,0)),"",VLOOKUP(Tableau13[[#This Row],[Code machine]],'CODE mchn'!$A$4:$C$170,3,0))</f>
        <v>Poyatos 2</v>
      </c>
      <c r="E2449" s="239">
        <v>26373</v>
      </c>
      <c r="F2449" s="241"/>
      <c r="G2449" s="241" t="s">
        <v>2739</v>
      </c>
      <c r="H2449" s="241" t="s">
        <v>2244</v>
      </c>
      <c r="I2449" s="241" t="s">
        <v>3850</v>
      </c>
      <c r="J2449" s="249" t="s">
        <v>4400</v>
      </c>
      <c r="K2449" s="242">
        <v>45125</v>
      </c>
      <c r="L2449" s="241"/>
      <c r="M2449" s="243">
        <v>40</v>
      </c>
      <c r="N2449" s="243">
        <f>MONTH(Tableau13[[#This Row],[Date fin intervention]])</f>
        <v>7</v>
      </c>
      <c r="O2449" s="243">
        <f>YEAR(Tableau13[[#This Row],[Date fin intervention]])</f>
        <v>2023</v>
      </c>
      <c r="P2449" s="241"/>
    </row>
    <row r="2450" spans="1:16">
      <c r="A2450" s="238">
        <v>45127</v>
      </c>
      <c r="B2450" s="239">
        <v>700</v>
      </c>
      <c r="C2450" s="240" t="str">
        <f>IF(ISNA(VLOOKUP(Tableau13[[#This Row],[Code machine]],'CODE mchn'!$A$4:$C$170,2,0)),"",VLOOKUP(Tableau13[[#This Row],[Code machine]],'CODE mchn'!$A$4:$C$170,2,0))</f>
        <v>Béton</v>
      </c>
      <c r="D2450" s="241" t="str">
        <f>IF(ISNA(VLOOKUP(Tableau13[[#This Row],[Code machine]],'CODE mchn'!$A$4:$C$170,3,0)),"",VLOOKUP(Tableau13[[#This Row],[Code machine]],'CODE mchn'!$A$4:$C$170,3,0))</f>
        <v>Poyatos 1</v>
      </c>
      <c r="E2450" s="239">
        <v>26374</v>
      </c>
      <c r="F2450" s="241"/>
      <c r="G2450" s="241" t="s">
        <v>289</v>
      </c>
      <c r="H2450" s="241" t="s">
        <v>4401</v>
      </c>
      <c r="I2450" s="241" t="s">
        <v>2772</v>
      </c>
      <c r="J2450" s="241" t="s">
        <v>4401</v>
      </c>
      <c r="K2450" s="242">
        <v>45127</v>
      </c>
      <c r="L2450" s="241"/>
      <c r="M2450" s="243">
        <v>60</v>
      </c>
      <c r="N2450" s="243">
        <f>MONTH(Tableau13[[#This Row],[Date fin intervention]])</f>
        <v>7</v>
      </c>
      <c r="O2450" s="243">
        <f>YEAR(Tableau13[[#This Row],[Date fin intervention]])</f>
        <v>2023</v>
      </c>
      <c r="P2450" s="241"/>
    </row>
    <row r="2451" spans="1:16">
      <c r="A2451" s="238">
        <v>45128</v>
      </c>
      <c r="B2451" s="239">
        <v>700</v>
      </c>
      <c r="C2451" s="240" t="str">
        <f>IF(ISNA(VLOOKUP(Tableau13[[#This Row],[Code machine]],'CODE mchn'!$A$4:$C$170,2,0)),"",VLOOKUP(Tableau13[[#This Row],[Code machine]],'CODE mchn'!$A$4:$C$170,2,0))</f>
        <v>Béton</v>
      </c>
      <c r="D2451" s="241" t="str">
        <f>IF(ISNA(VLOOKUP(Tableau13[[#This Row],[Code machine]],'CODE mchn'!$A$4:$C$170,3,0)),"",VLOOKUP(Tableau13[[#This Row],[Code machine]],'CODE mchn'!$A$4:$C$170,3,0))</f>
        <v>Poyatos 1</v>
      </c>
      <c r="E2451" s="239">
        <v>26376</v>
      </c>
      <c r="F2451" s="241"/>
      <c r="G2451" s="241" t="s">
        <v>1700</v>
      </c>
      <c r="H2451" s="241" t="s">
        <v>2076</v>
      </c>
      <c r="I2451" s="241" t="s">
        <v>13</v>
      </c>
      <c r="J2451" s="249" t="s">
        <v>4402</v>
      </c>
      <c r="K2451" s="242">
        <v>45128</v>
      </c>
      <c r="L2451" s="241"/>
      <c r="M2451" s="243">
        <f>3*60+40</f>
        <v>220</v>
      </c>
      <c r="N2451" s="243">
        <f>MONTH(Tableau13[[#This Row],[Date fin intervention]])</f>
        <v>7</v>
      </c>
      <c r="O2451" s="243">
        <f>YEAR(Tableau13[[#This Row],[Date fin intervention]])</f>
        <v>2023</v>
      </c>
      <c r="P2451" s="241"/>
    </row>
    <row r="2452" spans="1:16">
      <c r="A2452" s="238">
        <v>45132</v>
      </c>
      <c r="B2452" s="239">
        <v>700</v>
      </c>
      <c r="C2452" s="240" t="str">
        <f>IF(ISNA(VLOOKUP(Tableau13[[#This Row],[Code machine]],'CODE mchn'!$A$4:$C$170,2,0)),"",VLOOKUP(Tableau13[[#This Row],[Code machine]],'CODE mchn'!$A$4:$C$170,2,0))</f>
        <v>Béton</v>
      </c>
      <c r="D2452" s="241" t="str">
        <f>IF(ISNA(VLOOKUP(Tableau13[[#This Row],[Code machine]],'CODE mchn'!$A$4:$C$170,3,0)),"",VLOOKUP(Tableau13[[#This Row],[Code machine]],'CODE mchn'!$A$4:$C$170,3,0))</f>
        <v>Poyatos 1</v>
      </c>
      <c r="E2452" s="239">
        <v>26379</v>
      </c>
      <c r="F2452" s="241"/>
      <c r="G2452" s="241" t="s">
        <v>289</v>
      </c>
      <c r="H2452" s="241" t="s">
        <v>4403</v>
      </c>
      <c r="I2452" s="241" t="s">
        <v>13</v>
      </c>
      <c r="J2452" s="249" t="s">
        <v>4404</v>
      </c>
      <c r="K2452" s="242">
        <v>45132</v>
      </c>
      <c r="L2452" s="241"/>
      <c r="M2452" s="243">
        <v>120</v>
      </c>
      <c r="N2452" s="243">
        <f>MONTH(Tableau13[[#This Row],[Date fin intervention]])</f>
        <v>7</v>
      </c>
      <c r="O2452" s="243">
        <f>YEAR(Tableau13[[#This Row],[Date fin intervention]])</f>
        <v>2023</v>
      </c>
      <c r="P2452" s="241"/>
    </row>
    <row r="2453" spans="1:16">
      <c r="A2453" s="238">
        <v>45133</v>
      </c>
      <c r="B2453" s="239">
        <v>800</v>
      </c>
      <c r="C2453" s="240" t="str">
        <f>IF(ISNA(VLOOKUP(Tableau13[[#This Row],[Code machine]],'CODE mchn'!$A$4:$C$170,2,0)),"",VLOOKUP(Tableau13[[#This Row],[Code machine]],'CODE mchn'!$A$4:$C$170,2,0))</f>
        <v>Béton</v>
      </c>
      <c r="D2453" s="241" t="str">
        <f>IF(ISNA(VLOOKUP(Tableau13[[#This Row],[Code machine]],'CODE mchn'!$A$4:$C$170,3,0)),"",VLOOKUP(Tableau13[[#This Row],[Code machine]],'CODE mchn'!$A$4:$C$170,3,0))</f>
        <v>Poyatos 2</v>
      </c>
      <c r="E2453" s="239">
        <v>26380</v>
      </c>
      <c r="F2453" s="241"/>
      <c r="G2453" s="241" t="s">
        <v>4405</v>
      </c>
      <c r="H2453" s="241" t="s">
        <v>4406</v>
      </c>
      <c r="I2453" s="241" t="s">
        <v>13</v>
      </c>
      <c r="J2453" s="249" t="s">
        <v>4407</v>
      </c>
      <c r="K2453" s="242">
        <v>45133</v>
      </c>
      <c r="L2453" s="241"/>
      <c r="M2453" s="243">
        <v>90</v>
      </c>
      <c r="N2453" s="243">
        <f>MONTH(Tableau13[[#This Row],[Date fin intervention]])</f>
        <v>7</v>
      </c>
      <c r="O2453" s="243">
        <f>YEAR(Tableau13[[#This Row],[Date fin intervention]])</f>
        <v>2023</v>
      </c>
      <c r="P2453" s="241"/>
    </row>
    <row r="2454" spans="1:16">
      <c r="A2454" s="238">
        <v>45133</v>
      </c>
      <c r="B2454" s="239">
        <v>800</v>
      </c>
      <c r="C2454" s="240" t="str">
        <f>IF(ISNA(VLOOKUP(Tableau13[[#This Row],[Code machine]],'CODE mchn'!$A$4:$C$170,2,0)),"",VLOOKUP(Tableau13[[#This Row],[Code machine]],'CODE mchn'!$A$4:$C$170,2,0))</f>
        <v>Béton</v>
      </c>
      <c r="D2454" s="241" t="str">
        <f>IF(ISNA(VLOOKUP(Tableau13[[#This Row],[Code machine]],'CODE mchn'!$A$4:$C$170,3,0)),"",VLOOKUP(Tableau13[[#This Row],[Code machine]],'CODE mchn'!$A$4:$C$170,3,0))</f>
        <v>Poyatos 2</v>
      </c>
      <c r="E2454" s="239">
        <v>26381</v>
      </c>
      <c r="F2454" s="241"/>
      <c r="G2454" s="241" t="s">
        <v>394</v>
      </c>
      <c r="H2454" s="241" t="s">
        <v>4408</v>
      </c>
      <c r="I2454" s="241" t="s">
        <v>13</v>
      </c>
      <c r="J2454" s="249" t="s">
        <v>4409</v>
      </c>
      <c r="K2454" s="242">
        <v>45134</v>
      </c>
      <c r="L2454" s="241"/>
      <c r="M2454" s="243">
        <v>90</v>
      </c>
      <c r="N2454" s="243">
        <f>MONTH(Tableau13[[#This Row],[Date fin intervention]])</f>
        <v>7</v>
      </c>
      <c r="O2454" s="243">
        <f>YEAR(Tableau13[[#This Row],[Date fin intervention]])</f>
        <v>2023</v>
      </c>
      <c r="P2454" s="241"/>
    </row>
    <row r="2455" spans="1:16" ht="28.5">
      <c r="A2455" s="238">
        <v>45136</v>
      </c>
      <c r="B2455" s="239">
        <v>800</v>
      </c>
      <c r="C2455" s="240" t="str">
        <f>IF(ISNA(VLOOKUP(Tableau13[[#This Row],[Code machine]],'CODE mchn'!$A$4:$C$170,2,0)),"",VLOOKUP(Tableau13[[#This Row],[Code machine]],'CODE mchn'!$A$4:$C$170,2,0))</f>
        <v>Béton</v>
      </c>
      <c r="D2455" s="241" t="str">
        <f>IF(ISNA(VLOOKUP(Tableau13[[#This Row],[Code machine]],'CODE mchn'!$A$4:$C$170,3,0)),"",VLOOKUP(Tableau13[[#This Row],[Code machine]],'CODE mchn'!$A$4:$C$170,3,0))</f>
        <v>Poyatos 2</v>
      </c>
      <c r="E2455" s="239">
        <v>26388</v>
      </c>
      <c r="F2455" s="241"/>
      <c r="G2455" s="241" t="s">
        <v>185</v>
      </c>
      <c r="H2455" s="241" t="s">
        <v>654</v>
      </c>
      <c r="I2455" s="241" t="s">
        <v>13</v>
      </c>
      <c r="J2455" s="249" t="s">
        <v>4410</v>
      </c>
      <c r="K2455" s="242">
        <v>45136</v>
      </c>
      <c r="L2455" s="241"/>
      <c r="M2455" s="243">
        <v>180</v>
      </c>
      <c r="N2455" s="243">
        <f>MONTH(Tableau13[[#This Row],[Date fin intervention]])</f>
        <v>7</v>
      </c>
      <c r="O2455" s="243">
        <f>YEAR(Tableau13[[#This Row],[Date fin intervention]])</f>
        <v>2023</v>
      </c>
      <c r="P2455" s="241"/>
    </row>
    <row r="2456" spans="1:16">
      <c r="A2456" s="238">
        <v>45138</v>
      </c>
      <c r="B2456" s="239">
        <v>700</v>
      </c>
      <c r="C2456" s="240" t="str">
        <f>IF(ISNA(VLOOKUP(Tableau13[[#This Row],[Code machine]],'CODE mchn'!$A$4:$C$170,2,0)),"",VLOOKUP(Tableau13[[#This Row],[Code machine]],'CODE mchn'!$A$4:$C$170,2,0))</f>
        <v>Béton</v>
      </c>
      <c r="D2456" s="241" t="str">
        <f>IF(ISNA(VLOOKUP(Tableau13[[#This Row],[Code machine]],'CODE mchn'!$A$4:$C$170,3,0)),"",VLOOKUP(Tableau13[[#This Row],[Code machine]],'CODE mchn'!$A$4:$C$170,3,0))</f>
        <v>Poyatos 1</v>
      </c>
      <c r="E2456" s="239">
        <v>26389</v>
      </c>
      <c r="F2456" s="241"/>
      <c r="G2456" s="241" t="s">
        <v>128</v>
      </c>
      <c r="H2456" s="241" t="s">
        <v>4411</v>
      </c>
      <c r="I2456" s="241" t="s">
        <v>13</v>
      </c>
      <c r="J2456" s="249" t="s">
        <v>4412</v>
      </c>
      <c r="K2456" s="242">
        <v>45138</v>
      </c>
      <c r="L2456" s="241"/>
      <c r="M2456" s="243">
        <f>5*60</f>
        <v>300</v>
      </c>
      <c r="N2456" s="243">
        <f>MONTH(Tableau13[[#This Row],[Date fin intervention]])</f>
        <v>7</v>
      </c>
      <c r="O2456" s="243">
        <f>YEAR(Tableau13[[#This Row],[Date fin intervention]])</f>
        <v>2023</v>
      </c>
      <c r="P2456" s="241"/>
    </row>
    <row r="2457" spans="1:16">
      <c r="A2457" s="238">
        <v>45139</v>
      </c>
      <c r="B2457" s="239">
        <v>565</v>
      </c>
      <c r="C2457" s="240" t="str">
        <f>IF(ISNA(VLOOKUP(Tableau13[[#This Row],[Code machine]],'CODE mchn'!$A$4:$C$170,2,0)),"",VLOOKUP(Tableau13[[#This Row],[Code machine]],'CODE mchn'!$A$4:$C$170,2,0))</f>
        <v>Acier</v>
      </c>
      <c r="D2457" s="241" t="str">
        <f>IF(ISNA(VLOOKUP(Tableau13[[#This Row],[Code machine]],'CODE mchn'!$A$4:$C$170,3,0)),"",VLOOKUP(Tableau13[[#This Row],[Code machine]],'CODE mchn'!$A$4:$C$170,3,0))</f>
        <v>EVG GE12</v>
      </c>
      <c r="E2457" s="239">
        <v>29825</v>
      </c>
      <c r="F2457" s="241"/>
      <c r="G2457" s="241" t="s">
        <v>463</v>
      </c>
      <c r="H2457" s="241" t="s">
        <v>4423</v>
      </c>
      <c r="I2457" s="241" t="s">
        <v>13</v>
      </c>
      <c r="J2457" s="249" t="s">
        <v>771</v>
      </c>
      <c r="K2457" s="242">
        <v>45139</v>
      </c>
      <c r="L2457" s="241"/>
      <c r="M2457" s="243">
        <v>60</v>
      </c>
      <c r="N2457" s="243">
        <f>MONTH(Tableau13[[#This Row],[Date fin intervention]])</f>
        <v>8</v>
      </c>
      <c r="O2457" s="243">
        <f>YEAR(Tableau13[[#This Row],[Date fin intervention]])</f>
        <v>2023</v>
      </c>
      <c r="P2457" s="241"/>
    </row>
    <row r="2458" spans="1:16">
      <c r="A2458" s="238">
        <v>45139</v>
      </c>
      <c r="B2458" s="239">
        <v>582</v>
      </c>
      <c r="C2458" s="240" t="str">
        <f>IF(ISNA(VLOOKUP(Tableau13[[#This Row],[Code machine]],'CODE mchn'!$A$4:$C$170,2,0)),"",VLOOKUP(Tableau13[[#This Row],[Code machine]],'CODE mchn'!$A$4:$C$170,2,0))</f>
        <v>Acier</v>
      </c>
      <c r="D2458" s="241" t="str">
        <f>IF(ISNA(VLOOKUP(Tableau13[[#This Row],[Code machine]],'CODE mchn'!$A$4:$C$170,3,0)),"",VLOOKUP(Tableau13[[#This Row],[Code machine]],'CODE mchn'!$A$4:$C$170,3,0))</f>
        <v>Teurema 2</v>
      </c>
      <c r="E2458" s="239"/>
      <c r="F2458" s="241"/>
      <c r="G2458" s="241"/>
      <c r="H2458" s="241" t="s">
        <v>4424</v>
      </c>
      <c r="I2458" s="241" t="s">
        <v>13</v>
      </c>
      <c r="J2458" s="249" t="s">
        <v>4425</v>
      </c>
      <c r="K2458" s="242">
        <v>45169</v>
      </c>
      <c r="L2458" s="241"/>
      <c r="M2458" s="243">
        <v>12480</v>
      </c>
      <c r="N2458" s="243">
        <f>MONTH(Tableau13[[#This Row],[Date fin intervention]])</f>
        <v>8</v>
      </c>
      <c r="O2458" s="243">
        <f>YEAR(Tableau13[[#This Row],[Date fin intervention]])</f>
        <v>2023</v>
      </c>
      <c r="P2458" s="241"/>
    </row>
    <row r="2459" spans="1:16" ht="28.5">
      <c r="A2459" s="104">
        <v>45139</v>
      </c>
      <c r="B2459" s="105">
        <v>800</v>
      </c>
      <c r="C2459" s="106" t="str">
        <f>IF(ISNA(VLOOKUP(Tableau13[[#This Row],[Code machine]],'CODE mchn'!$A$4:$C$170,2,0)),"",VLOOKUP(Tableau13[[#This Row],[Code machine]],'CODE mchn'!$A$4:$C$170,2,0))</f>
        <v>Béton</v>
      </c>
      <c r="D2459" s="36" t="str">
        <f>IF(ISNA(VLOOKUP(Tableau13[[#This Row],[Code machine]],'CODE mchn'!$A$4:$C$170,3,0)),"",VLOOKUP(Tableau13[[#This Row],[Code machine]],'CODE mchn'!$A$4:$C$170,3,0))</f>
        <v>Poyatos 2</v>
      </c>
      <c r="E2459" s="105">
        <v>26390</v>
      </c>
      <c r="F2459" s="36"/>
      <c r="G2459" s="36" t="s">
        <v>118</v>
      </c>
      <c r="H2459" s="36" t="s">
        <v>4438</v>
      </c>
      <c r="I2459" s="36" t="s">
        <v>13</v>
      </c>
      <c r="J2459" s="252" t="s">
        <v>4439</v>
      </c>
      <c r="K2459" s="71">
        <v>45139</v>
      </c>
      <c r="L2459" s="36"/>
      <c r="M2459" s="108">
        <v>90</v>
      </c>
      <c r="N2459" s="108">
        <f>MONTH(Tableau13[[#This Row],[Date fin intervention]])</f>
        <v>8</v>
      </c>
      <c r="O2459" s="108">
        <f>YEAR(Tableau13[[#This Row],[Date fin intervention]])</f>
        <v>2023</v>
      </c>
      <c r="P2459" s="36"/>
    </row>
    <row r="2460" spans="1:16">
      <c r="A2460" s="104">
        <v>45139</v>
      </c>
      <c r="B2460" s="105">
        <v>700</v>
      </c>
      <c r="C2460" s="106" t="str">
        <f>IF(ISNA(VLOOKUP(Tableau13[[#This Row],[Code machine]],'CODE mchn'!$A$4:$C$170,2,0)),"",VLOOKUP(Tableau13[[#This Row],[Code machine]],'CODE mchn'!$A$4:$C$170,2,0))</f>
        <v>Béton</v>
      </c>
      <c r="D2460" s="36" t="str">
        <f>IF(ISNA(VLOOKUP(Tableau13[[#This Row],[Code machine]],'CODE mchn'!$A$4:$C$170,3,0)),"",VLOOKUP(Tableau13[[#This Row],[Code machine]],'CODE mchn'!$A$4:$C$170,3,0))</f>
        <v>Poyatos 1</v>
      </c>
      <c r="E2460" s="105">
        <v>26391</v>
      </c>
      <c r="F2460" s="36"/>
      <c r="G2460" s="36" t="s">
        <v>4440</v>
      </c>
      <c r="H2460" s="36" t="s">
        <v>4009</v>
      </c>
      <c r="I2460" s="36" t="s">
        <v>101</v>
      </c>
      <c r="J2460" s="252" t="s">
        <v>4374</v>
      </c>
      <c r="K2460" s="71">
        <v>45139</v>
      </c>
      <c r="L2460" s="36"/>
      <c r="M2460" s="108">
        <v>120</v>
      </c>
      <c r="N2460" s="108">
        <f>MONTH(Tableau13[[#This Row],[Date fin intervention]])</f>
        <v>8</v>
      </c>
      <c r="O2460" s="108">
        <f>YEAR(Tableau13[[#This Row],[Date fin intervention]])</f>
        <v>2023</v>
      </c>
      <c r="P2460" s="36"/>
    </row>
    <row r="2461" spans="1:16">
      <c r="A2461" s="104">
        <v>45140</v>
      </c>
      <c r="B2461" s="105">
        <v>700</v>
      </c>
      <c r="C2461" s="106" t="str">
        <f>IF(ISNA(VLOOKUP(Tableau13[[#This Row],[Code machine]],'CODE mchn'!$A$4:$C$170,2,0)),"",VLOOKUP(Tableau13[[#This Row],[Code machine]],'CODE mchn'!$A$4:$C$170,2,0))</f>
        <v>Béton</v>
      </c>
      <c r="D2461" s="36" t="str">
        <f>IF(ISNA(VLOOKUP(Tableau13[[#This Row],[Code machine]],'CODE mchn'!$A$4:$C$170,3,0)),"",VLOOKUP(Tableau13[[#This Row],[Code machine]],'CODE mchn'!$A$4:$C$170,3,0))</f>
        <v>Poyatos 1</v>
      </c>
      <c r="E2461" s="105">
        <v>26392</v>
      </c>
      <c r="F2461" s="36"/>
      <c r="G2461" s="36" t="s">
        <v>128</v>
      </c>
      <c r="H2461" s="36" t="s">
        <v>3167</v>
      </c>
      <c r="I2461" s="36" t="s">
        <v>13</v>
      </c>
      <c r="J2461" s="252" t="s">
        <v>4441</v>
      </c>
      <c r="K2461" s="71">
        <v>45140</v>
      </c>
      <c r="L2461" s="36"/>
      <c r="M2461" s="108">
        <v>30</v>
      </c>
      <c r="N2461" s="108">
        <f>MONTH(Tableau13[[#This Row],[Date fin intervention]])</f>
        <v>8</v>
      </c>
      <c r="O2461" s="108">
        <f>YEAR(Tableau13[[#This Row],[Date fin intervention]])</f>
        <v>2023</v>
      </c>
      <c r="P2461" s="36"/>
    </row>
    <row r="2462" spans="1:16">
      <c r="A2462" s="238">
        <v>45141</v>
      </c>
      <c r="B2462" s="239">
        <v>590</v>
      </c>
      <c r="C2462" s="240" t="str">
        <f>IF(ISNA(VLOOKUP(Tableau13[[#This Row],[Code machine]],'CODE mchn'!$A$4:$C$170,2,0)),"",VLOOKUP(Tableau13[[#This Row],[Code machine]],'CODE mchn'!$A$4:$C$170,2,0))</f>
        <v>Acier</v>
      </c>
      <c r="D2462" s="241" t="str">
        <f>IF(ISNA(VLOOKUP(Tableau13[[#This Row],[Code machine]],'CODE mchn'!$A$4:$C$170,3,0)),"",VLOOKUP(Tableau13[[#This Row],[Code machine]],'CODE mchn'!$A$4:$C$170,3,0))</f>
        <v>Teurema 3</v>
      </c>
      <c r="E2462" s="239">
        <v>30405</v>
      </c>
      <c r="F2462" s="241"/>
      <c r="G2462" s="241" t="s">
        <v>78</v>
      </c>
      <c r="H2462" s="241" t="s">
        <v>618</v>
      </c>
      <c r="I2462" s="241" t="s">
        <v>13</v>
      </c>
      <c r="J2462" s="249" t="s">
        <v>4426</v>
      </c>
      <c r="K2462" s="242">
        <v>45141</v>
      </c>
      <c r="L2462" s="241"/>
      <c r="M2462" s="243">
        <v>90</v>
      </c>
      <c r="N2462" s="243">
        <f>MONTH(Tableau13[[#This Row],[Date fin intervention]])</f>
        <v>8</v>
      </c>
      <c r="O2462" s="243">
        <f>YEAR(Tableau13[[#This Row],[Date fin intervention]])</f>
        <v>2023</v>
      </c>
      <c r="P2462" s="241"/>
    </row>
    <row r="2463" spans="1:16">
      <c r="A2463" s="238">
        <v>45145</v>
      </c>
      <c r="B2463" s="239">
        <v>590</v>
      </c>
      <c r="C2463" s="240" t="str">
        <f>IF(ISNA(VLOOKUP(Tableau13[[#This Row],[Code machine]],'CODE mchn'!$A$4:$C$170,2,0)),"",VLOOKUP(Tableau13[[#This Row],[Code machine]],'CODE mchn'!$A$4:$C$170,2,0))</f>
        <v>Acier</v>
      </c>
      <c r="D2463" s="241" t="str">
        <f>IF(ISNA(VLOOKUP(Tableau13[[#This Row],[Code machine]],'CODE mchn'!$A$4:$C$170,3,0)),"",VLOOKUP(Tableau13[[#This Row],[Code machine]],'CODE mchn'!$A$4:$C$170,3,0))</f>
        <v>Teurema 3</v>
      </c>
      <c r="E2463" s="239">
        <v>30408</v>
      </c>
      <c r="F2463" s="241"/>
      <c r="G2463" s="241" t="s">
        <v>4427</v>
      </c>
      <c r="H2463" s="241" t="s">
        <v>4421</v>
      </c>
      <c r="I2463" s="241" t="s">
        <v>13</v>
      </c>
      <c r="J2463" s="249" t="s">
        <v>4429</v>
      </c>
      <c r="K2463" s="242">
        <v>45145</v>
      </c>
      <c r="L2463" s="241"/>
      <c r="M2463" s="243">
        <v>120</v>
      </c>
      <c r="N2463" s="243">
        <f>MONTH(Tableau13[[#This Row],[Date fin intervention]])</f>
        <v>8</v>
      </c>
      <c r="O2463" s="243">
        <f>YEAR(Tableau13[[#This Row],[Date fin intervention]])</f>
        <v>2023</v>
      </c>
      <c r="P2463" s="241"/>
    </row>
    <row r="2464" spans="1:16">
      <c r="A2464" s="104">
        <v>45145</v>
      </c>
      <c r="B2464" s="105">
        <v>700</v>
      </c>
      <c r="C2464" s="106" t="str">
        <f>IF(ISNA(VLOOKUP(Tableau13[[#This Row],[Code machine]],'CODE mchn'!$A$4:$C$170,2,0)),"",VLOOKUP(Tableau13[[#This Row],[Code machine]],'CODE mchn'!$A$4:$C$170,2,0))</f>
        <v>Béton</v>
      </c>
      <c r="D2464" s="36" t="str">
        <f>IF(ISNA(VLOOKUP(Tableau13[[#This Row],[Code machine]],'CODE mchn'!$A$4:$C$170,3,0)),"",VLOOKUP(Tableau13[[#This Row],[Code machine]],'CODE mchn'!$A$4:$C$170,3,0))</f>
        <v>Poyatos 1</v>
      </c>
      <c r="E2464" s="105">
        <v>28393</v>
      </c>
      <c r="F2464" s="36"/>
      <c r="G2464" s="36" t="s">
        <v>4442</v>
      </c>
      <c r="H2464" s="36" t="s">
        <v>4388</v>
      </c>
      <c r="I2464" s="36" t="s">
        <v>4443</v>
      </c>
      <c r="J2464" s="252" t="s">
        <v>4444</v>
      </c>
      <c r="K2464" s="71">
        <v>45145</v>
      </c>
      <c r="L2464" s="36"/>
      <c r="M2464" s="108">
        <v>90</v>
      </c>
      <c r="N2464" s="108">
        <f>MONTH(Tableau13[[#This Row],[Date fin intervention]])</f>
        <v>8</v>
      </c>
      <c r="O2464" s="108">
        <f>YEAR(Tableau13[[#This Row],[Date fin intervention]])</f>
        <v>2023</v>
      </c>
      <c r="P2464" s="36"/>
    </row>
    <row r="2465" spans="1:16">
      <c r="A2465" s="104">
        <v>45146</v>
      </c>
      <c r="B2465" s="105">
        <v>700</v>
      </c>
      <c r="C2465" s="106" t="str">
        <f>IF(ISNA(VLOOKUP(Tableau13[[#This Row],[Code machine]],'CODE mchn'!$A$4:$C$170,2,0)),"",VLOOKUP(Tableau13[[#This Row],[Code machine]],'CODE mchn'!$A$4:$C$170,2,0))</f>
        <v>Béton</v>
      </c>
      <c r="D2465" s="36" t="str">
        <f>IF(ISNA(VLOOKUP(Tableau13[[#This Row],[Code machine]],'CODE mchn'!$A$4:$C$170,3,0)),"",VLOOKUP(Tableau13[[#This Row],[Code machine]],'CODE mchn'!$A$4:$C$170,3,0))</f>
        <v>Poyatos 1</v>
      </c>
      <c r="E2465" s="105">
        <v>26394</v>
      </c>
      <c r="F2465" s="36"/>
      <c r="G2465" s="36" t="s">
        <v>289</v>
      </c>
      <c r="H2465" s="36" t="s">
        <v>4445</v>
      </c>
      <c r="I2465" s="36" t="s">
        <v>13</v>
      </c>
      <c r="J2465" s="252" t="s">
        <v>4446</v>
      </c>
      <c r="K2465" s="71">
        <v>45146</v>
      </c>
      <c r="L2465" s="36"/>
      <c r="M2465" s="108">
        <v>40</v>
      </c>
      <c r="N2465" s="108">
        <f>MONTH(Tableau13[[#This Row],[Date fin intervention]])</f>
        <v>8</v>
      </c>
      <c r="O2465" s="108">
        <f>YEAR(Tableau13[[#This Row],[Date fin intervention]])</f>
        <v>2023</v>
      </c>
      <c r="P2465" s="36"/>
    </row>
    <row r="2466" spans="1:16">
      <c r="A2466" s="104">
        <v>45146</v>
      </c>
      <c r="B2466" s="105">
        <v>700</v>
      </c>
      <c r="C2466" s="106" t="str">
        <f>IF(ISNA(VLOOKUP(Tableau13[[#This Row],[Code machine]],'CODE mchn'!$A$4:$C$170,2,0)),"",VLOOKUP(Tableau13[[#This Row],[Code machine]],'CODE mchn'!$A$4:$C$170,2,0))</f>
        <v>Béton</v>
      </c>
      <c r="D2466" s="36" t="str">
        <f>IF(ISNA(VLOOKUP(Tableau13[[#This Row],[Code machine]],'CODE mchn'!$A$4:$C$170,3,0)),"",VLOOKUP(Tableau13[[#This Row],[Code machine]],'CODE mchn'!$A$4:$C$170,3,0))</f>
        <v>Poyatos 1</v>
      </c>
      <c r="E2466" s="105">
        <v>26395</v>
      </c>
      <c r="F2466" s="36"/>
      <c r="G2466" s="36" t="s">
        <v>43</v>
      </c>
      <c r="H2466" s="36" t="s">
        <v>4447</v>
      </c>
      <c r="I2466" s="36" t="s">
        <v>13</v>
      </c>
      <c r="J2466" s="252" t="s">
        <v>4239</v>
      </c>
      <c r="K2466" s="71">
        <v>45146</v>
      </c>
      <c r="L2466" s="36"/>
      <c r="M2466" s="108">
        <v>120</v>
      </c>
      <c r="N2466" s="108">
        <f>MONTH(Tableau13[[#This Row],[Date fin intervention]])</f>
        <v>8</v>
      </c>
      <c r="O2466" s="108">
        <f>YEAR(Tableau13[[#This Row],[Date fin intervention]])</f>
        <v>2023</v>
      </c>
      <c r="P2466" s="36"/>
    </row>
    <row r="2467" spans="1:16">
      <c r="A2467" s="104">
        <v>45148</v>
      </c>
      <c r="B2467" s="105">
        <v>700</v>
      </c>
      <c r="C2467" s="106" t="str">
        <f>IF(ISNA(VLOOKUP(Tableau13[[#This Row],[Code machine]],'CODE mchn'!$A$4:$C$170,2,0)),"",VLOOKUP(Tableau13[[#This Row],[Code machine]],'CODE mchn'!$A$4:$C$170,2,0))</f>
        <v>Béton</v>
      </c>
      <c r="D2467" s="36" t="str">
        <f>IF(ISNA(VLOOKUP(Tableau13[[#This Row],[Code machine]],'CODE mchn'!$A$4:$C$170,3,0)),"",VLOOKUP(Tableau13[[#This Row],[Code machine]],'CODE mchn'!$A$4:$C$170,3,0))</f>
        <v>Poyatos 1</v>
      </c>
      <c r="E2467" s="105">
        <v>26396</v>
      </c>
      <c r="F2467" s="36"/>
      <c r="G2467" s="36" t="s">
        <v>291</v>
      </c>
      <c r="H2467" s="36" t="s">
        <v>4448</v>
      </c>
      <c r="I2467" s="36" t="s">
        <v>13</v>
      </c>
      <c r="J2467" s="252" t="s">
        <v>4449</v>
      </c>
      <c r="K2467" s="71">
        <v>45148</v>
      </c>
      <c r="L2467" s="36"/>
      <c r="M2467" s="108">
        <f>4*60</f>
        <v>240</v>
      </c>
      <c r="N2467" s="108">
        <f>MONTH(Tableau13[[#This Row],[Date fin intervention]])</f>
        <v>8</v>
      </c>
      <c r="O2467" s="108">
        <f>YEAR(Tableau13[[#This Row],[Date fin intervention]])</f>
        <v>2023</v>
      </c>
      <c r="P2467" s="36"/>
    </row>
    <row r="2468" spans="1:16" ht="28.5">
      <c r="A2468" s="104">
        <v>45150</v>
      </c>
      <c r="B2468" s="105">
        <v>800</v>
      </c>
      <c r="C2468" s="106" t="str">
        <f>IF(ISNA(VLOOKUP(Tableau13[[#This Row],[Code machine]],'CODE mchn'!$A$4:$C$170,2,0)),"",VLOOKUP(Tableau13[[#This Row],[Code machine]],'CODE mchn'!$A$4:$C$170,2,0))</f>
        <v>Béton</v>
      </c>
      <c r="D2468" s="36" t="str">
        <f>IF(ISNA(VLOOKUP(Tableau13[[#This Row],[Code machine]],'CODE mchn'!$A$4:$C$170,3,0)),"",VLOOKUP(Tableau13[[#This Row],[Code machine]],'CODE mchn'!$A$4:$C$170,3,0))</f>
        <v>Poyatos 2</v>
      </c>
      <c r="E2468" s="105">
        <v>26397</v>
      </c>
      <c r="F2468" s="36"/>
      <c r="G2468" s="36" t="s">
        <v>118</v>
      </c>
      <c r="H2468" s="36" t="s">
        <v>4451</v>
      </c>
      <c r="I2468" s="36" t="s">
        <v>13</v>
      </c>
      <c r="J2468" s="252" t="s">
        <v>4450</v>
      </c>
      <c r="K2468" s="71">
        <v>45154</v>
      </c>
      <c r="L2468" s="36"/>
      <c r="M2468" s="108">
        <f>4*8*2*60</f>
        <v>3840</v>
      </c>
      <c r="N2468" s="108">
        <f>MONTH(Tableau13[[#This Row],[Date fin intervention]])</f>
        <v>8</v>
      </c>
      <c r="O2468" s="108">
        <f>YEAR(Tableau13[[#This Row],[Date fin intervention]])</f>
        <v>2023</v>
      </c>
      <c r="P2468" s="36"/>
    </row>
    <row r="2469" spans="1:16">
      <c r="A2469" s="104">
        <v>45153</v>
      </c>
      <c r="B2469" s="105">
        <v>700</v>
      </c>
      <c r="C2469" s="106" t="str">
        <f>IF(ISNA(VLOOKUP(Tableau13[[#This Row],[Code machine]],'CODE mchn'!$A$4:$C$170,2,0)),"",VLOOKUP(Tableau13[[#This Row],[Code machine]],'CODE mchn'!$A$4:$C$170,2,0))</f>
        <v>Béton</v>
      </c>
      <c r="D2469" s="36" t="str">
        <f>IF(ISNA(VLOOKUP(Tableau13[[#This Row],[Code machine]],'CODE mchn'!$A$4:$C$170,3,0)),"",VLOOKUP(Tableau13[[#This Row],[Code machine]],'CODE mchn'!$A$4:$C$170,3,0))</f>
        <v>Poyatos 1</v>
      </c>
      <c r="E2469" s="105">
        <v>26398</v>
      </c>
      <c r="F2469" s="36"/>
      <c r="G2469" s="36" t="s">
        <v>809</v>
      </c>
      <c r="H2469" s="36" t="s">
        <v>4452</v>
      </c>
      <c r="I2469" s="36" t="s">
        <v>13</v>
      </c>
      <c r="J2469" s="252" t="s">
        <v>4453</v>
      </c>
      <c r="K2469" s="71">
        <v>45153</v>
      </c>
      <c r="L2469" s="36"/>
      <c r="M2469" s="108">
        <v>90</v>
      </c>
      <c r="N2469" s="108">
        <f>MONTH(Tableau13[[#This Row],[Date fin intervention]])</f>
        <v>8</v>
      </c>
      <c r="O2469" s="108">
        <f>YEAR(Tableau13[[#This Row],[Date fin intervention]])</f>
        <v>2023</v>
      </c>
      <c r="P2469" s="36"/>
    </row>
    <row r="2470" spans="1:16">
      <c r="A2470" s="238">
        <v>45155</v>
      </c>
      <c r="B2470" s="239">
        <v>581</v>
      </c>
      <c r="C2470" s="240" t="str">
        <f>IF(ISNA(VLOOKUP(Tableau13[[#This Row],[Code machine]],'CODE mchn'!$A$4:$C$170,2,0)),"",VLOOKUP(Tableau13[[#This Row],[Code machine]],'CODE mchn'!$A$4:$C$170,2,0))</f>
        <v>Acier</v>
      </c>
      <c r="D2470" s="241" t="str">
        <f>IF(ISNA(VLOOKUP(Tableau13[[#This Row],[Code machine]],'CODE mchn'!$A$4:$C$170,3,0)),"",VLOOKUP(Tableau13[[#This Row],[Code machine]],'CODE mchn'!$A$4:$C$170,3,0))</f>
        <v>Teurema 1</v>
      </c>
      <c r="E2470" s="239">
        <v>30412</v>
      </c>
      <c r="F2470" s="241"/>
      <c r="G2470" s="241" t="s">
        <v>20</v>
      </c>
      <c r="H2470" s="241" t="s">
        <v>4428</v>
      </c>
      <c r="I2470" s="241" t="s">
        <v>13</v>
      </c>
      <c r="J2470" s="249" t="s">
        <v>4430</v>
      </c>
      <c r="K2470" s="242">
        <v>45155</v>
      </c>
      <c r="L2470" s="241"/>
      <c r="M2470" s="243">
        <v>80</v>
      </c>
      <c r="N2470" s="243">
        <f>MONTH(Tableau13[[#This Row],[Date fin intervention]])</f>
        <v>8</v>
      </c>
      <c r="O2470" s="243">
        <f>YEAR(Tableau13[[#This Row],[Date fin intervention]])</f>
        <v>2023</v>
      </c>
      <c r="P2470" s="241"/>
    </row>
    <row r="2471" spans="1:16">
      <c r="A2471" s="238">
        <v>45155</v>
      </c>
      <c r="B2471" s="239">
        <v>590</v>
      </c>
      <c r="C2471" s="240" t="str">
        <f>IF(ISNA(VLOOKUP(Tableau13[[#This Row],[Code machine]],'CODE mchn'!$A$4:$C$170,2,0)),"",VLOOKUP(Tableau13[[#This Row],[Code machine]],'CODE mchn'!$A$4:$C$170,2,0))</f>
        <v>Acier</v>
      </c>
      <c r="D2471" s="241" t="str">
        <f>IF(ISNA(VLOOKUP(Tableau13[[#This Row],[Code machine]],'CODE mchn'!$A$4:$C$170,3,0)),"",VLOOKUP(Tableau13[[#This Row],[Code machine]],'CODE mchn'!$A$4:$C$170,3,0))</f>
        <v>Teurema 3</v>
      </c>
      <c r="E2471" s="239">
        <v>30413</v>
      </c>
      <c r="F2471" s="241"/>
      <c r="G2471" s="241" t="s">
        <v>612</v>
      </c>
      <c r="H2471" s="241" t="s">
        <v>4431</v>
      </c>
      <c r="I2471" s="241" t="s">
        <v>13</v>
      </c>
      <c r="J2471" s="249" t="s">
        <v>4432</v>
      </c>
      <c r="K2471" s="242">
        <v>45155</v>
      </c>
      <c r="L2471" s="241"/>
      <c r="M2471" s="243">
        <f>8*5*60</f>
        <v>2400</v>
      </c>
      <c r="N2471" s="243">
        <f>MONTH(Tableau13[[#This Row],[Date fin intervention]])</f>
        <v>8</v>
      </c>
      <c r="O2471" s="243">
        <f>YEAR(Tableau13[[#This Row],[Date fin intervention]])</f>
        <v>2023</v>
      </c>
      <c r="P2471" s="241"/>
    </row>
    <row r="2472" spans="1:16">
      <c r="A2472" s="104">
        <v>45155</v>
      </c>
      <c r="B2472" s="105">
        <v>800</v>
      </c>
      <c r="C2472" s="106" t="str">
        <f>IF(ISNA(VLOOKUP(Tableau13[[#This Row],[Code machine]],'CODE mchn'!$A$4:$C$170,2,0)),"",VLOOKUP(Tableau13[[#This Row],[Code machine]],'CODE mchn'!$A$4:$C$170,2,0))</f>
        <v>Béton</v>
      </c>
      <c r="D2472" s="36" t="str">
        <f>IF(ISNA(VLOOKUP(Tableau13[[#This Row],[Code machine]],'CODE mchn'!$A$4:$C$170,3,0)),"",VLOOKUP(Tableau13[[#This Row],[Code machine]],'CODE mchn'!$A$4:$C$170,3,0))</f>
        <v>Poyatos 2</v>
      </c>
      <c r="E2472" s="105">
        <v>26399</v>
      </c>
      <c r="F2472" s="36"/>
      <c r="G2472" s="36" t="s">
        <v>118</v>
      </c>
      <c r="H2472" s="36" t="s">
        <v>4454</v>
      </c>
      <c r="I2472" s="36" t="s">
        <v>13</v>
      </c>
      <c r="J2472" s="252" t="s">
        <v>4455</v>
      </c>
      <c r="K2472" s="71">
        <v>45155</v>
      </c>
      <c r="L2472" s="36"/>
      <c r="M2472" s="108">
        <v>120</v>
      </c>
      <c r="N2472" s="108">
        <f>MONTH(Tableau13[[#This Row],[Date fin intervention]])</f>
        <v>8</v>
      </c>
      <c r="O2472" s="108">
        <f>YEAR(Tableau13[[#This Row],[Date fin intervention]])</f>
        <v>2023</v>
      </c>
      <c r="P2472" s="36"/>
    </row>
    <row r="2473" spans="1:16">
      <c r="A2473" s="104">
        <v>45156</v>
      </c>
      <c r="B2473" s="105">
        <v>800</v>
      </c>
      <c r="C2473" s="106" t="str">
        <f>IF(ISNA(VLOOKUP(Tableau13[[#This Row],[Code machine]],'CODE mchn'!$A$4:$C$170,2,0)),"",VLOOKUP(Tableau13[[#This Row],[Code machine]],'CODE mchn'!$A$4:$C$170,2,0))</f>
        <v>Béton</v>
      </c>
      <c r="D2473" s="36" t="str">
        <f>IF(ISNA(VLOOKUP(Tableau13[[#This Row],[Code machine]],'CODE mchn'!$A$4:$C$170,3,0)),"",VLOOKUP(Tableau13[[#This Row],[Code machine]],'CODE mchn'!$A$4:$C$170,3,0))</f>
        <v>Poyatos 2</v>
      </c>
      <c r="E2473" s="105">
        <v>26403</v>
      </c>
      <c r="F2473" s="36"/>
      <c r="G2473" s="36" t="s">
        <v>375</v>
      </c>
      <c r="H2473" s="36" t="s">
        <v>524</v>
      </c>
      <c r="I2473" s="36" t="s">
        <v>13</v>
      </c>
      <c r="J2473" s="252" t="s">
        <v>4456</v>
      </c>
      <c r="K2473" s="71">
        <v>45156</v>
      </c>
      <c r="L2473" s="36"/>
      <c r="M2473" s="108">
        <v>150</v>
      </c>
      <c r="N2473" s="108">
        <f>MONTH(Tableau13[[#This Row],[Date fin intervention]])</f>
        <v>8</v>
      </c>
      <c r="O2473" s="108">
        <f>YEAR(Tableau13[[#This Row],[Date fin intervention]])</f>
        <v>2023</v>
      </c>
      <c r="P2473" s="36"/>
    </row>
    <row r="2474" spans="1:16">
      <c r="A2474" s="104">
        <v>45160</v>
      </c>
      <c r="B2474" s="105">
        <v>700</v>
      </c>
      <c r="C2474" s="106" t="str">
        <f>IF(ISNA(VLOOKUP(Tableau13[[#This Row],[Code machine]],'CODE mchn'!$A$4:$C$170,2,0)),"",VLOOKUP(Tableau13[[#This Row],[Code machine]],'CODE mchn'!$A$4:$C$170,2,0))</f>
        <v>Béton</v>
      </c>
      <c r="D2474" s="36" t="str">
        <f>IF(ISNA(VLOOKUP(Tableau13[[#This Row],[Code machine]],'CODE mchn'!$A$4:$C$170,3,0)),"",VLOOKUP(Tableau13[[#This Row],[Code machine]],'CODE mchn'!$A$4:$C$170,3,0))</f>
        <v>Poyatos 1</v>
      </c>
      <c r="E2474" s="105">
        <v>26404</v>
      </c>
      <c r="F2474" s="36"/>
      <c r="G2474" s="36" t="s">
        <v>331</v>
      </c>
      <c r="H2474" s="36" t="s">
        <v>4457</v>
      </c>
      <c r="I2474" s="36" t="s">
        <v>4458</v>
      </c>
      <c r="J2474" s="252" t="s">
        <v>4459</v>
      </c>
      <c r="K2474" s="71">
        <v>45160</v>
      </c>
      <c r="L2474" s="36"/>
      <c r="M2474" s="108">
        <v>180</v>
      </c>
      <c r="N2474" s="108">
        <f>MONTH(Tableau13[[#This Row],[Date fin intervention]])</f>
        <v>8</v>
      </c>
      <c r="O2474" s="108">
        <f>YEAR(Tableau13[[#This Row],[Date fin intervention]])</f>
        <v>2023</v>
      </c>
      <c r="P2474" s="36"/>
    </row>
    <row r="2475" spans="1:16">
      <c r="A2475" s="104">
        <v>45160</v>
      </c>
      <c r="B2475" s="105">
        <v>800</v>
      </c>
      <c r="C2475" s="106" t="str">
        <f>IF(ISNA(VLOOKUP(Tableau13[[#This Row],[Code machine]],'CODE mchn'!$A$4:$C$170,2,0)),"",VLOOKUP(Tableau13[[#This Row],[Code machine]],'CODE mchn'!$A$4:$C$170,2,0))</f>
        <v>Béton</v>
      </c>
      <c r="D2475" s="36" t="str">
        <f>IF(ISNA(VLOOKUP(Tableau13[[#This Row],[Code machine]],'CODE mchn'!$A$4:$C$170,3,0)),"",VLOOKUP(Tableau13[[#This Row],[Code machine]],'CODE mchn'!$A$4:$C$170,3,0))</f>
        <v>Poyatos 2</v>
      </c>
      <c r="E2475" s="105">
        <v>26405</v>
      </c>
      <c r="F2475" s="36"/>
      <c r="G2475" s="36" t="s">
        <v>291</v>
      </c>
      <c r="H2475" s="36" t="s">
        <v>4460</v>
      </c>
      <c r="I2475" s="36" t="s">
        <v>101</v>
      </c>
      <c r="J2475" s="252" t="s">
        <v>4461</v>
      </c>
      <c r="K2475" s="71">
        <v>45160</v>
      </c>
      <c r="L2475" s="36"/>
      <c r="M2475" s="108">
        <v>90</v>
      </c>
      <c r="N2475" s="108">
        <f>MONTH(Tableau13[[#This Row],[Date fin intervention]])</f>
        <v>8</v>
      </c>
      <c r="O2475" s="108">
        <f>YEAR(Tableau13[[#This Row],[Date fin intervention]])</f>
        <v>2023</v>
      </c>
      <c r="P2475" s="36"/>
    </row>
    <row r="2476" spans="1:16">
      <c r="A2476" s="104">
        <v>45161</v>
      </c>
      <c r="B2476" s="105">
        <v>800</v>
      </c>
      <c r="C2476" s="106" t="str">
        <f>IF(ISNA(VLOOKUP(Tableau13[[#This Row],[Code machine]],'CODE mchn'!$A$4:$C$170,2,0)),"",VLOOKUP(Tableau13[[#This Row],[Code machine]],'CODE mchn'!$A$4:$C$170,2,0))</f>
        <v>Béton</v>
      </c>
      <c r="D2476" s="36" t="str">
        <f>IF(ISNA(VLOOKUP(Tableau13[[#This Row],[Code machine]],'CODE mchn'!$A$4:$C$170,3,0)),"",VLOOKUP(Tableau13[[#This Row],[Code machine]],'CODE mchn'!$A$4:$C$170,3,0))</f>
        <v>Poyatos 2</v>
      </c>
      <c r="E2476" s="105">
        <v>26406</v>
      </c>
      <c r="F2476" s="36"/>
      <c r="G2476" s="36" t="s">
        <v>110</v>
      </c>
      <c r="H2476" s="36" t="s">
        <v>4462</v>
      </c>
      <c r="I2476" s="36" t="s">
        <v>101</v>
      </c>
      <c r="J2476" s="252" t="s">
        <v>4463</v>
      </c>
      <c r="K2476" s="71">
        <v>45161</v>
      </c>
      <c r="L2476" s="36"/>
      <c r="M2476" s="108">
        <v>60</v>
      </c>
      <c r="N2476" s="108">
        <f>MONTH(Tableau13[[#This Row],[Date fin intervention]])</f>
        <v>8</v>
      </c>
      <c r="O2476" s="108">
        <f>YEAR(Tableau13[[#This Row],[Date fin intervention]])</f>
        <v>2023</v>
      </c>
      <c r="P2476" s="36"/>
    </row>
    <row r="2477" spans="1:16">
      <c r="A2477" s="104">
        <v>45161</v>
      </c>
      <c r="B2477" s="105">
        <v>800</v>
      </c>
      <c r="C2477" s="106" t="str">
        <f>IF(ISNA(VLOOKUP(Tableau13[[#This Row],[Code machine]],'CODE mchn'!$A$4:$C$170,2,0)),"",VLOOKUP(Tableau13[[#This Row],[Code machine]],'CODE mchn'!$A$4:$C$170,2,0))</f>
        <v>Béton</v>
      </c>
      <c r="D2477" s="36" t="str">
        <f>IF(ISNA(VLOOKUP(Tableau13[[#This Row],[Code machine]],'CODE mchn'!$A$4:$C$170,3,0)),"",VLOOKUP(Tableau13[[#This Row],[Code machine]],'CODE mchn'!$A$4:$C$170,3,0))</f>
        <v>Poyatos 2</v>
      </c>
      <c r="E2477" s="105">
        <v>26407</v>
      </c>
      <c r="F2477" s="36"/>
      <c r="G2477" s="36" t="s">
        <v>118</v>
      </c>
      <c r="H2477" s="36" t="s">
        <v>4464</v>
      </c>
      <c r="I2477" s="36"/>
      <c r="J2477" s="252" t="s">
        <v>4465</v>
      </c>
      <c r="K2477" s="71">
        <v>45161</v>
      </c>
      <c r="L2477" s="36"/>
      <c r="M2477" s="108">
        <v>120</v>
      </c>
      <c r="N2477" s="108">
        <f>MONTH(Tableau13[[#This Row],[Date fin intervention]])</f>
        <v>8</v>
      </c>
      <c r="O2477" s="108">
        <f>YEAR(Tableau13[[#This Row],[Date fin intervention]])</f>
        <v>2023</v>
      </c>
      <c r="P2477" s="36"/>
    </row>
    <row r="2478" spans="1:16">
      <c r="A2478" s="238">
        <v>45163</v>
      </c>
      <c r="B2478" s="239">
        <v>590</v>
      </c>
      <c r="C2478" s="240" t="str">
        <f>IF(ISNA(VLOOKUP(Tableau13[[#This Row],[Code machine]],'CODE mchn'!$A$4:$C$170,2,0)),"",VLOOKUP(Tableau13[[#This Row],[Code machine]],'CODE mchn'!$A$4:$C$170,2,0))</f>
        <v>Acier</v>
      </c>
      <c r="D2478" s="241" t="str">
        <f>IF(ISNA(VLOOKUP(Tableau13[[#This Row],[Code machine]],'CODE mchn'!$A$4:$C$170,3,0)),"",VLOOKUP(Tableau13[[#This Row],[Code machine]],'CODE mchn'!$A$4:$C$170,3,0))</f>
        <v>Teurema 3</v>
      </c>
      <c r="E2478" s="239">
        <v>30414</v>
      </c>
      <c r="F2478" s="241"/>
      <c r="G2478" s="241" t="s">
        <v>612</v>
      </c>
      <c r="H2478" s="241" t="s">
        <v>4433</v>
      </c>
      <c r="I2478" s="241" t="s">
        <v>3130</v>
      </c>
      <c r="J2478" s="249" t="s">
        <v>4434</v>
      </c>
      <c r="K2478" s="242">
        <v>45163</v>
      </c>
      <c r="L2478" s="241"/>
      <c r="M2478" s="243">
        <f>5.5*60</f>
        <v>330</v>
      </c>
      <c r="N2478" s="243">
        <f>MONTH(Tableau13[[#This Row],[Date fin intervention]])</f>
        <v>8</v>
      </c>
      <c r="O2478" s="243">
        <f>YEAR(Tableau13[[#This Row],[Date fin intervention]])</f>
        <v>2023</v>
      </c>
      <c r="P2478" s="241"/>
    </row>
    <row r="2479" spans="1:16">
      <c r="A2479" s="238">
        <v>45167</v>
      </c>
      <c r="B2479" s="239">
        <v>590</v>
      </c>
      <c r="C2479" s="240" t="str">
        <f>IF(ISNA(VLOOKUP(Tableau13[[#This Row],[Code machine]],'CODE mchn'!$A$4:$C$170,2,0)),"",VLOOKUP(Tableau13[[#This Row],[Code machine]],'CODE mchn'!$A$4:$C$170,2,0))</f>
        <v>Acier</v>
      </c>
      <c r="D2479" s="241" t="str">
        <f>IF(ISNA(VLOOKUP(Tableau13[[#This Row],[Code machine]],'CODE mchn'!$A$4:$C$170,3,0)),"",VLOOKUP(Tableau13[[#This Row],[Code machine]],'CODE mchn'!$A$4:$C$170,3,0))</f>
        <v>Teurema 3</v>
      </c>
      <c r="E2479" s="239">
        <v>30416</v>
      </c>
      <c r="F2479" s="241"/>
      <c r="G2479" s="241" t="s">
        <v>78</v>
      </c>
      <c r="H2479" s="241" t="s">
        <v>4267</v>
      </c>
      <c r="I2479" s="241" t="s">
        <v>13</v>
      </c>
      <c r="J2479" s="249" t="s">
        <v>4435</v>
      </c>
      <c r="K2479" s="242">
        <v>45167</v>
      </c>
      <c r="L2479" s="241"/>
      <c r="M2479" s="243">
        <v>75</v>
      </c>
      <c r="N2479" s="243">
        <f>MONTH(Tableau13[[#This Row],[Date fin intervention]])</f>
        <v>8</v>
      </c>
      <c r="O2479" s="243">
        <f>YEAR(Tableau13[[#This Row],[Date fin intervention]])</f>
        <v>2023</v>
      </c>
      <c r="P2479" s="241"/>
    </row>
    <row r="2480" spans="1:16">
      <c r="A2480" s="238">
        <v>45170</v>
      </c>
      <c r="B2480" s="239">
        <v>581</v>
      </c>
      <c r="C2480" s="240" t="str">
        <f>IF(ISNA(VLOOKUP(Tableau13[[#This Row],[Code machine]],'CODE mchn'!$A$4:$C$170,2,0)),"",VLOOKUP(Tableau13[[#This Row],[Code machine]],'CODE mchn'!$A$4:$C$170,2,0))</f>
        <v>Acier</v>
      </c>
      <c r="D2480" s="241" t="str">
        <f>IF(ISNA(VLOOKUP(Tableau13[[#This Row],[Code machine]],'CODE mchn'!$A$4:$C$170,3,0)),"",VLOOKUP(Tableau13[[#This Row],[Code machine]],'CODE mchn'!$A$4:$C$170,3,0))</f>
        <v>Teurema 1</v>
      </c>
      <c r="E2480" s="239">
        <v>30418</v>
      </c>
      <c r="F2480" s="241"/>
      <c r="G2480" s="241" t="s">
        <v>70</v>
      </c>
      <c r="H2480" s="241" t="s">
        <v>4436</v>
      </c>
      <c r="I2480" s="241" t="s">
        <v>13</v>
      </c>
      <c r="J2480" s="249" t="s">
        <v>4437</v>
      </c>
      <c r="K2480" s="242">
        <v>45170</v>
      </c>
      <c r="L2480" s="241"/>
      <c r="M2480" s="243">
        <f>3*60</f>
        <v>180</v>
      </c>
      <c r="N2480" s="243">
        <f>MONTH(Tableau13[[#This Row],[Date fin intervention]])</f>
        <v>9</v>
      </c>
      <c r="O2480" s="243">
        <f>YEAR(Tableau13[[#This Row],[Date fin intervention]])</f>
        <v>2023</v>
      </c>
      <c r="P2480" s="241"/>
    </row>
    <row r="2481" spans="1:16">
      <c r="A2481" s="104">
        <v>45171</v>
      </c>
      <c r="B2481" s="105">
        <v>700</v>
      </c>
      <c r="C2481" s="106" t="str">
        <f>IF(ISNA(VLOOKUP(Tableau13[[#This Row],[Code machine]],'CODE mchn'!$A$4:$C$170,2,0)),"",VLOOKUP(Tableau13[[#This Row],[Code machine]],'CODE mchn'!$A$4:$C$170,2,0))</f>
        <v>Béton</v>
      </c>
      <c r="D2481" s="36" t="str">
        <f>IF(ISNA(VLOOKUP(Tableau13[[#This Row],[Code machine]],'CODE mchn'!$A$4:$C$170,3,0)),"",VLOOKUP(Tableau13[[#This Row],[Code machine]],'CODE mchn'!$A$4:$C$170,3,0))</f>
        <v>Poyatos 1</v>
      </c>
      <c r="E2481" s="105">
        <v>26410</v>
      </c>
      <c r="F2481" s="36"/>
      <c r="G2481" s="36" t="s">
        <v>110</v>
      </c>
      <c r="H2481" s="36" t="s">
        <v>4466</v>
      </c>
      <c r="I2481" s="36"/>
      <c r="J2481" s="252" t="s">
        <v>4467</v>
      </c>
      <c r="K2481" s="71">
        <v>45171</v>
      </c>
      <c r="L2481" s="36"/>
      <c r="M2481" s="108">
        <v>90</v>
      </c>
      <c r="N2481" s="108">
        <f>MONTH(Tableau13[[#This Row],[Date fin intervention]])</f>
        <v>9</v>
      </c>
      <c r="O2481" s="108">
        <f>YEAR(Tableau13[[#This Row],[Date fin intervention]])</f>
        <v>2023</v>
      </c>
      <c r="P2481" s="36"/>
    </row>
    <row r="2482" spans="1:16">
      <c r="A2482" s="104">
        <v>45171</v>
      </c>
      <c r="B2482" s="105">
        <v>700</v>
      </c>
      <c r="C2482" s="106" t="str">
        <f>IF(ISNA(VLOOKUP(Tableau13[[#This Row],[Code machine]],'CODE mchn'!$A$4:$C$170,2,0)),"",VLOOKUP(Tableau13[[#This Row],[Code machine]],'CODE mchn'!$A$4:$C$170,2,0))</f>
        <v>Béton</v>
      </c>
      <c r="D2482" s="36" t="str">
        <f>IF(ISNA(VLOOKUP(Tableau13[[#This Row],[Code machine]],'CODE mchn'!$A$4:$C$170,3,0)),"",VLOOKUP(Tableau13[[#This Row],[Code machine]],'CODE mchn'!$A$4:$C$170,3,0))</f>
        <v>Poyatos 1</v>
      </c>
      <c r="E2482" s="105">
        <v>26411</v>
      </c>
      <c r="F2482" s="36"/>
      <c r="G2482" s="36" t="s">
        <v>291</v>
      </c>
      <c r="H2482" s="36" t="s">
        <v>3210</v>
      </c>
      <c r="I2482" s="36"/>
      <c r="J2482" s="252" t="s">
        <v>4374</v>
      </c>
      <c r="K2482" s="71">
        <v>45171</v>
      </c>
      <c r="L2482" s="36"/>
      <c r="M2482" s="108">
        <v>90</v>
      </c>
      <c r="N2482" s="108">
        <f>MONTH(Tableau13[[#This Row],[Date fin intervention]])</f>
        <v>9</v>
      </c>
      <c r="O2482" s="108">
        <f>YEAR(Tableau13[[#This Row],[Date fin intervention]])</f>
        <v>2023</v>
      </c>
      <c r="P2482" s="36"/>
    </row>
    <row r="2483" spans="1:16">
      <c r="A2483" s="104">
        <v>45171</v>
      </c>
      <c r="B2483" s="105">
        <v>800</v>
      </c>
      <c r="C2483" s="106" t="str">
        <f>IF(ISNA(VLOOKUP(Tableau13[[#This Row],[Code machine]],'CODE mchn'!$A$4:$C$170,2,0)),"",VLOOKUP(Tableau13[[#This Row],[Code machine]],'CODE mchn'!$A$4:$C$170,2,0))</f>
        <v>Béton</v>
      </c>
      <c r="D2483" s="36" t="str">
        <f>IF(ISNA(VLOOKUP(Tableau13[[#This Row],[Code machine]],'CODE mchn'!$A$4:$C$170,3,0)),"",VLOOKUP(Tableau13[[#This Row],[Code machine]],'CODE mchn'!$A$4:$C$170,3,0))</f>
        <v>Poyatos 2</v>
      </c>
      <c r="E2483" s="105">
        <v>26421</v>
      </c>
      <c r="F2483" s="36"/>
      <c r="G2483" s="36" t="s">
        <v>213</v>
      </c>
      <c r="H2483" s="36" t="s">
        <v>4564</v>
      </c>
      <c r="I2483" s="36"/>
      <c r="J2483" s="252" t="s">
        <v>4565</v>
      </c>
      <c r="K2483" s="71">
        <v>45171</v>
      </c>
      <c r="L2483" s="36"/>
      <c r="M2483" s="108">
        <v>50</v>
      </c>
      <c r="N2483" s="108">
        <f>MONTH(Tableau13[[#This Row],[Date fin intervention]])</f>
        <v>9</v>
      </c>
      <c r="O2483" s="108">
        <f>YEAR(Tableau13[[#This Row],[Date fin intervention]])</f>
        <v>2023</v>
      </c>
      <c r="P2483" s="36"/>
    </row>
    <row r="2484" spans="1:16" ht="28.5">
      <c r="A2484" s="104">
        <v>45174</v>
      </c>
      <c r="B2484" s="105">
        <v>605</v>
      </c>
      <c r="C2484" s="106" t="str">
        <f>IF(ISNA(VLOOKUP(Tableau13[[#This Row],[Code machine]],'CODE mchn'!$A$4:$C$170,2,0)),"",VLOOKUP(Tableau13[[#This Row],[Code machine]],'CODE mchn'!$A$4:$C$170,2,0))</f>
        <v>Acier</v>
      </c>
      <c r="D2484" s="36" t="str">
        <f>IF(ISNA(VLOOKUP(Tableau13[[#This Row],[Code machine]],'CODE mchn'!$A$4:$C$170,3,0)),"",VLOOKUP(Tableau13[[#This Row],[Code machine]],'CODE mchn'!$A$4:$C$170,3,0))</f>
        <v>Vitari 1</v>
      </c>
      <c r="E2484" s="105">
        <v>30357</v>
      </c>
      <c r="F2484" s="36"/>
      <c r="G2484" s="36" t="s">
        <v>10</v>
      </c>
      <c r="H2484" s="36" t="s">
        <v>4056</v>
      </c>
      <c r="I2484" s="36"/>
      <c r="J2484" s="252" t="s">
        <v>4489</v>
      </c>
      <c r="K2484" s="71">
        <v>45179</v>
      </c>
      <c r="L2484" s="36"/>
      <c r="M2484" s="108">
        <f>5*60*8</f>
        <v>2400</v>
      </c>
      <c r="N2484" s="108">
        <f>MONTH(Tableau13[[#This Row],[Date fin intervention]])</f>
        <v>9</v>
      </c>
      <c r="O2484" s="108">
        <f>YEAR(Tableau13[[#This Row],[Date fin intervention]])</f>
        <v>2023</v>
      </c>
      <c r="P2484" s="36"/>
    </row>
    <row r="2485" spans="1:16">
      <c r="A2485" s="104">
        <v>45175</v>
      </c>
      <c r="B2485" s="105">
        <v>700</v>
      </c>
      <c r="C2485" s="106" t="str">
        <f>IF(ISNA(VLOOKUP(Tableau13[[#This Row],[Code machine]],'CODE mchn'!$A$4:$C$170,2,0)),"",VLOOKUP(Tableau13[[#This Row],[Code machine]],'CODE mchn'!$A$4:$C$170,2,0))</f>
        <v>Béton</v>
      </c>
      <c r="D2485" s="36" t="str">
        <f>IF(ISNA(VLOOKUP(Tableau13[[#This Row],[Code machine]],'CODE mchn'!$A$4:$C$170,3,0)),"",VLOOKUP(Tableau13[[#This Row],[Code machine]],'CODE mchn'!$A$4:$C$170,3,0))</f>
        <v>Poyatos 1</v>
      </c>
      <c r="E2485" s="105">
        <v>26413</v>
      </c>
      <c r="F2485" s="36"/>
      <c r="G2485" s="36" t="s">
        <v>20</v>
      </c>
      <c r="H2485" s="36" t="s">
        <v>4468</v>
      </c>
      <c r="I2485" s="36"/>
      <c r="J2485" s="252" t="s">
        <v>4469</v>
      </c>
      <c r="K2485" s="71">
        <v>45175</v>
      </c>
      <c r="L2485" s="36"/>
      <c r="M2485" s="108">
        <v>60</v>
      </c>
      <c r="N2485" s="108">
        <f>MONTH(Tableau13[[#This Row],[Date fin intervention]])</f>
        <v>9</v>
      </c>
      <c r="O2485" s="108">
        <f>YEAR(Tableau13[[#This Row],[Date fin intervention]])</f>
        <v>2023</v>
      </c>
      <c r="P2485" s="36"/>
    </row>
    <row r="2486" spans="1:16">
      <c r="A2486" s="104">
        <v>45176</v>
      </c>
      <c r="B2486" s="105">
        <v>700</v>
      </c>
      <c r="C2486" s="106" t="str">
        <f>IF(ISNA(VLOOKUP(Tableau13[[#This Row],[Code machine]],'CODE mchn'!$A$4:$C$170,2,0)),"",VLOOKUP(Tableau13[[#This Row],[Code machine]],'CODE mchn'!$A$4:$C$170,2,0))</f>
        <v>Béton</v>
      </c>
      <c r="D2486" s="36" t="str">
        <f>IF(ISNA(VLOOKUP(Tableau13[[#This Row],[Code machine]],'CODE mchn'!$A$4:$C$170,3,0)),"",VLOOKUP(Tableau13[[#This Row],[Code machine]],'CODE mchn'!$A$4:$C$170,3,0))</f>
        <v>Poyatos 1</v>
      </c>
      <c r="E2486" s="105">
        <v>26414</v>
      </c>
      <c r="F2486" s="36"/>
      <c r="G2486" s="36" t="s">
        <v>291</v>
      </c>
      <c r="H2486" s="36" t="s">
        <v>4470</v>
      </c>
      <c r="I2486" s="36"/>
      <c r="J2486" s="252" t="s">
        <v>4471</v>
      </c>
      <c r="K2486" s="71">
        <v>45176</v>
      </c>
      <c r="L2486" s="36"/>
      <c r="M2486" s="108">
        <f>9*60</f>
        <v>540</v>
      </c>
      <c r="N2486" s="108">
        <f>MONTH(Tableau13[[#This Row],[Date fin intervention]])</f>
        <v>9</v>
      </c>
      <c r="O2486" s="108">
        <f>YEAR(Tableau13[[#This Row],[Date fin intervention]])</f>
        <v>2023</v>
      </c>
      <c r="P2486" s="36"/>
    </row>
    <row r="2487" spans="1:16">
      <c r="A2487" s="104">
        <v>45178</v>
      </c>
      <c r="B2487" s="105">
        <v>800</v>
      </c>
      <c r="C2487" s="106" t="str">
        <f>IF(ISNA(VLOOKUP(Tableau13[[#This Row],[Code machine]],'CODE mchn'!$A$4:$C$170,2,0)),"",VLOOKUP(Tableau13[[#This Row],[Code machine]],'CODE mchn'!$A$4:$C$170,2,0))</f>
        <v>Béton</v>
      </c>
      <c r="D2487" s="36" t="str">
        <f>IF(ISNA(VLOOKUP(Tableau13[[#This Row],[Code machine]],'CODE mchn'!$A$4:$C$170,3,0)),"",VLOOKUP(Tableau13[[#This Row],[Code machine]],'CODE mchn'!$A$4:$C$170,3,0))</f>
        <v>Poyatos 2</v>
      </c>
      <c r="E2487" s="105">
        <v>26415</v>
      </c>
      <c r="F2487" s="36"/>
      <c r="G2487" s="36" t="s">
        <v>185</v>
      </c>
      <c r="H2487" s="36" t="s">
        <v>430</v>
      </c>
      <c r="I2487" s="36"/>
      <c r="J2487" s="252" t="s">
        <v>4472</v>
      </c>
      <c r="K2487" s="71">
        <v>45178</v>
      </c>
      <c r="L2487" s="36"/>
      <c r="M2487" s="108">
        <v>120</v>
      </c>
      <c r="N2487" s="108">
        <f>MONTH(Tableau13[[#This Row],[Date fin intervention]])</f>
        <v>9</v>
      </c>
      <c r="O2487" s="108">
        <f>YEAR(Tableau13[[#This Row],[Date fin intervention]])</f>
        <v>2023</v>
      </c>
      <c r="P2487" s="36"/>
    </row>
    <row r="2488" spans="1:16">
      <c r="A2488" s="104">
        <v>45180</v>
      </c>
      <c r="B2488" s="105">
        <v>800</v>
      </c>
      <c r="C2488" s="106" t="str">
        <f>IF(ISNA(VLOOKUP(Tableau13[[#This Row],[Code machine]],'CODE mchn'!$A$4:$C$170,2,0)),"",VLOOKUP(Tableau13[[#This Row],[Code machine]],'CODE mchn'!$A$4:$C$170,2,0))</f>
        <v>Béton</v>
      </c>
      <c r="D2488" s="36" t="str">
        <f>IF(ISNA(VLOOKUP(Tableau13[[#This Row],[Code machine]],'CODE mchn'!$A$4:$C$170,3,0)),"",VLOOKUP(Tableau13[[#This Row],[Code machine]],'CODE mchn'!$A$4:$C$170,3,0))</f>
        <v>Poyatos 2</v>
      </c>
      <c r="E2488" s="105">
        <v>26416</v>
      </c>
      <c r="F2488" s="36"/>
      <c r="G2488" s="36" t="s">
        <v>675</v>
      </c>
      <c r="H2488" s="36" t="s">
        <v>4013</v>
      </c>
      <c r="I2488" s="36"/>
      <c r="J2488" s="252" t="s">
        <v>4217</v>
      </c>
      <c r="K2488" s="71">
        <v>45180</v>
      </c>
      <c r="L2488" s="36"/>
      <c r="M2488" s="108">
        <v>120</v>
      </c>
      <c r="N2488" s="108">
        <f>MONTH(Tableau13[[#This Row],[Date fin intervention]])</f>
        <v>9</v>
      </c>
      <c r="O2488" s="108">
        <f>YEAR(Tableau13[[#This Row],[Date fin intervention]])</f>
        <v>2023</v>
      </c>
      <c r="P2488" s="36"/>
    </row>
    <row r="2489" spans="1:16">
      <c r="A2489" s="238">
        <v>45182</v>
      </c>
      <c r="B2489" s="239">
        <v>590</v>
      </c>
      <c r="C2489" s="240" t="str">
        <f>IF(ISNA(VLOOKUP(Tableau13[[#This Row],[Code machine]],'CODE mchn'!$A$4:$C$170,2,0)),"",VLOOKUP(Tableau13[[#This Row],[Code machine]],'CODE mchn'!$A$4:$C$170,2,0))</f>
        <v>Acier</v>
      </c>
      <c r="D2489" s="241" t="str">
        <f>IF(ISNA(VLOOKUP(Tableau13[[#This Row],[Code machine]],'CODE mchn'!$A$4:$C$170,3,0)),"",VLOOKUP(Tableau13[[#This Row],[Code machine]],'CODE mchn'!$A$4:$C$170,3,0))</f>
        <v>Teurema 3</v>
      </c>
      <c r="E2489" s="239"/>
      <c r="F2489" s="241"/>
      <c r="G2489" s="241"/>
      <c r="H2489" s="241"/>
      <c r="I2489" s="241"/>
      <c r="J2489" s="249"/>
      <c r="K2489" s="242"/>
      <c r="L2489" s="241"/>
      <c r="M2489" s="243"/>
      <c r="N2489" s="243">
        <f>MONTH(Tableau13[[#This Row],[Date fin intervention]])</f>
        <v>1</v>
      </c>
      <c r="O2489" s="243">
        <f>YEAR(Tableau13[[#This Row],[Date fin intervention]])</f>
        <v>1900</v>
      </c>
      <c r="P2489" s="241"/>
    </row>
    <row r="2490" spans="1:16">
      <c r="A2490" s="104">
        <v>45182</v>
      </c>
      <c r="B2490" s="105">
        <v>580</v>
      </c>
      <c r="C2490" s="106" t="str">
        <f>IF(ISNA(VLOOKUP(Tableau13[[#This Row],[Code machine]],'CODE mchn'!$A$4:$C$170,2,0)),"",VLOOKUP(Tableau13[[#This Row],[Code machine]],'CODE mchn'!$A$4:$C$170,2,0))</f>
        <v>Acier</v>
      </c>
      <c r="D2490" s="36" t="str">
        <f>IF(ISNA(VLOOKUP(Tableau13[[#This Row],[Code machine]],'CODE mchn'!$A$4:$C$170,3,0)),"",VLOOKUP(Tableau13[[#This Row],[Code machine]],'CODE mchn'!$A$4:$C$170,3,0))</f>
        <v>Techno Impiante</v>
      </c>
      <c r="E2490" s="105">
        <v>30420</v>
      </c>
      <c r="F2490" s="36"/>
      <c r="G2490" s="36" t="s">
        <v>612</v>
      </c>
      <c r="H2490" s="36" t="s">
        <v>2975</v>
      </c>
      <c r="I2490" s="36"/>
      <c r="J2490" s="252" t="s">
        <v>4478</v>
      </c>
      <c r="K2490" s="71">
        <v>45182</v>
      </c>
      <c r="L2490" s="36"/>
      <c r="M2490" s="108">
        <f>7*60</f>
        <v>420</v>
      </c>
      <c r="N2490" s="108">
        <f>MONTH(Tableau13[[#This Row],[Date fin intervention]])</f>
        <v>9</v>
      </c>
      <c r="O2490" s="108">
        <f>YEAR(Tableau13[[#This Row],[Date fin intervention]])</f>
        <v>2023</v>
      </c>
      <c r="P2490" s="36"/>
    </row>
    <row r="2491" spans="1:16">
      <c r="A2491" s="104">
        <v>45183</v>
      </c>
      <c r="B2491" s="105">
        <v>700</v>
      </c>
      <c r="C2491" s="106" t="str">
        <f>IF(ISNA(VLOOKUP(Tableau13[[#This Row],[Code machine]],'CODE mchn'!$A$4:$C$170,2,0)),"",VLOOKUP(Tableau13[[#This Row],[Code machine]],'CODE mchn'!$A$4:$C$170,2,0))</f>
        <v>Béton</v>
      </c>
      <c r="D2491" s="36" t="str">
        <f>IF(ISNA(VLOOKUP(Tableau13[[#This Row],[Code machine]],'CODE mchn'!$A$4:$C$170,3,0)),"",VLOOKUP(Tableau13[[#This Row],[Code machine]],'CODE mchn'!$A$4:$C$170,3,0))</f>
        <v>Poyatos 1</v>
      </c>
      <c r="E2491" s="105">
        <v>26417</v>
      </c>
      <c r="F2491" s="36"/>
      <c r="G2491" s="36" t="s">
        <v>394</v>
      </c>
      <c r="H2491" s="36" t="s">
        <v>4473</v>
      </c>
      <c r="I2491" s="36"/>
      <c r="J2491" s="252" t="s">
        <v>4474</v>
      </c>
      <c r="K2491" s="71">
        <v>45152</v>
      </c>
      <c r="L2491" s="36"/>
      <c r="M2491" s="108">
        <v>280</v>
      </c>
      <c r="N2491" s="108">
        <f>MONTH(Tableau13[[#This Row],[Date fin intervention]])</f>
        <v>8</v>
      </c>
      <c r="O2491" s="108">
        <f>YEAR(Tableau13[[#This Row],[Date fin intervention]])</f>
        <v>2023</v>
      </c>
      <c r="P2491" s="36"/>
    </row>
    <row r="2492" spans="1:16">
      <c r="A2492" s="104">
        <v>45183</v>
      </c>
      <c r="B2492" s="105">
        <v>581</v>
      </c>
      <c r="C2492" s="106" t="str">
        <f>IF(ISNA(VLOOKUP(Tableau13[[#This Row],[Code machine]],'CODE mchn'!$A$4:$C$170,2,0)),"",VLOOKUP(Tableau13[[#This Row],[Code machine]],'CODE mchn'!$A$4:$C$170,2,0))</f>
        <v>Acier</v>
      </c>
      <c r="D2492" s="36" t="str">
        <f>IF(ISNA(VLOOKUP(Tableau13[[#This Row],[Code machine]],'CODE mchn'!$A$4:$C$170,3,0)),"",VLOOKUP(Tableau13[[#This Row],[Code machine]],'CODE mchn'!$A$4:$C$170,3,0))</f>
        <v>Teurema 1</v>
      </c>
      <c r="E2492" s="105">
        <v>30421</v>
      </c>
      <c r="F2492" s="36"/>
      <c r="G2492" s="36" t="s">
        <v>70</v>
      </c>
      <c r="H2492" s="36" t="s">
        <v>4479</v>
      </c>
      <c r="I2492" s="36"/>
      <c r="J2492" s="252" t="s">
        <v>4480</v>
      </c>
      <c r="K2492" s="71">
        <v>45183</v>
      </c>
      <c r="L2492" s="36"/>
      <c r="M2492" s="108">
        <v>581</v>
      </c>
      <c r="N2492" s="108">
        <f>MONTH(Tableau13[[#This Row],[Date fin intervention]])</f>
        <v>9</v>
      </c>
      <c r="O2492" s="108">
        <f>YEAR(Tableau13[[#This Row],[Date fin intervention]])</f>
        <v>2023</v>
      </c>
      <c r="P2492" s="36"/>
    </row>
    <row r="2493" spans="1:16">
      <c r="A2493" s="104">
        <v>45184</v>
      </c>
      <c r="B2493" s="105">
        <v>607</v>
      </c>
      <c r="C2493" s="106" t="str">
        <f>IF(ISNA(VLOOKUP(Tableau13[[#This Row],[Code machine]],'CODE mchn'!$A$4:$C$170,2,0)),"",VLOOKUP(Tableau13[[#This Row],[Code machine]],'CODE mchn'!$A$4:$C$170,2,0))</f>
        <v>Acier</v>
      </c>
      <c r="D2493" s="36" t="str">
        <f>IF(ISNA(VLOOKUP(Tableau13[[#This Row],[Code machine]],'CODE mchn'!$A$4:$C$170,3,0)),"",VLOOKUP(Tableau13[[#This Row],[Code machine]],'CODE mchn'!$A$4:$C$170,3,0))</f>
        <v>Vitari 3</v>
      </c>
      <c r="E2493" s="105">
        <v>30361</v>
      </c>
      <c r="F2493" s="36"/>
      <c r="G2493" s="36" t="s">
        <v>10</v>
      </c>
      <c r="H2493" s="36" t="s">
        <v>689</v>
      </c>
      <c r="I2493" s="36"/>
      <c r="J2493" s="252" t="s">
        <v>4490</v>
      </c>
      <c r="K2493" s="71">
        <v>45184</v>
      </c>
      <c r="L2493" s="36"/>
      <c r="M2493" s="108">
        <v>60</v>
      </c>
      <c r="N2493" s="108">
        <f>MONTH(Tableau13[[#This Row],[Date fin intervention]])</f>
        <v>9</v>
      </c>
      <c r="O2493" s="108">
        <f>YEAR(Tableau13[[#This Row],[Date fin intervention]])</f>
        <v>2023</v>
      </c>
      <c r="P2493" s="36"/>
    </row>
    <row r="2494" spans="1:16">
      <c r="A2494" s="104">
        <v>45187</v>
      </c>
      <c r="B2494" s="105">
        <v>700</v>
      </c>
      <c r="C2494" s="106" t="str">
        <f>IF(ISNA(VLOOKUP(Tableau13[[#This Row],[Code machine]],'CODE mchn'!$A$4:$C$170,2,0)),"",VLOOKUP(Tableau13[[#This Row],[Code machine]],'CODE mchn'!$A$4:$C$170,2,0))</f>
        <v>Béton</v>
      </c>
      <c r="D2494" s="36" t="str">
        <f>IF(ISNA(VLOOKUP(Tableau13[[#This Row],[Code machine]],'CODE mchn'!$A$4:$C$170,3,0)),"",VLOOKUP(Tableau13[[#This Row],[Code machine]],'CODE mchn'!$A$4:$C$170,3,0))</f>
        <v>Poyatos 1</v>
      </c>
      <c r="E2494" s="105">
        <v>26418</v>
      </c>
      <c r="F2494" s="36"/>
      <c r="G2494" s="36" t="s">
        <v>289</v>
      </c>
      <c r="H2494" s="36" t="s">
        <v>4411</v>
      </c>
      <c r="I2494" s="36"/>
      <c r="J2494" s="252" t="s">
        <v>4475</v>
      </c>
      <c r="K2494" s="71">
        <v>45187</v>
      </c>
      <c r="L2494" s="36"/>
      <c r="M2494" s="108">
        <v>150</v>
      </c>
      <c r="N2494" s="108">
        <f>MONTH(Tableau13[[#This Row],[Date fin intervention]])</f>
        <v>9</v>
      </c>
      <c r="O2494" s="108">
        <f>YEAR(Tableau13[[#This Row],[Date fin intervention]])</f>
        <v>2023</v>
      </c>
      <c r="P2494" s="36"/>
    </row>
    <row r="2495" spans="1:16">
      <c r="A2495" s="104">
        <v>45187</v>
      </c>
      <c r="B2495" s="105">
        <v>590</v>
      </c>
      <c r="C2495" s="106" t="str">
        <f>IF(ISNA(VLOOKUP(Tableau13[[#This Row],[Code machine]],'CODE mchn'!$A$4:$C$170,2,0)),"",VLOOKUP(Tableau13[[#This Row],[Code machine]],'CODE mchn'!$A$4:$C$170,2,0))</f>
        <v>Acier</v>
      </c>
      <c r="D2495" s="36" t="str">
        <f>IF(ISNA(VLOOKUP(Tableau13[[#This Row],[Code machine]],'CODE mchn'!$A$4:$C$170,3,0)),"",VLOOKUP(Tableau13[[#This Row],[Code machine]],'CODE mchn'!$A$4:$C$170,3,0))</f>
        <v>Teurema 3</v>
      </c>
      <c r="E2495" s="105">
        <v>30423</v>
      </c>
      <c r="F2495" s="36"/>
      <c r="G2495" s="36" t="s">
        <v>55</v>
      </c>
      <c r="H2495" s="36" t="s">
        <v>4481</v>
      </c>
      <c r="I2495" s="36"/>
      <c r="J2495" s="252" t="s">
        <v>4037</v>
      </c>
      <c r="K2495" s="71">
        <v>45187</v>
      </c>
      <c r="L2495" s="36"/>
      <c r="M2495" s="108">
        <v>60</v>
      </c>
      <c r="N2495" s="108">
        <f>MONTH(Tableau13[[#This Row],[Date fin intervention]])</f>
        <v>9</v>
      </c>
      <c r="O2495" s="108">
        <f>YEAR(Tableau13[[#This Row],[Date fin intervention]])</f>
        <v>2023</v>
      </c>
      <c r="P2495" s="36"/>
    </row>
    <row r="2496" spans="1:16">
      <c r="A2496" s="104">
        <v>45187</v>
      </c>
      <c r="B2496" s="105">
        <v>607</v>
      </c>
      <c r="C2496" s="106" t="str">
        <f>IF(ISNA(VLOOKUP(Tableau13[[#This Row],[Code machine]],'CODE mchn'!$A$4:$C$170,2,0)),"",VLOOKUP(Tableau13[[#This Row],[Code machine]],'CODE mchn'!$A$4:$C$170,2,0))</f>
        <v>Acier</v>
      </c>
      <c r="D2496" s="36" t="str">
        <f>IF(ISNA(VLOOKUP(Tableau13[[#This Row],[Code machine]],'CODE mchn'!$A$4:$C$170,3,0)),"",VLOOKUP(Tableau13[[#This Row],[Code machine]],'CODE mchn'!$A$4:$C$170,3,0))</f>
        <v>Vitari 3</v>
      </c>
      <c r="E2496" s="105">
        <v>30351</v>
      </c>
      <c r="F2496" s="36"/>
      <c r="G2496" s="36" t="s">
        <v>10</v>
      </c>
      <c r="H2496" s="36" t="s">
        <v>4487</v>
      </c>
      <c r="I2496" s="36"/>
      <c r="J2496" s="252" t="s">
        <v>4488</v>
      </c>
      <c r="K2496" s="71">
        <v>45187</v>
      </c>
      <c r="L2496" s="36"/>
      <c r="M2496" s="108">
        <f>60*8</f>
        <v>480</v>
      </c>
      <c r="N2496" s="108">
        <f>MONTH(Tableau13[[#This Row],[Date fin intervention]])</f>
        <v>9</v>
      </c>
      <c r="O2496" s="108">
        <f>YEAR(Tableau13[[#This Row],[Date fin intervention]])</f>
        <v>2023</v>
      </c>
      <c r="P2496" s="36"/>
    </row>
    <row r="2497" spans="1:16">
      <c r="A2497" s="104">
        <v>45189</v>
      </c>
      <c r="B2497" s="105">
        <v>581</v>
      </c>
      <c r="C2497" s="106" t="str">
        <f>IF(ISNA(VLOOKUP(Tableau13[[#This Row],[Code machine]],'CODE mchn'!$A$4:$C$170,2,0)),"",VLOOKUP(Tableau13[[#This Row],[Code machine]],'CODE mchn'!$A$4:$C$170,2,0))</f>
        <v>Acier</v>
      </c>
      <c r="D2497" s="36" t="str">
        <f>IF(ISNA(VLOOKUP(Tableau13[[#This Row],[Code machine]],'CODE mchn'!$A$4:$C$170,3,0)),"",VLOOKUP(Tableau13[[#This Row],[Code machine]],'CODE mchn'!$A$4:$C$170,3,0))</f>
        <v>Teurema 1</v>
      </c>
      <c r="E2497" s="105">
        <v>30424</v>
      </c>
      <c r="F2497" s="36"/>
      <c r="G2497" s="36" t="s">
        <v>4482</v>
      </c>
      <c r="H2497" s="36" t="s">
        <v>4483</v>
      </c>
      <c r="I2497" s="36"/>
      <c r="J2497" s="252" t="s">
        <v>4484</v>
      </c>
      <c r="K2497" s="71">
        <v>45189</v>
      </c>
      <c r="L2497" s="36"/>
      <c r="M2497" s="108">
        <v>20</v>
      </c>
      <c r="N2497" s="108">
        <f>MONTH(Tableau13[[#This Row],[Date fin intervention]])</f>
        <v>9</v>
      </c>
      <c r="O2497" s="108">
        <f>YEAR(Tableau13[[#This Row],[Date fin intervention]])</f>
        <v>2023</v>
      </c>
      <c r="P2497" s="36"/>
    </row>
    <row r="2498" spans="1:16">
      <c r="A2498" s="104">
        <v>45189</v>
      </c>
      <c r="B2498" s="105">
        <v>581</v>
      </c>
      <c r="C2498" s="106" t="str">
        <f>IF(ISNA(VLOOKUP(Tableau13[[#This Row],[Code machine]],'CODE mchn'!$A$4:$C$170,2,0)),"",VLOOKUP(Tableau13[[#This Row],[Code machine]],'CODE mchn'!$A$4:$C$170,2,0))</f>
        <v>Acier</v>
      </c>
      <c r="D2498" s="36" t="str">
        <f>IF(ISNA(VLOOKUP(Tableau13[[#This Row],[Code machine]],'CODE mchn'!$A$4:$C$170,3,0)),"",VLOOKUP(Tableau13[[#This Row],[Code machine]],'CODE mchn'!$A$4:$C$170,3,0))</f>
        <v>Teurema 1</v>
      </c>
      <c r="E2498" s="105">
        <v>30426</v>
      </c>
      <c r="F2498" s="36"/>
      <c r="G2498" s="36" t="s">
        <v>647</v>
      </c>
      <c r="H2498" s="36" t="s">
        <v>4485</v>
      </c>
      <c r="I2498" s="36"/>
      <c r="J2498" s="252" t="s">
        <v>4486</v>
      </c>
      <c r="K2498" s="71">
        <v>45189</v>
      </c>
      <c r="L2498" s="36"/>
      <c r="M2498" s="108">
        <v>120</v>
      </c>
      <c r="N2498" s="108">
        <f>MONTH(Tableau13[[#This Row],[Date fin intervention]])</f>
        <v>9</v>
      </c>
      <c r="O2498" s="108">
        <f>YEAR(Tableau13[[#This Row],[Date fin intervention]])</f>
        <v>2023</v>
      </c>
      <c r="P2498" s="36"/>
    </row>
    <row r="2499" spans="1:16">
      <c r="A2499" s="104">
        <v>45191</v>
      </c>
      <c r="B2499" s="105">
        <v>800</v>
      </c>
      <c r="C2499" s="106" t="str">
        <f>IF(ISNA(VLOOKUP(Tableau13[[#This Row],[Code machine]],'CODE mchn'!$A$4:$C$170,2,0)),"",VLOOKUP(Tableau13[[#This Row],[Code machine]],'CODE mchn'!$A$4:$C$170,2,0))</f>
        <v>Béton</v>
      </c>
      <c r="D2499" s="36" t="str">
        <f>IF(ISNA(VLOOKUP(Tableau13[[#This Row],[Code machine]],'CODE mchn'!$A$4:$C$170,3,0)),"",VLOOKUP(Tableau13[[#This Row],[Code machine]],'CODE mchn'!$A$4:$C$170,3,0))</f>
        <v>Poyatos 2</v>
      </c>
      <c r="E2499" s="105">
        <v>26420</v>
      </c>
      <c r="F2499" s="36"/>
      <c r="G2499" s="36" t="s">
        <v>43</v>
      </c>
      <c r="H2499" s="36" t="s">
        <v>4476</v>
      </c>
      <c r="I2499" s="36"/>
      <c r="J2499" s="252" t="s">
        <v>4477</v>
      </c>
      <c r="K2499" s="71">
        <v>45191</v>
      </c>
      <c r="L2499" s="36"/>
      <c r="M2499" s="108">
        <v>30</v>
      </c>
      <c r="N2499" s="108">
        <f>MONTH(Tableau13[[#This Row],[Date fin intervention]])</f>
        <v>9</v>
      </c>
      <c r="O2499" s="108">
        <f>YEAR(Tableau13[[#This Row],[Date fin intervention]])</f>
        <v>2023</v>
      </c>
      <c r="P2499" s="36"/>
    </row>
    <row r="2500" spans="1:16">
      <c r="A2500" s="104">
        <v>45195</v>
      </c>
      <c r="B2500" s="105">
        <v>700</v>
      </c>
      <c r="C2500" s="106" t="str">
        <f>IF(ISNA(VLOOKUP(Tableau13[[#This Row],[Code machine]],'CODE mchn'!$A$4:$C$170,2,0)),"",VLOOKUP(Tableau13[[#This Row],[Code machine]],'CODE mchn'!$A$4:$C$170,2,0))</f>
        <v>Béton</v>
      </c>
      <c r="D2500" s="36" t="str">
        <f>IF(ISNA(VLOOKUP(Tableau13[[#This Row],[Code machine]],'CODE mchn'!$A$4:$C$170,3,0)),"",VLOOKUP(Tableau13[[#This Row],[Code machine]],'CODE mchn'!$A$4:$C$170,3,0))</f>
        <v>Poyatos 1</v>
      </c>
      <c r="E2500" s="105">
        <v>26434</v>
      </c>
      <c r="F2500" s="36"/>
      <c r="G2500" s="36" t="s">
        <v>185</v>
      </c>
      <c r="H2500" s="36" t="s">
        <v>4587</v>
      </c>
      <c r="I2500" s="36"/>
      <c r="J2500" s="252" t="s">
        <v>4588</v>
      </c>
      <c r="K2500" s="71">
        <v>45195</v>
      </c>
      <c r="L2500" s="36"/>
      <c r="M2500" s="108">
        <v>90</v>
      </c>
      <c r="N2500" s="108">
        <f>MONTH(Tableau13[[#This Row],[Date fin intervention]])</f>
        <v>9</v>
      </c>
      <c r="O2500" s="108">
        <f>YEAR(Tableau13[[#This Row],[Date fin intervention]])</f>
        <v>2023</v>
      </c>
      <c r="P2500" s="36"/>
    </row>
    <row r="2501" spans="1:16">
      <c r="A2501" s="104">
        <v>45196</v>
      </c>
      <c r="B2501" s="105">
        <v>700</v>
      </c>
      <c r="C2501" s="106" t="str">
        <f>IF(ISNA(VLOOKUP(Tableau13[[#This Row],[Code machine]],'CODE mchn'!$A$4:$C$170,2,0)),"",VLOOKUP(Tableau13[[#This Row],[Code machine]],'CODE mchn'!$A$4:$C$170,2,0))</f>
        <v>Béton</v>
      </c>
      <c r="D2501" s="36" t="str">
        <f>IF(ISNA(VLOOKUP(Tableau13[[#This Row],[Code machine]],'CODE mchn'!$A$4:$C$170,3,0)),"",VLOOKUP(Tableau13[[#This Row],[Code machine]],'CODE mchn'!$A$4:$C$170,3,0))</f>
        <v>Poyatos 1</v>
      </c>
      <c r="E2501" s="105">
        <v>26423</v>
      </c>
      <c r="F2501" s="36"/>
      <c r="G2501" s="36" t="s">
        <v>185</v>
      </c>
      <c r="H2501" s="36" t="s">
        <v>4566</v>
      </c>
      <c r="I2501" s="36"/>
      <c r="J2501" s="252" t="s">
        <v>4567</v>
      </c>
      <c r="K2501" s="71">
        <v>45197</v>
      </c>
      <c r="L2501" s="36"/>
      <c r="M2501" s="108">
        <f>8*60*2</f>
        <v>960</v>
      </c>
      <c r="N2501" s="108">
        <f>MONTH(Tableau13[[#This Row],[Date fin intervention]])</f>
        <v>9</v>
      </c>
      <c r="O2501" s="108">
        <f>YEAR(Tableau13[[#This Row],[Date fin intervention]])</f>
        <v>2023</v>
      </c>
      <c r="P2501" s="36"/>
    </row>
    <row r="2502" spans="1:16">
      <c r="A2502" s="104">
        <v>45202</v>
      </c>
      <c r="B2502" s="105">
        <v>700</v>
      </c>
      <c r="C2502" s="106" t="str">
        <f>IF(ISNA(VLOOKUP(Tableau13[[#This Row],[Code machine]],'CODE mchn'!$A$4:$C$170,2,0)),"",VLOOKUP(Tableau13[[#This Row],[Code machine]],'CODE mchn'!$A$4:$C$170,2,0))</f>
        <v>Béton</v>
      </c>
      <c r="D2502" s="36" t="str">
        <f>IF(ISNA(VLOOKUP(Tableau13[[#This Row],[Code machine]],'CODE mchn'!$A$4:$C$170,3,0)),"",VLOOKUP(Tableau13[[#This Row],[Code machine]],'CODE mchn'!$A$4:$C$170,3,0))</f>
        <v>Poyatos 1</v>
      </c>
      <c r="E2502" s="105">
        <v>26426</v>
      </c>
      <c r="F2502" s="36"/>
      <c r="G2502" s="36" t="s">
        <v>185</v>
      </c>
      <c r="H2502" s="36" t="s">
        <v>4573</v>
      </c>
      <c r="I2502" s="36"/>
      <c r="J2502" s="252" t="s">
        <v>4574</v>
      </c>
      <c r="K2502" s="71">
        <v>45202</v>
      </c>
      <c r="L2502" s="36"/>
      <c r="M2502" s="108">
        <v>270</v>
      </c>
      <c r="N2502" s="108">
        <f>MONTH(Tableau13[[#This Row],[Date fin intervention]])</f>
        <v>10</v>
      </c>
      <c r="O2502" s="108">
        <f>YEAR(Tableau13[[#This Row],[Date fin intervention]])</f>
        <v>2023</v>
      </c>
      <c r="P2502" s="36"/>
    </row>
    <row r="2503" spans="1:16">
      <c r="A2503" s="104">
        <v>45203</v>
      </c>
      <c r="B2503" s="105">
        <v>700</v>
      </c>
      <c r="C2503" s="106" t="str">
        <f>IF(ISNA(VLOOKUP(Tableau13[[#This Row],[Code machine]],'CODE mchn'!$A$4:$C$170,2,0)),"",VLOOKUP(Tableau13[[#This Row],[Code machine]],'CODE mchn'!$A$4:$C$170,2,0))</f>
        <v>Béton</v>
      </c>
      <c r="D2503" s="36" t="str">
        <f>IF(ISNA(VLOOKUP(Tableau13[[#This Row],[Code machine]],'CODE mchn'!$A$4:$C$170,3,0)),"",VLOOKUP(Tableau13[[#This Row],[Code machine]],'CODE mchn'!$A$4:$C$170,3,0))</f>
        <v>Poyatos 1</v>
      </c>
      <c r="E2503" s="105">
        <v>26427</v>
      </c>
      <c r="F2503" s="36"/>
      <c r="G2503" s="36" t="s">
        <v>394</v>
      </c>
      <c r="H2503" s="36" t="s">
        <v>4575</v>
      </c>
      <c r="I2503" s="36"/>
      <c r="J2503" s="252" t="s">
        <v>4576</v>
      </c>
      <c r="K2503" s="71">
        <v>45203</v>
      </c>
      <c r="L2503" s="36"/>
      <c r="M2503" s="108">
        <v>40</v>
      </c>
      <c r="N2503" s="108">
        <f>MONTH(Tableau13[[#This Row],[Date fin intervention]])</f>
        <v>10</v>
      </c>
      <c r="O2503" s="108">
        <f>YEAR(Tableau13[[#This Row],[Date fin intervention]])</f>
        <v>2023</v>
      </c>
      <c r="P2503" s="36"/>
    </row>
    <row r="2504" spans="1:16">
      <c r="A2504" s="104">
        <v>45204</v>
      </c>
      <c r="B2504" s="105">
        <v>800</v>
      </c>
      <c r="C2504" s="106" t="str">
        <f>IF(ISNA(VLOOKUP(Tableau13[[#This Row],[Code machine]],'CODE mchn'!$A$4:$C$170,2,0)),"",VLOOKUP(Tableau13[[#This Row],[Code machine]],'CODE mchn'!$A$4:$C$170,2,0))</f>
        <v>Béton</v>
      </c>
      <c r="D2504" s="36" t="str">
        <f>IF(ISNA(VLOOKUP(Tableau13[[#This Row],[Code machine]],'CODE mchn'!$A$4:$C$170,3,0)),"",VLOOKUP(Tableau13[[#This Row],[Code machine]],'CODE mchn'!$A$4:$C$170,3,0))</f>
        <v>Poyatos 2</v>
      </c>
      <c r="E2504" s="105">
        <v>26424</v>
      </c>
      <c r="F2504" s="36"/>
      <c r="G2504" s="36" t="s">
        <v>233</v>
      </c>
      <c r="H2504" s="36" t="s">
        <v>4568</v>
      </c>
      <c r="I2504" s="36"/>
      <c r="J2504" s="252" t="s">
        <v>4569</v>
      </c>
      <c r="K2504" s="71">
        <v>45204</v>
      </c>
      <c r="L2504" s="36"/>
      <c r="M2504" s="108">
        <f>4*60</f>
        <v>240</v>
      </c>
      <c r="N2504" s="108">
        <f>MONTH(Tableau13[[#This Row],[Date fin intervention]])</f>
        <v>10</v>
      </c>
      <c r="O2504" s="108">
        <f>YEAR(Tableau13[[#This Row],[Date fin intervention]])</f>
        <v>2023</v>
      </c>
      <c r="P2504" s="36"/>
    </row>
    <row r="2505" spans="1:16">
      <c r="A2505" s="104">
        <v>45206</v>
      </c>
      <c r="B2505" s="105">
        <v>571</v>
      </c>
      <c r="C2505" s="106" t="str">
        <f>IF(ISNA(VLOOKUP(Tableau13[[#This Row],[Code machine]],'CODE mchn'!$A$4:$C$170,2,0)),"",VLOOKUP(Tableau13[[#This Row],[Code machine]],'CODE mchn'!$A$4:$C$170,2,0))</f>
        <v>Acier</v>
      </c>
      <c r="D2505" s="36" t="str">
        <f>IF(ISNA(VLOOKUP(Tableau13[[#This Row],[Code machine]],'CODE mchn'!$A$4:$C$170,3,0)),"",VLOOKUP(Tableau13[[#This Row],[Code machine]],'CODE mchn'!$A$4:$C$170,3,0))</f>
        <v>EVG PN 1</v>
      </c>
      <c r="E2505" s="105">
        <v>30362</v>
      </c>
      <c r="F2505" s="36"/>
      <c r="G2505" s="36" t="s">
        <v>1101</v>
      </c>
      <c r="H2505" s="36" t="s">
        <v>4530</v>
      </c>
      <c r="I2505" s="36"/>
      <c r="J2505" s="252" t="s">
        <v>4531</v>
      </c>
      <c r="K2505" s="71">
        <v>45206</v>
      </c>
      <c r="L2505" s="36"/>
      <c r="M2505" s="108">
        <f>8*60</f>
        <v>480</v>
      </c>
      <c r="N2505" s="108">
        <f>MONTH(Tableau13[[#This Row],[Date fin intervention]])</f>
        <v>10</v>
      </c>
      <c r="O2505" s="108">
        <f>YEAR(Tableau13[[#This Row],[Date fin intervention]])</f>
        <v>2023</v>
      </c>
      <c r="P2505" s="36"/>
    </row>
    <row r="2506" spans="1:16">
      <c r="A2506" s="104">
        <v>45208</v>
      </c>
      <c r="B2506" s="105">
        <v>800</v>
      </c>
      <c r="C2506" s="106" t="str">
        <f>IF(ISNA(VLOOKUP(Tableau13[[#This Row],[Code machine]],'CODE mchn'!$A$4:$C$170,2,0)),"",VLOOKUP(Tableau13[[#This Row],[Code machine]],'CODE mchn'!$A$4:$C$170,2,0))</f>
        <v>Béton</v>
      </c>
      <c r="D2506" s="36" t="str">
        <f>IF(ISNA(VLOOKUP(Tableau13[[#This Row],[Code machine]],'CODE mchn'!$A$4:$C$170,3,0)),"",VLOOKUP(Tableau13[[#This Row],[Code machine]],'CODE mchn'!$A$4:$C$170,3,0))</f>
        <v>Poyatos 2</v>
      </c>
      <c r="E2506" s="105">
        <v>26431</v>
      </c>
      <c r="F2506" s="36"/>
      <c r="G2506" s="36" t="s">
        <v>118</v>
      </c>
      <c r="H2506" s="36" t="s">
        <v>4582</v>
      </c>
      <c r="I2506" s="36"/>
      <c r="J2506" s="252" t="s">
        <v>4583</v>
      </c>
      <c r="K2506" s="71">
        <v>45208</v>
      </c>
      <c r="L2506" s="36"/>
      <c r="M2506" s="108">
        <v>120</v>
      </c>
      <c r="N2506" s="108">
        <f>MONTH(Tableau13[[#This Row],[Date fin intervention]])</f>
        <v>10</v>
      </c>
      <c r="O2506" s="108">
        <f>YEAR(Tableau13[[#This Row],[Date fin intervention]])</f>
        <v>2023</v>
      </c>
      <c r="P2506" s="36"/>
    </row>
    <row r="2507" spans="1:16">
      <c r="A2507" s="104">
        <v>45209</v>
      </c>
      <c r="B2507" s="105">
        <v>800</v>
      </c>
      <c r="C2507" s="106" t="str">
        <f>IF(ISNA(VLOOKUP(Tableau13[[#This Row],[Code machine]],'CODE mchn'!$A$4:$C$170,2,0)),"",VLOOKUP(Tableau13[[#This Row],[Code machine]],'CODE mchn'!$A$4:$C$170,2,0))</f>
        <v>Béton</v>
      </c>
      <c r="D2507" s="36" t="str">
        <f>IF(ISNA(VLOOKUP(Tableau13[[#This Row],[Code machine]],'CODE mchn'!$A$4:$C$170,3,0)),"",VLOOKUP(Tableau13[[#This Row],[Code machine]],'CODE mchn'!$A$4:$C$170,3,0))</f>
        <v>Poyatos 2</v>
      </c>
      <c r="E2507" s="105">
        <v>26428</v>
      </c>
      <c r="F2507" s="36"/>
      <c r="G2507" s="36" t="s">
        <v>185</v>
      </c>
      <c r="H2507" s="36" t="s">
        <v>4577</v>
      </c>
      <c r="I2507" s="36"/>
      <c r="J2507" s="252" t="s">
        <v>4578</v>
      </c>
      <c r="K2507" s="71">
        <v>45209</v>
      </c>
      <c r="L2507" s="36"/>
      <c r="M2507" s="108">
        <f>4*60</f>
        <v>240</v>
      </c>
      <c r="N2507" s="108">
        <f>MONTH(Tableau13[[#This Row],[Date fin intervention]])</f>
        <v>10</v>
      </c>
      <c r="O2507" s="108">
        <f>YEAR(Tableau13[[#This Row],[Date fin intervention]])</f>
        <v>2023</v>
      </c>
      <c r="P2507" s="36"/>
    </row>
    <row r="2508" spans="1:16">
      <c r="A2508" s="104">
        <v>45209</v>
      </c>
      <c r="B2508" s="105">
        <v>700</v>
      </c>
      <c r="C2508" s="106" t="str">
        <f>IF(ISNA(VLOOKUP(Tableau13[[#This Row],[Code machine]],'CODE mchn'!$A$4:$C$170,2,0)),"",VLOOKUP(Tableau13[[#This Row],[Code machine]],'CODE mchn'!$A$4:$C$170,2,0))</f>
        <v>Béton</v>
      </c>
      <c r="D2508" s="36" t="str">
        <f>IF(ISNA(VLOOKUP(Tableau13[[#This Row],[Code machine]],'CODE mchn'!$A$4:$C$170,3,0)),"",VLOOKUP(Tableau13[[#This Row],[Code machine]],'CODE mchn'!$A$4:$C$170,3,0))</f>
        <v>Poyatos 1</v>
      </c>
      <c r="E2508" s="105">
        <v>26429</v>
      </c>
      <c r="F2508" s="36"/>
      <c r="G2508" s="36" t="s">
        <v>185</v>
      </c>
      <c r="H2508" s="36" t="s">
        <v>4579</v>
      </c>
      <c r="I2508" s="36"/>
      <c r="J2508" s="252" t="s">
        <v>4580</v>
      </c>
      <c r="K2508" s="71">
        <v>45209</v>
      </c>
      <c r="L2508" s="36"/>
      <c r="M2508" s="108">
        <v>180</v>
      </c>
      <c r="N2508" s="108">
        <f>MONTH(Tableau13[[#This Row],[Date fin intervention]])</f>
        <v>10</v>
      </c>
      <c r="O2508" s="108">
        <f>YEAR(Tableau13[[#This Row],[Date fin intervention]])</f>
        <v>2023</v>
      </c>
      <c r="P2508" s="36"/>
    </row>
    <row r="2509" spans="1:16">
      <c r="A2509" s="238">
        <v>45210</v>
      </c>
      <c r="B2509" s="239">
        <v>571</v>
      </c>
      <c r="C2509" s="240" t="str">
        <f>IF(ISNA(VLOOKUP(Tableau13[[#This Row],[Code machine]],'CODE mchn'!$A$4:$C$170,2,0)),"",VLOOKUP(Tableau13[[#This Row],[Code machine]],'CODE mchn'!$A$4:$C$170,2,0))</f>
        <v>Acier</v>
      </c>
      <c r="D2509" s="241" t="str">
        <f>IF(ISNA(VLOOKUP(Tableau13[[#This Row],[Code machine]],'CODE mchn'!$A$4:$C$170,3,0)),"",VLOOKUP(Tableau13[[#This Row],[Code machine]],'CODE mchn'!$A$4:$C$170,3,0))</f>
        <v>EVG PN 1</v>
      </c>
      <c r="E2509" s="239">
        <v>30363</v>
      </c>
      <c r="F2509" s="241"/>
      <c r="G2509" s="241" t="s">
        <v>4491</v>
      </c>
      <c r="H2509" s="241" t="s">
        <v>4368</v>
      </c>
      <c r="I2509" s="241"/>
      <c r="J2509" s="249" t="s">
        <v>4400</v>
      </c>
      <c r="K2509" s="242">
        <v>45210</v>
      </c>
      <c r="L2509" s="241"/>
      <c r="M2509" s="243">
        <f>3*60</f>
        <v>180</v>
      </c>
      <c r="N2509" s="243">
        <f>MONTH(Tableau13[[#This Row],[Date fin intervention]])</f>
        <v>10</v>
      </c>
      <c r="O2509" s="243">
        <f>YEAR(Tableau13[[#This Row],[Date fin intervention]])</f>
        <v>2023</v>
      </c>
      <c r="P2509" s="241"/>
    </row>
    <row r="2510" spans="1:16">
      <c r="A2510" s="104">
        <v>45210</v>
      </c>
      <c r="B2510" s="105">
        <v>560</v>
      </c>
      <c r="C2510" s="106" t="str">
        <f>IF(ISNA(VLOOKUP(Tableau13[[#This Row],[Code machine]],'CODE mchn'!$A$4:$C$170,2,0)),"",VLOOKUP(Tableau13[[#This Row],[Code machine]],'CODE mchn'!$A$4:$C$170,2,0))</f>
        <v>Acier</v>
      </c>
      <c r="D2510" s="36" t="str">
        <f>IF(ISNA(VLOOKUP(Tableau13[[#This Row],[Code machine]],'CODE mchn'!$A$4:$C$170,3,0)),"",VLOOKUP(Tableau13[[#This Row],[Code machine]],'CODE mchn'!$A$4:$C$170,3,0))</f>
        <v>Schlatter</v>
      </c>
      <c r="E2510" s="105">
        <v>30364</v>
      </c>
      <c r="F2510" s="36"/>
      <c r="G2510" s="36" t="s">
        <v>3217</v>
      </c>
      <c r="H2510" s="36" t="s">
        <v>4532</v>
      </c>
      <c r="I2510" s="36"/>
      <c r="J2510" s="252" t="s">
        <v>4533</v>
      </c>
      <c r="K2510" s="71">
        <v>45210</v>
      </c>
      <c r="L2510" s="36"/>
      <c r="M2510" s="108">
        <v>60</v>
      </c>
      <c r="N2510" s="108">
        <f>MONTH(Tableau13[[#This Row],[Date fin intervention]])</f>
        <v>10</v>
      </c>
      <c r="O2510" s="108">
        <f>YEAR(Tableau13[[#This Row],[Date fin intervention]])</f>
        <v>2023</v>
      </c>
      <c r="P2510" s="36"/>
    </row>
    <row r="2511" spans="1:16">
      <c r="A2511" s="104">
        <v>45210</v>
      </c>
      <c r="B2511" s="105">
        <v>700</v>
      </c>
      <c r="C2511" s="106" t="str">
        <f>IF(ISNA(VLOOKUP(Tableau13[[#This Row],[Code machine]],'CODE mchn'!$A$4:$C$170,2,0)),"",VLOOKUP(Tableau13[[#This Row],[Code machine]],'CODE mchn'!$A$4:$C$170,2,0))</f>
        <v>Béton</v>
      </c>
      <c r="D2511" s="36" t="str">
        <f>IF(ISNA(VLOOKUP(Tableau13[[#This Row],[Code machine]],'CODE mchn'!$A$4:$C$170,3,0)),"",VLOOKUP(Tableau13[[#This Row],[Code machine]],'CODE mchn'!$A$4:$C$170,3,0))</f>
        <v>Poyatos 1</v>
      </c>
      <c r="E2511" s="105">
        <v>26430</v>
      </c>
      <c r="F2511" s="36"/>
      <c r="G2511" s="36" t="s">
        <v>291</v>
      </c>
      <c r="H2511" s="36" t="s">
        <v>4581</v>
      </c>
      <c r="I2511" s="36"/>
      <c r="J2511" s="252" t="s">
        <v>4166</v>
      </c>
      <c r="K2511" s="71">
        <v>45210</v>
      </c>
      <c r="L2511" s="36"/>
      <c r="M2511" s="108">
        <v>90</v>
      </c>
      <c r="N2511" s="108">
        <f>MONTH(Tableau13[[#This Row],[Date fin intervention]])</f>
        <v>10</v>
      </c>
      <c r="O2511" s="108">
        <f>YEAR(Tableau13[[#This Row],[Date fin intervention]])</f>
        <v>2023</v>
      </c>
      <c r="P2511" s="36"/>
    </row>
    <row r="2512" spans="1:16">
      <c r="A2512" s="104">
        <v>45211</v>
      </c>
      <c r="B2512" s="105">
        <v>534</v>
      </c>
      <c r="C2512" s="106" t="str">
        <f>IF(ISNA(VLOOKUP(Tableau13[[#This Row],[Code machine]],'CODE mchn'!$A$4:$C$170,2,0)),"",VLOOKUP(Tableau13[[#This Row],[Code machine]],'CODE mchn'!$A$4:$C$170,2,0))</f>
        <v>Enrobage</v>
      </c>
      <c r="D2512" s="36" t="str">
        <f>IF(ISNA(VLOOKUP(Tableau13[[#This Row],[Code machine]],'CODE mchn'!$A$4:$C$170,3,0)),"",VLOOKUP(Tableau13[[#This Row],[Code machine]],'CODE mchn'!$A$4:$C$170,3,0))</f>
        <v>ELKON 2</v>
      </c>
      <c r="E2512" s="105">
        <v>30365</v>
      </c>
      <c r="F2512" s="36"/>
      <c r="G2512" s="36" t="s">
        <v>4534</v>
      </c>
      <c r="H2512" s="36" t="s">
        <v>4535</v>
      </c>
      <c r="I2512" s="36"/>
      <c r="J2512" s="252" t="s">
        <v>4536</v>
      </c>
      <c r="K2512" s="71">
        <v>45211</v>
      </c>
      <c r="L2512" s="36"/>
      <c r="M2512" s="108">
        <f>3*60</f>
        <v>180</v>
      </c>
      <c r="N2512" s="108">
        <f>MONTH(Tableau13[[#This Row],[Date fin intervention]])</f>
        <v>10</v>
      </c>
      <c r="O2512" s="108">
        <f>YEAR(Tableau13[[#This Row],[Date fin intervention]])</f>
        <v>2023</v>
      </c>
      <c r="P2512" s="36"/>
    </row>
    <row r="2513" spans="1:16">
      <c r="A2513" s="104">
        <v>45216</v>
      </c>
      <c r="B2513" s="105">
        <v>700</v>
      </c>
      <c r="C2513" s="106" t="str">
        <f>IF(ISNA(VLOOKUP(Tableau13[[#This Row],[Code machine]],'CODE mchn'!$A$4:$C$170,2,0)),"",VLOOKUP(Tableau13[[#This Row],[Code machine]],'CODE mchn'!$A$4:$C$170,2,0))</f>
        <v>Béton</v>
      </c>
      <c r="D2513" s="36" t="str">
        <f>IF(ISNA(VLOOKUP(Tableau13[[#This Row],[Code machine]],'CODE mchn'!$A$4:$C$170,3,0)),"",VLOOKUP(Tableau13[[#This Row],[Code machine]],'CODE mchn'!$A$4:$C$170,3,0))</f>
        <v>Poyatos 1</v>
      </c>
      <c r="E2513" s="105">
        <v>26432</v>
      </c>
      <c r="F2513" s="36"/>
      <c r="G2513" s="36" t="s">
        <v>118</v>
      </c>
      <c r="H2513" s="36" t="s">
        <v>4584</v>
      </c>
      <c r="I2513" s="36"/>
      <c r="J2513" s="252" t="s">
        <v>2919</v>
      </c>
      <c r="K2513" s="71">
        <v>45216</v>
      </c>
      <c r="L2513" s="36"/>
      <c r="M2513" s="108">
        <v>30</v>
      </c>
      <c r="N2513" s="108">
        <f>MONTH(Tableau13[[#This Row],[Date fin intervention]])</f>
        <v>10</v>
      </c>
      <c r="O2513" s="108">
        <f>YEAR(Tableau13[[#This Row],[Date fin intervention]])</f>
        <v>2023</v>
      </c>
      <c r="P2513" s="36"/>
    </row>
    <row r="2514" spans="1:16">
      <c r="A2514" s="104">
        <v>45217</v>
      </c>
      <c r="B2514" s="105">
        <v>620</v>
      </c>
      <c r="C2514" s="106" t="str">
        <f>IF(ISNA(VLOOKUP(Tableau13[[#This Row],[Code machine]],'CODE mchn'!$A$4:$C$170,2,0)),"",VLOOKUP(Tableau13[[#This Row],[Code machine]],'CODE mchn'!$A$4:$C$170,2,0))</f>
        <v>Acier</v>
      </c>
      <c r="D2514" s="36" t="str">
        <f>IF(ISNA(VLOOKUP(Tableau13[[#This Row],[Code machine]],'CODE mchn'!$A$4:$C$170,3,0)),"",VLOOKUP(Tableau13[[#This Row],[Code machine]],'CODE mchn'!$A$4:$C$170,3,0))</f>
        <v>EVG PN 2</v>
      </c>
      <c r="E2514" s="105">
        <v>30367</v>
      </c>
      <c r="F2514" s="36"/>
      <c r="G2514" s="36" t="s">
        <v>4537</v>
      </c>
      <c r="H2514" s="36" t="s">
        <v>4538</v>
      </c>
      <c r="I2514" s="36"/>
      <c r="J2514" s="252" t="s">
        <v>4539</v>
      </c>
      <c r="K2514" s="71">
        <v>45217</v>
      </c>
      <c r="L2514" s="36"/>
      <c r="M2514" s="108">
        <f>8*60</f>
        <v>480</v>
      </c>
      <c r="N2514" s="108">
        <f>MONTH(Tableau13[[#This Row],[Date fin intervention]])</f>
        <v>10</v>
      </c>
      <c r="O2514" s="108">
        <f>YEAR(Tableau13[[#This Row],[Date fin intervention]])</f>
        <v>2023</v>
      </c>
      <c r="P2514" s="36"/>
    </row>
    <row r="2515" spans="1:16">
      <c r="A2515" s="104">
        <v>45223</v>
      </c>
      <c r="B2515" s="105">
        <v>700</v>
      </c>
      <c r="C2515" s="106" t="str">
        <f>IF(ISNA(VLOOKUP(Tableau13[[#This Row],[Code machine]],'CODE mchn'!$A$4:$C$170,2,0)),"",VLOOKUP(Tableau13[[#This Row],[Code machine]],'CODE mchn'!$A$4:$C$170,2,0))</f>
        <v>Béton</v>
      </c>
      <c r="D2515" s="36" t="str">
        <f>IF(ISNA(VLOOKUP(Tableau13[[#This Row],[Code machine]],'CODE mchn'!$A$4:$C$170,3,0)),"",VLOOKUP(Tableau13[[#This Row],[Code machine]],'CODE mchn'!$A$4:$C$170,3,0))</f>
        <v>Poyatos 1</v>
      </c>
      <c r="E2515" s="105">
        <v>26433</v>
      </c>
      <c r="F2515" s="36"/>
      <c r="G2515" s="36" t="s">
        <v>809</v>
      </c>
      <c r="H2515" s="36" t="s">
        <v>4585</v>
      </c>
      <c r="I2515" s="36"/>
      <c r="J2515" s="252" t="s">
        <v>4586</v>
      </c>
      <c r="K2515" s="71">
        <v>45223</v>
      </c>
      <c r="L2515" s="36"/>
      <c r="M2515" s="108">
        <f>8*60</f>
        <v>480</v>
      </c>
      <c r="N2515" s="108">
        <f>MONTH(Tableau13[[#This Row],[Date fin intervention]])</f>
        <v>10</v>
      </c>
      <c r="O2515" s="108">
        <f>YEAR(Tableau13[[#This Row],[Date fin intervention]])</f>
        <v>2023</v>
      </c>
      <c r="P2515" s="36"/>
    </row>
    <row r="2516" spans="1:16">
      <c r="A2516" s="104">
        <v>45224</v>
      </c>
      <c r="B2516" s="105">
        <v>607</v>
      </c>
      <c r="C2516" s="106" t="str">
        <f>IF(ISNA(VLOOKUP(Tableau13[[#This Row],[Code machine]],'CODE mchn'!$A$4:$C$170,2,0)),"",VLOOKUP(Tableau13[[#This Row],[Code machine]],'CODE mchn'!$A$4:$C$170,2,0))</f>
        <v>Acier</v>
      </c>
      <c r="D2516" s="36" t="str">
        <f>IF(ISNA(VLOOKUP(Tableau13[[#This Row],[Code machine]],'CODE mchn'!$A$4:$C$170,3,0)),"",VLOOKUP(Tableau13[[#This Row],[Code machine]],'CODE mchn'!$A$4:$C$170,3,0))</f>
        <v>Vitari 3</v>
      </c>
      <c r="E2516" s="105">
        <v>30375</v>
      </c>
      <c r="F2516" s="36"/>
      <c r="G2516" s="36" t="s">
        <v>78</v>
      </c>
      <c r="H2516" s="36" t="s">
        <v>4545</v>
      </c>
      <c r="I2516" s="36"/>
      <c r="J2516" s="252" t="s">
        <v>3195</v>
      </c>
      <c r="K2516" s="71">
        <v>45224</v>
      </c>
      <c r="L2516" s="36"/>
      <c r="M2516" s="108">
        <v>60</v>
      </c>
      <c r="N2516" s="108">
        <f>MONTH(Tableau13[[#This Row],[Date fin intervention]])</f>
        <v>10</v>
      </c>
      <c r="O2516" s="108">
        <f>YEAR(Tableau13[[#This Row],[Date fin intervention]])</f>
        <v>2023</v>
      </c>
      <c r="P2516" s="36"/>
    </row>
    <row r="2517" spans="1:16">
      <c r="A2517" s="104">
        <v>45225</v>
      </c>
      <c r="B2517" s="105">
        <v>800</v>
      </c>
      <c r="C2517" s="106" t="str">
        <f>IF(ISNA(VLOOKUP(Tableau13[[#This Row],[Code machine]],'CODE mchn'!$A$4:$C$170,2,0)),"",VLOOKUP(Tableau13[[#This Row],[Code machine]],'CODE mchn'!$A$4:$C$170,2,0))</f>
        <v>Béton</v>
      </c>
      <c r="D2517" s="36" t="str">
        <f>IF(ISNA(VLOOKUP(Tableau13[[#This Row],[Code machine]],'CODE mchn'!$A$4:$C$170,3,0)),"",VLOOKUP(Tableau13[[#This Row],[Code machine]],'CODE mchn'!$A$4:$C$170,3,0))</f>
        <v>Poyatos 2</v>
      </c>
      <c r="E2517" s="105">
        <v>26435</v>
      </c>
      <c r="F2517" s="36"/>
      <c r="G2517" s="36" t="s">
        <v>213</v>
      </c>
      <c r="H2517" s="36" t="s">
        <v>4589</v>
      </c>
      <c r="I2517" s="36"/>
      <c r="J2517" s="252" t="s">
        <v>4374</v>
      </c>
      <c r="K2517" s="71">
        <v>45225</v>
      </c>
      <c r="L2517" s="36"/>
      <c r="M2517" s="108">
        <v>180</v>
      </c>
      <c r="N2517" s="108">
        <f>MONTH(Tableau13[[#This Row],[Date fin intervention]])</f>
        <v>10</v>
      </c>
      <c r="O2517" s="108">
        <f>YEAR(Tableau13[[#This Row],[Date fin intervention]])</f>
        <v>2023</v>
      </c>
      <c r="P2517" s="36"/>
    </row>
    <row r="2518" spans="1:16">
      <c r="A2518" s="104">
        <v>45226</v>
      </c>
      <c r="B2518" s="105">
        <v>560</v>
      </c>
      <c r="C2518" s="106" t="str">
        <f>IF(ISNA(VLOOKUP(Tableau13[[#This Row],[Code machine]],'CODE mchn'!$A$4:$C$170,2,0)),"",VLOOKUP(Tableau13[[#This Row],[Code machine]],'CODE mchn'!$A$4:$C$170,2,0))</f>
        <v>Acier</v>
      </c>
      <c r="D2518" s="36" t="str">
        <f>IF(ISNA(VLOOKUP(Tableau13[[#This Row],[Code machine]],'CODE mchn'!$A$4:$C$170,3,0)),"",VLOOKUP(Tableau13[[#This Row],[Code machine]],'CODE mchn'!$A$4:$C$170,3,0))</f>
        <v>Schlatter</v>
      </c>
      <c r="E2518" s="105">
        <v>30371</v>
      </c>
      <c r="F2518" s="36"/>
      <c r="G2518" s="36" t="s">
        <v>726</v>
      </c>
      <c r="H2518" s="36" t="s">
        <v>4543</v>
      </c>
      <c r="I2518" s="36"/>
      <c r="J2518" s="252" t="s">
        <v>4544</v>
      </c>
      <c r="K2518" s="71">
        <v>45226</v>
      </c>
      <c r="L2518" s="36"/>
      <c r="M2518" s="108">
        <f>3.5*60</f>
        <v>210</v>
      </c>
      <c r="N2518" s="108">
        <f>MONTH(Tableau13[[#This Row],[Date fin intervention]])</f>
        <v>10</v>
      </c>
      <c r="O2518" s="108">
        <f>YEAR(Tableau13[[#This Row],[Date fin intervention]])</f>
        <v>2023</v>
      </c>
      <c r="P2518" s="36"/>
    </row>
    <row r="2519" spans="1:16" ht="28.5">
      <c r="A2519" s="104">
        <v>45226</v>
      </c>
      <c r="B2519" s="105">
        <v>560</v>
      </c>
      <c r="C2519" s="106" t="str">
        <f>IF(ISNA(VLOOKUP(Tableau13[[#This Row],[Code machine]],'CODE mchn'!$A$4:$C$170,2,0)),"",VLOOKUP(Tableau13[[#This Row],[Code machine]],'CODE mchn'!$A$4:$C$170,2,0))</f>
        <v>Acier</v>
      </c>
      <c r="D2519" s="36" t="str">
        <f>IF(ISNA(VLOOKUP(Tableau13[[#This Row],[Code machine]],'CODE mchn'!$A$4:$C$170,3,0)),"",VLOOKUP(Tableau13[[#This Row],[Code machine]],'CODE mchn'!$A$4:$C$170,3,0))</f>
        <v>Schlatter</v>
      </c>
      <c r="E2519" s="105">
        <v>30376</v>
      </c>
      <c r="F2519" s="36"/>
      <c r="G2519" s="36" t="s">
        <v>1722</v>
      </c>
      <c r="H2519" s="36" t="s">
        <v>4546</v>
      </c>
      <c r="I2519" s="36"/>
      <c r="J2519" s="252" t="s">
        <v>4547</v>
      </c>
      <c r="K2519" s="71">
        <v>45226</v>
      </c>
      <c r="L2519" s="36"/>
      <c r="M2519" s="108">
        <v>120</v>
      </c>
      <c r="N2519" s="108">
        <f>MONTH(Tableau13[[#This Row],[Date fin intervention]])</f>
        <v>10</v>
      </c>
      <c r="O2519" s="108">
        <f>YEAR(Tableau13[[#This Row],[Date fin intervention]])</f>
        <v>2023</v>
      </c>
      <c r="P2519" s="36"/>
    </row>
    <row r="2520" spans="1:16" ht="28.5">
      <c r="A2520" s="104">
        <v>45227</v>
      </c>
      <c r="B2520" s="105">
        <v>700</v>
      </c>
      <c r="C2520" s="106" t="str">
        <f>IF(ISNA(VLOOKUP(Tableau13[[#This Row],[Code machine]],'CODE mchn'!$A$4:$C$170,2,0)),"",VLOOKUP(Tableau13[[#This Row],[Code machine]],'CODE mchn'!$A$4:$C$170,2,0))</f>
        <v>Béton</v>
      </c>
      <c r="D2520" s="36" t="str">
        <f>IF(ISNA(VLOOKUP(Tableau13[[#This Row],[Code machine]],'CODE mchn'!$A$4:$C$170,3,0)),"",VLOOKUP(Tableau13[[#This Row],[Code machine]],'CODE mchn'!$A$4:$C$170,3,0))</f>
        <v>Poyatos 1</v>
      </c>
      <c r="E2520" s="105">
        <v>26438</v>
      </c>
      <c r="F2520" s="36"/>
      <c r="G2520" s="36" t="s">
        <v>128</v>
      </c>
      <c r="H2520" s="36" t="s">
        <v>4590</v>
      </c>
      <c r="I2520" s="36"/>
      <c r="J2520" s="252" t="s">
        <v>4591</v>
      </c>
      <c r="K2520" s="71">
        <v>45227</v>
      </c>
      <c r="L2520" s="36"/>
      <c r="M2520" s="108">
        <f>4*60</f>
        <v>240</v>
      </c>
      <c r="N2520" s="108">
        <f>MONTH(Tableau13[[#This Row],[Date fin intervention]])</f>
        <v>10</v>
      </c>
      <c r="O2520" s="108">
        <f>YEAR(Tableau13[[#This Row],[Date fin intervention]])</f>
        <v>2023</v>
      </c>
      <c r="P2520" s="36"/>
    </row>
    <row r="2521" spans="1:16">
      <c r="A2521" s="238">
        <v>45231</v>
      </c>
      <c r="B2521" s="239">
        <v>590</v>
      </c>
      <c r="C2521" s="240" t="str">
        <f>IF(ISNA(VLOOKUP(Tableau13[[#This Row],[Code machine]],'CODE mchn'!$A$4:$C$170,2,0)),"",VLOOKUP(Tableau13[[#This Row],[Code machine]],'CODE mchn'!$A$4:$C$170,2,0))</f>
        <v>Acier</v>
      </c>
      <c r="D2521" s="241" t="str">
        <f>IF(ISNA(VLOOKUP(Tableau13[[#This Row],[Code machine]],'CODE mchn'!$A$4:$C$170,3,0)),"",VLOOKUP(Tableau13[[#This Row],[Code machine]],'CODE mchn'!$A$4:$C$170,3,0))</f>
        <v>Teurema 3</v>
      </c>
      <c r="E2521" s="239">
        <v>30261</v>
      </c>
      <c r="F2521" s="241"/>
      <c r="G2521" s="241" t="s">
        <v>612</v>
      </c>
      <c r="H2521" s="241" t="s">
        <v>496</v>
      </c>
      <c r="I2521" s="241"/>
      <c r="J2521" s="249" t="s">
        <v>4492</v>
      </c>
      <c r="K2521" s="242">
        <v>45231</v>
      </c>
      <c r="L2521" s="241"/>
      <c r="M2521" s="243">
        <f>5*60</f>
        <v>300</v>
      </c>
      <c r="N2521" s="243">
        <f>MONTH(Tableau13[[#This Row],[Date fin intervention]])</f>
        <v>11</v>
      </c>
      <c r="O2521" s="243">
        <f>YEAR(Tableau13[[#This Row],[Date fin intervention]])</f>
        <v>2023</v>
      </c>
      <c r="P2521" s="241"/>
    </row>
    <row r="2522" spans="1:16">
      <c r="A2522" s="104">
        <v>45231</v>
      </c>
      <c r="B2522" s="105">
        <v>609</v>
      </c>
      <c r="C2522" s="106" t="str">
        <f>IF(ISNA(VLOOKUP(Tableau13[[#This Row],[Code machine]],'CODE mchn'!$A$4:$C$170,2,0)),"",VLOOKUP(Tableau13[[#This Row],[Code machine]],'CODE mchn'!$A$4:$C$170,2,0))</f>
        <v>Acier</v>
      </c>
      <c r="D2522" s="36" t="str">
        <f>IF(ISNA(VLOOKUP(Tableau13[[#This Row],[Code machine]],'CODE mchn'!$A$4:$C$170,3,0)),"",VLOOKUP(Tableau13[[#This Row],[Code machine]],'CODE mchn'!$A$4:$C$170,3,0))</f>
        <v>Vitari 4</v>
      </c>
      <c r="E2522" s="105">
        <v>30377</v>
      </c>
      <c r="F2522" s="36"/>
      <c r="G2522" s="36" t="s">
        <v>78</v>
      </c>
      <c r="H2522" s="36" t="s">
        <v>3926</v>
      </c>
      <c r="I2522" s="36"/>
      <c r="J2522" s="252" t="s">
        <v>4549</v>
      </c>
      <c r="K2522" s="71">
        <v>45231</v>
      </c>
      <c r="L2522" s="36"/>
      <c r="M2522" s="108">
        <v>90</v>
      </c>
      <c r="N2522" s="108">
        <f>MONTH(Tableau13[[#This Row],[Date fin intervention]])</f>
        <v>11</v>
      </c>
      <c r="O2522" s="108">
        <f>YEAR(Tableau13[[#This Row],[Date fin intervention]])</f>
        <v>2023</v>
      </c>
      <c r="P2522" s="36"/>
    </row>
    <row r="2523" spans="1:16">
      <c r="A2523" s="104">
        <v>45231</v>
      </c>
      <c r="B2523" s="105">
        <v>582</v>
      </c>
      <c r="C2523" s="106" t="str">
        <f>IF(ISNA(VLOOKUP(Tableau13[[#This Row],[Code machine]],'CODE mchn'!$A$4:$C$170,2,0)),"",VLOOKUP(Tableau13[[#This Row],[Code machine]],'CODE mchn'!$A$4:$C$170,2,0))</f>
        <v>Acier</v>
      </c>
      <c r="D2523" s="36" t="str">
        <f>IF(ISNA(VLOOKUP(Tableau13[[#This Row],[Code machine]],'CODE mchn'!$A$4:$C$170,3,0)),"",VLOOKUP(Tableau13[[#This Row],[Code machine]],'CODE mchn'!$A$4:$C$170,3,0))</f>
        <v>Teurema 2</v>
      </c>
      <c r="E2523" s="105"/>
      <c r="F2523" s="36"/>
      <c r="G2523" s="36" t="s">
        <v>4033</v>
      </c>
      <c r="H2523" s="36" t="s">
        <v>4181</v>
      </c>
      <c r="I2523" s="36"/>
      <c r="J2523" s="252" t="s">
        <v>4609</v>
      </c>
      <c r="K2523" s="71">
        <v>45260</v>
      </c>
      <c r="L2523" s="36"/>
      <c r="M2523" s="108">
        <f>26*8*60</f>
        <v>12480</v>
      </c>
      <c r="N2523" s="108">
        <f>MONTH(Tableau13[[#This Row],[Date fin intervention]])</f>
        <v>11</v>
      </c>
      <c r="O2523" s="108">
        <f>YEAR(Tableau13[[#This Row],[Date fin intervention]])</f>
        <v>2023</v>
      </c>
      <c r="P2523" s="36"/>
    </row>
    <row r="2524" spans="1:16">
      <c r="A2524" s="238">
        <v>45232</v>
      </c>
      <c r="B2524" s="239">
        <v>581</v>
      </c>
      <c r="C2524" s="240" t="str">
        <f>IF(ISNA(VLOOKUP(Tableau13[[#This Row],[Code machine]],'CODE mchn'!$A$4:$C$170,2,0)),"",VLOOKUP(Tableau13[[#This Row],[Code machine]],'CODE mchn'!$A$4:$C$170,2,0))</f>
        <v>Acier</v>
      </c>
      <c r="D2524" s="241" t="str">
        <f>IF(ISNA(VLOOKUP(Tableau13[[#This Row],[Code machine]],'CODE mchn'!$A$4:$C$170,3,0)),"",VLOOKUP(Tableau13[[#This Row],[Code machine]],'CODE mchn'!$A$4:$C$170,3,0))</f>
        <v>Teurema 1</v>
      </c>
      <c r="E2524" s="239">
        <v>30262</v>
      </c>
      <c r="F2524" s="241"/>
      <c r="G2524" s="241" t="s">
        <v>49</v>
      </c>
      <c r="H2524" s="241" t="s">
        <v>4493</v>
      </c>
      <c r="I2524" s="241"/>
      <c r="J2524" s="249" t="s">
        <v>4494</v>
      </c>
      <c r="K2524" s="242">
        <v>45232</v>
      </c>
      <c r="L2524" s="241"/>
      <c r="M2524" s="243"/>
      <c r="N2524" s="243">
        <f>MONTH(Tableau13[[#This Row],[Date fin intervention]])</f>
        <v>11</v>
      </c>
      <c r="O2524" s="243">
        <f>YEAR(Tableau13[[#This Row],[Date fin intervention]])</f>
        <v>2023</v>
      </c>
      <c r="P2524" s="241"/>
    </row>
    <row r="2525" spans="1:16">
      <c r="A2525" s="238">
        <v>45232</v>
      </c>
      <c r="B2525" s="239">
        <v>800</v>
      </c>
      <c r="C2525" s="240" t="str">
        <f>IF(ISNA(VLOOKUP(Tableau13[[#This Row],[Code machine]],'CODE mchn'!$A$4:$C$170,2,0)),"",VLOOKUP(Tableau13[[#This Row],[Code machine]],'CODE mchn'!$A$4:$C$170,2,0))</f>
        <v>Béton</v>
      </c>
      <c r="D2525" s="241" t="str">
        <f>IF(ISNA(VLOOKUP(Tableau13[[#This Row],[Code machine]],'CODE mchn'!$A$4:$C$170,3,0)),"",VLOOKUP(Tableau13[[#This Row],[Code machine]],'CODE mchn'!$A$4:$C$170,3,0))</f>
        <v>Poyatos 2</v>
      </c>
      <c r="E2525" s="239">
        <v>26440</v>
      </c>
      <c r="F2525" s="241"/>
      <c r="G2525" s="241" t="s">
        <v>49</v>
      </c>
      <c r="H2525" s="241" t="s">
        <v>4509</v>
      </c>
      <c r="I2525" s="241"/>
      <c r="J2525" s="249" t="s">
        <v>3925</v>
      </c>
      <c r="K2525" s="242">
        <v>45232</v>
      </c>
      <c r="L2525" s="241"/>
      <c r="M2525" s="243">
        <f>3*60</f>
        <v>180</v>
      </c>
      <c r="N2525" s="243">
        <f>MONTH(Tableau13[[#This Row],[Date fin intervention]])</f>
        <v>11</v>
      </c>
      <c r="O2525" s="243">
        <f>YEAR(Tableau13[[#This Row],[Date fin intervention]])</f>
        <v>2023</v>
      </c>
      <c r="P2525" s="241"/>
    </row>
    <row r="2526" spans="1:16">
      <c r="A2526" s="238">
        <v>45233</v>
      </c>
      <c r="B2526" s="239">
        <v>700</v>
      </c>
      <c r="C2526" s="240" t="str">
        <f>IF(ISNA(VLOOKUP(Tableau13[[#This Row],[Code machine]],'CODE mchn'!$A$4:$C$170,2,0)),"",VLOOKUP(Tableau13[[#This Row],[Code machine]],'CODE mchn'!$A$4:$C$170,2,0))</f>
        <v>Béton</v>
      </c>
      <c r="D2526" s="241" t="str">
        <f>IF(ISNA(VLOOKUP(Tableau13[[#This Row],[Code machine]],'CODE mchn'!$A$4:$C$170,3,0)),"",VLOOKUP(Tableau13[[#This Row],[Code machine]],'CODE mchn'!$A$4:$C$170,3,0))</f>
        <v>Poyatos 1</v>
      </c>
      <c r="E2526" s="239">
        <v>26441</v>
      </c>
      <c r="F2526" s="241"/>
      <c r="G2526" s="241" t="s">
        <v>1479</v>
      </c>
      <c r="H2526" s="241" t="s">
        <v>4510</v>
      </c>
      <c r="I2526" s="241"/>
      <c r="J2526" s="249" t="s">
        <v>4239</v>
      </c>
      <c r="K2526" s="242">
        <v>45233</v>
      </c>
      <c r="L2526" s="241"/>
      <c r="M2526" s="243">
        <f>3*60</f>
        <v>180</v>
      </c>
      <c r="N2526" s="243">
        <f>MONTH(Tableau13[[#This Row],[Date fin intervention]])</f>
        <v>11</v>
      </c>
      <c r="O2526" s="243">
        <f>YEAR(Tableau13[[#This Row],[Date fin intervention]])</f>
        <v>2023</v>
      </c>
      <c r="P2526" s="241"/>
    </row>
    <row r="2527" spans="1:16">
      <c r="A2527" s="238">
        <v>45237</v>
      </c>
      <c r="B2527" s="239">
        <v>700</v>
      </c>
      <c r="C2527" s="240" t="str">
        <f>IF(ISNA(VLOOKUP(Tableau13[[#This Row],[Code machine]],'CODE mchn'!$A$4:$C$170,2,0)),"",VLOOKUP(Tableau13[[#This Row],[Code machine]],'CODE mchn'!$A$4:$C$170,2,0))</f>
        <v>Béton</v>
      </c>
      <c r="D2527" s="241" t="str">
        <f>IF(ISNA(VLOOKUP(Tableau13[[#This Row],[Code machine]],'CODE mchn'!$A$4:$C$170,3,0)),"",VLOOKUP(Tableau13[[#This Row],[Code machine]],'CODE mchn'!$A$4:$C$170,3,0))</f>
        <v>Poyatos 1</v>
      </c>
      <c r="E2527" s="239">
        <v>26442</v>
      </c>
      <c r="F2527" s="241"/>
      <c r="G2527" s="241" t="s">
        <v>128</v>
      </c>
      <c r="H2527" s="241" t="s">
        <v>4511</v>
      </c>
      <c r="I2527" s="241"/>
      <c r="J2527" s="249" t="s">
        <v>4512</v>
      </c>
      <c r="K2527" s="242">
        <v>45237</v>
      </c>
      <c r="L2527" s="241"/>
      <c r="M2527" s="243">
        <f>13*60</f>
        <v>780</v>
      </c>
      <c r="N2527" s="243">
        <f>MONTH(Tableau13[[#This Row],[Date fin intervention]])</f>
        <v>11</v>
      </c>
      <c r="O2527" s="243">
        <f>YEAR(Tableau13[[#This Row],[Date fin intervention]])</f>
        <v>2023</v>
      </c>
      <c r="P2527" s="241"/>
    </row>
    <row r="2528" spans="1:16">
      <c r="A2528" s="238">
        <v>45239</v>
      </c>
      <c r="B2528" s="239">
        <v>590</v>
      </c>
      <c r="C2528" s="240" t="str">
        <f>IF(ISNA(VLOOKUP(Tableau13[[#This Row],[Code machine]],'CODE mchn'!$A$4:$C$170,2,0)),"",VLOOKUP(Tableau13[[#This Row],[Code machine]],'CODE mchn'!$A$4:$C$170,2,0))</f>
        <v>Acier</v>
      </c>
      <c r="D2528" s="241" t="str">
        <f>IF(ISNA(VLOOKUP(Tableau13[[#This Row],[Code machine]],'CODE mchn'!$A$4:$C$170,3,0)),"",VLOOKUP(Tableau13[[#This Row],[Code machine]],'CODE mchn'!$A$4:$C$170,3,0))</f>
        <v>Teurema 3</v>
      </c>
      <c r="E2528" s="239">
        <v>30264</v>
      </c>
      <c r="F2528" s="241"/>
      <c r="G2528" s="241" t="s">
        <v>880</v>
      </c>
      <c r="H2528" s="241" t="s">
        <v>4495</v>
      </c>
      <c r="I2528" s="241"/>
      <c r="J2528" s="249" t="s">
        <v>4043</v>
      </c>
      <c r="K2528" s="242">
        <v>45239</v>
      </c>
      <c r="L2528" s="241"/>
      <c r="M2528" s="243">
        <f>100</f>
        <v>100</v>
      </c>
      <c r="N2528" s="243">
        <f>MONTH(Tableau13[[#This Row],[Date fin intervention]])</f>
        <v>11</v>
      </c>
      <c r="O2528" s="243">
        <f>YEAR(Tableau13[[#This Row],[Date fin intervention]])</f>
        <v>2023</v>
      </c>
      <c r="P2528" s="241"/>
    </row>
    <row r="2529" spans="1:16">
      <c r="A2529" s="238">
        <v>45239</v>
      </c>
      <c r="B2529" s="239">
        <v>590</v>
      </c>
      <c r="C2529" s="240" t="str">
        <f>IF(ISNA(VLOOKUP(Tableau13[[#This Row],[Code machine]],'CODE mchn'!$A$4:$C$170,2,0)),"",VLOOKUP(Tableau13[[#This Row],[Code machine]],'CODE mchn'!$A$4:$C$170,2,0))</f>
        <v>Acier</v>
      </c>
      <c r="D2529" s="241" t="str">
        <f>IF(ISNA(VLOOKUP(Tableau13[[#This Row],[Code machine]],'CODE mchn'!$A$4:$C$170,3,0)),"",VLOOKUP(Tableau13[[#This Row],[Code machine]],'CODE mchn'!$A$4:$C$170,3,0))</f>
        <v>Teurema 3</v>
      </c>
      <c r="E2529" s="239">
        <v>30265</v>
      </c>
      <c r="F2529" s="241"/>
      <c r="G2529" s="241" t="s">
        <v>4496</v>
      </c>
      <c r="H2529" s="241" t="s">
        <v>4497</v>
      </c>
      <c r="I2529" s="241"/>
      <c r="J2529" s="249" t="s">
        <v>3983</v>
      </c>
      <c r="K2529" s="242">
        <v>45239</v>
      </c>
      <c r="L2529" s="241"/>
      <c r="M2529" s="243"/>
      <c r="N2529" s="243">
        <f>MONTH(Tableau13[[#This Row],[Date fin intervention]])</f>
        <v>11</v>
      </c>
      <c r="O2529" s="243">
        <f>YEAR(Tableau13[[#This Row],[Date fin intervention]])</f>
        <v>2023</v>
      </c>
      <c r="P2529" s="241"/>
    </row>
    <row r="2530" spans="1:16">
      <c r="A2530" s="238">
        <v>45241</v>
      </c>
      <c r="B2530" s="239">
        <v>590</v>
      </c>
      <c r="C2530" s="240" t="str">
        <f>IF(ISNA(VLOOKUP(Tableau13[[#This Row],[Code machine]],'CODE mchn'!$A$4:$C$170,2,0)),"",VLOOKUP(Tableau13[[#This Row],[Code machine]],'CODE mchn'!$A$4:$C$170,2,0))</f>
        <v>Acier</v>
      </c>
      <c r="D2530" s="241" t="str">
        <f>IF(ISNA(VLOOKUP(Tableau13[[#This Row],[Code machine]],'CODE mchn'!$A$4:$C$170,3,0)),"",VLOOKUP(Tableau13[[#This Row],[Code machine]],'CODE mchn'!$A$4:$C$170,3,0))</f>
        <v>Teurema 3</v>
      </c>
      <c r="E2530" s="239">
        <v>30266</v>
      </c>
      <c r="F2530" s="241"/>
      <c r="G2530" s="241" t="s">
        <v>4498</v>
      </c>
      <c r="H2530" s="241" t="s">
        <v>4495</v>
      </c>
      <c r="I2530" s="241"/>
      <c r="J2530" s="249" t="s">
        <v>4499</v>
      </c>
      <c r="K2530" s="242">
        <v>45241</v>
      </c>
      <c r="L2530" s="241"/>
      <c r="M2530" s="243">
        <f>3*60</f>
        <v>180</v>
      </c>
      <c r="N2530" s="243">
        <f>MONTH(Tableau13[[#This Row],[Date fin intervention]])</f>
        <v>11</v>
      </c>
      <c r="O2530" s="243">
        <f>YEAR(Tableau13[[#This Row],[Date fin intervention]])</f>
        <v>2023</v>
      </c>
      <c r="P2530" s="241"/>
    </row>
    <row r="2531" spans="1:16" ht="28.5">
      <c r="A2531" s="104">
        <v>45241</v>
      </c>
      <c r="B2531" s="105">
        <v>571</v>
      </c>
      <c r="C2531" s="106" t="str">
        <f>IF(ISNA(VLOOKUP(Tableau13[[#This Row],[Code machine]],'CODE mchn'!$A$4:$C$170,2,0)),"",VLOOKUP(Tableau13[[#This Row],[Code machine]],'CODE mchn'!$A$4:$C$170,2,0))</f>
        <v>Acier</v>
      </c>
      <c r="D2531" s="36" t="str">
        <f>IF(ISNA(VLOOKUP(Tableau13[[#This Row],[Code machine]],'CODE mchn'!$A$4:$C$170,3,0)),"",VLOOKUP(Tableau13[[#This Row],[Code machine]],'CODE mchn'!$A$4:$C$170,3,0))</f>
        <v>EVG PN 1</v>
      </c>
      <c r="E2531" s="105">
        <v>30369</v>
      </c>
      <c r="F2531" s="36"/>
      <c r="G2531" s="36" t="s">
        <v>4540</v>
      </c>
      <c r="H2531" s="36" t="s">
        <v>4541</v>
      </c>
      <c r="I2531" s="36"/>
      <c r="J2531" s="252" t="s">
        <v>4542</v>
      </c>
      <c r="K2531" s="71">
        <v>45241</v>
      </c>
      <c r="L2531" s="36"/>
      <c r="M2531" s="108">
        <f>3*60</f>
        <v>180</v>
      </c>
      <c r="N2531" s="108">
        <f>MONTH(Tableau13[[#This Row],[Date fin intervention]])</f>
        <v>11</v>
      </c>
      <c r="O2531" s="108">
        <f>YEAR(Tableau13[[#This Row],[Date fin intervention]])</f>
        <v>2023</v>
      </c>
      <c r="P2531" s="36"/>
    </row>
    <row r="2532" spans="1:16">
      <c r="A2532" s="238">
        <v>45243</v>
      </c>
      <c r="B2532" s="239">
        <v>590</v>
      </c>
      <c r="C2532" s="240" t="str">
        <f>IF(ISNA(VLOOKUP(Tableau13[[#This Row],[Code machine]],'CODE mchn'!$A$4:$C$170,2,0)),"",VLOOKUP(Tableau13[[#This Row],[Code machine]],'CODE mchn'!$A$4:$C$170,2,0))</f>
        <v>Acier</v>
      </c>
      <c r="D2532" s="241" t="str">
        <f>IF(ISNA(VLOOKUP(Tableau13[[#This Row],[Code machine]],'CODE mchn'!$A$4:$C$170,3,0)),"",VLOOKUP(Tableau13[[#This Row],[Code machine]],'CODE mchn'!$A$4:$C$170,3,0))</f>
        <v>Teurema 3</v>
      </c>
      <c r="E2532" s="239">
        <v>30268</v>
      </c>
      <c r="F2532" s="241"/>
      <c r="G2532" s="241" t="s">
        <v>4500</v>
      </c>
      <c r="H2532" s="241" t="s">
        <v>496</v>
      </c>
      <c r="I2532" s="241"/>
      <c r="J2532" s="249" t="s">
        <v>4501</v>
      </c>
      <c r="K2532" s="242">
        <v>45243</v>
      </c>
      <c r="L2532" s="241"/>
      <c r="M2532" s="243">
        <f>4*60</f>
        <v>240</v>
      </c>
      <c r="N2532" s="243">
        <f>MONTH(Tableau13[[#This Row],[Date fin intervention]])</f>
        <v>11</v>
      </c>
      <c r="O2532" s="243">
        <f>YEAR(Tableau13[[#This Row],[Date fin intervention]])</f>
        <v>2023</v>
      </c>
      <c r="P2532" s="241"/>
    </row>
    <row r="2533" spans="1:16">
      <c r="A2533" s="238">
        <v>45246</v>
      </c>
      <c r="B2533" s="239">
        <v>590</v>
      </c>
      <c r="C2533" s="240" t="str">
        <f>IF(ISNA(VLOOKUP(Tableau13[[#This Row],[Code machine]],'CODE mchn'!$A$4:$C$170,2,0)),"",VLOOKUP(Tableau13[[#This Row],[Code machine]],'CODE mchn'!$A$4:$C$170,2,0))</f>
        <v>Acier</v>
      </c>
      <c r="D2533" s="241" t="str">
        <f>IF(ISNA(VLOOKUP(Tableau13[[#This Row],[Code machine]],'CODE mchn'!$A$4:$C$170,3,0)),"",VLOOKUP(Tableau13[[#This Row],[Code machine]],'CODE mchn'!$A$4:$C$170,3,0))</f>
        <v>Teurema 3</v>
      </c>
      <c r="E2533" s="239">
        <v>30271</v>
      </c>
      <c r="F2533" s="241"/>
      <c r="G2533" s="241" t="s">
        <v>4502</v>
      </c>
      <c r="H2533" s="241" t="s">
        <v>4503</v>
      </c>
      <c r="I2533" s="241"/>
      <c r="J2533" s="249" t="s">
        <v>4499</v>
      </c>
      <c r="K2533" s="242">
        <v>45246</v>
      </c>
      <c r="L2533" s="241"/>
      <c r="M2533" s="243">
        <v>120</v>
      </c>
      <c r="N2533" s="243">
        <f>MONTH(Tableau13[[#This Row],[Date fin intervention]])</f>
        <v>11</v>
      </c>
      <c r="O2533" s="243">
        <f>YEAR(Tableau13[[#This Row],[Date fin intervention]])</f>
        <v>2023</v>
      </c>
      <c r="P2533" s="241"/>
    </row>
    <row r="2534" spans="1:16">
      <c r="A2534" s="238">
        <v>45250</v>
      </c>
      <c r="B2534" s="239">
        <v>581</v>
      </c>
      <c r="C2534" s="240" t="str">
        <f>IF(ISNA(VLOOKUP(Tableau13[[#This Row],[Code machine]],'CODE mchn'!$A$4:$C$170,2,0)),"",VLOOKUP(Tableau13[[#This Row],[Code machine]],'CODE mchn'!$A$4:$C$170,2,0))</f>
        <v>Acier</v>
      </c>
      <c r="D2534" s="241" t="str">
        <f>IF(ISNA(VLOOKUP(Tableau13[[#This Row],[Code machine]],'CODE mchn'!$A$4:$C$170,3,0)),"",VLOOKUP(Tableau13[[#This Row],[Code machine]],'CODE mchn'!$A$4:$C$170,3,0))</f>
        <v>Teurema 1</v>
      </c>
      <c r="E2534" s="239">
        <v>30275</v>
      </c>
      <c r="F2534" s="241"/>
      <c r="G2534" s="241" t="s">
        <v>4504</v>
      </c>
      <c r="H2534" s="241" t="s">
        <v>4505</v>
      </c>
      <c r="I2534" s="241"/>
      <c r="J2534" s="249" t="s">
        <v>4499</v>
      </c>
      <c r="K2534" s="242">
        <v>45250</v>
      </c>
      <c r="L2534" s="241"/>
      <c r="M2534" s="243">
        <v>120</v>
      </c>
      <c r="N2534" s="243">
        <f>MONTH(Tableau13[[#This Row],[Date fin intervention]])</f>
        <v>11</v>
      </c>
      <c r="O2534" s="243">
        <f>YEAR(Tableau13[[#This Row],[Date fin intervention]])</f>
        <v>2023</v>
      </c>
      <c r="P2534" s="241"/>
    </row>
    <row r="2535" spans="1:16">
      <c r="A2535" s="238">
        <v>45250</v>
      </c>
      <c r="B2535" s="239">
        <v>700</v>
      </c>
      <c r="C2535" s="240" t="str">
        <f>IF(ISNA(VLOOKUP(Tableau13[[#This Row],[Code machine]],'CODE mchn'!$A$4:$C$170,2,0)),"",VLOOKUP(Tableau13[[#This Row],[Code machine]],'CODE mchn'!$A$4:$C$170,2,0))</f>
        <v>Béton</v>
      </c>
      <c r="D2535" s="241" t="str">
        <f>IF(ISNA(VLOOKUP(Tableau13[[#This Row],[Code machine]],'CODE mchn'!$A$4:$C$170,3,0)),"",VLOOKUP(Tableau13[[#This Row],[Code machine]],'CODE mchn'!$A$4:$C$170,3,0))</f>
        <v>Poyatos 1</v>
      </c>
      <c r="E2535" s="239">
        <v>30051</v>
      </c>
      <c r="F2535" s="241"/>
      <c r="G2535" s="241" t="s">
        <v>118</v>
      </c>
      <c r="H2535" s="241" t="s">
        <v>4513</v>
      </c>
      <c r="I2535" s="241"/>
      <c r="J2535" s="249" t="s">
        <v>4514</v>
      </c>
      <c r="K2535" s="242">
        <v>45250</v>
      </c>
      <c r="L2535" s="241"/>
      <c r="M2535" s="243">
        <v>90</v>
      </c>
      <c r="N2535" s="243">
        <f>MONTH(Tableau13[[#This Row],[Date fin intervention]])</f>
        <v>11</v>
      </c>
      <c r="O2535" s="243">
        <f>YEAR(Tableau13[[#This Row],[Date fin intervention]])</f>
        <v>2023</v>
      </c>
      <c r="P2535" s="241"/>
    </row>
    <row r="2536" spans="1:16">
      <c r="A2536" s="238">
        <v>45251</v>
      </c>
      <c r="B2536" s="239">
        <v>700</v>
      </c>
      <c r="C2536" s="240" t="str">
        <f>IF(ISNA(VLOOKUP(Tableau13[[#This Row],[Code machine]],'CODE mchn'!$A$4:$C$170,2,0)),"",VLOOKUP(Tableau13[[#This Row],[Code machine]],'CODE mchn'!$A$4:$C$170,2,0))</f>
        <v>Béton</v>
      </c>
      <c r="D2536" s="241" t="str">
        <f>IF(ISNA(VLOOKUP(Tableau13[[#This Row],[Code machine]],'CODE mchn'!$A$4:$C$170,3,0)),"",VLOOKUP(Tableau13[[#This Row],[Code machine]],'CODE mchn'!$A$4:$C$170,3,0))</f>
        <v>Poyatos 1</v>
      </c>
      <c r="E2536" s="239">
        <v>30053</v>
      </c>
      <c r="F2536" s="241"/>
      <c r="G2536" s="241" t="s">
        <v>1206</v>
      </c>
      <c r="H2536" s="241" t="s">
        <v>1022</v>
      </c>
      <c r="I2536" s="241"/>
      <c r="J2536" s="249" t="s">
        <v>422</v>
      </c>
      <c r="K2536" s="242">
        <v>45251</v>
      </c>
      <c r="L2536" s="241"/>
      <c r="M2536" s="243">
        <v>90</v>
      </c>
      <c r="N2536" s="243">
        <f>MONTH(Tableau13[[#This Row],[Date fin intervention]])</f>
        <v>11</v>
      </c>
      <c r="O2536" s="243">
        <f>YEAR(Tableau13[[#This Row],[Date fin intervention]])</f>
        <v>2023</v>
      </c>
      <c r="P2536" s="241"/>
    </row>
    <row r="2537" spans="1:16">
      <c r="A2537" s="238">
        <v>45252</v>
      </c>
      <c r="B2537" s="239">
        <v>580</v>
      </c>
      <c r="C2537" s="240" t="str">
        <f>IF(ISNA(VLOOKUP(Tableau13[[#This Row],[Code machine]],'CODE mchn'!$A$4:$C$170,2,0)),"",VLOOKUP(Tableau13[[#This Row],[Code machine]],'CODE mchn'!$A$4:$C$170,2,0))</f>
        <v>Acier</v>
      </c>
      <c r="D2537" s="241" t="str">
        <f>IF(ISNA(VLOOKUP(Tableau13[[#This Row],[Code machine]],'CODE mchn'!$A$4:$C$170,3,0)),"",VLOOKUP(Tableau13[[#This Row],[Code machine]],'CODE mchn'!$A$4:$C$170,3,0))</f>
        <v>Techno Impiante</v>
      </c>
      <c r="E2537" s="239">
        <v>30282</v>
      </c>
      <c r="F2537" s="241"/>
      <c r="G2537" s="241" t="s">
        <v>4506</v>
      </c>
      <c r="H2537" s="241" t="s">
        <v>1625</v>
      </c>
      <c r="I2537" s="241"/>
      <c r="J2537" s="249" t="s">
        <v>1705</v>
      </c>
      <c r="K2537" s="242">
        <v>45257</v>
      </c>
      <c r="L2537" s="241"/>
      <c r="M2537" s="243">
        <f>7*60</f>
        <v>420</v>
      </c>
      <c r="N2537" s="243">
        <f>MONTH(Tableau13[[#This Row],[Date fin intervention]])</f>
        <v>11</v>
      </c>
      <c r="O2537" s="243">
        <f>YEAR(Tableau13[[#This Row],[Date fin intervention]])</f>
        <v>2023</v>
      </c>
      <c r="P2537" s="241"/>
    </row>
    <row r="2538" spans="1:16">
      <c r="A2538" s="104">
        <v>45254</v>
      </c>
      <c r="B2538" s="105">
        <v>565</v>
      </c>
      <c r="C2538" s="106" t="str">
        <f>IF(ISNA(VLOOKUP(Tableau13[[#This Row],[Code machine]],'CODE mchn'!$A$4:$C$170,2,0)),"",VLOOKUP(Tableau13[[#This Row],[Code machine]],'CODE mchn'!$A$4:$C$170,2,0))</f>
        <v>Acier</v>
      </c>
      <c r="D2538" s="36" t="str">
        <f>IF(ISNA(VLOOKUP(Tableau13[[#This Row],[Code machine]],'CODE mchn'!$A$4:$C$170,3,0)),"",VLOOKUP(Tableau13[[#This Row],[Code machine]],'CODE mchn'!$A$4:$C$170,3,0))</f>
        <v>EVG GE12</v>
      </c>
      <c r="E2538" s="105">
        <v>30382</v>
      </c>
      <c r="F2538" s="36"/>
      <c r="G2538" s="36" t="s">
        <v>726</v>
      </c>
      <c r="H2538" s="36" t="s">
        <v>4550</v>
      </c>
      <c r="I2538" s="36"/>
      <c r="J2538" s="252" t="s">
        <v>4551</v>
      </c>
      <c r="K2538" s="71">
        <v>45254</v>
      </c>
      <c r="L2538" s="36"/>
      <c r="M2538" s="108">
        <v>30</v>
      </c>
      <c r="N2538" s="108">
        <f>MONTH(Tableau13[[#This Row],[Date fin intervention]])</f>
        <v>11</v>
      </c>
      <c r="O2538" s="108">
        <f>YEAR(Tableau13[[#This Row],[Date fin intervention]])</f>
        <v>2023</v>
      </c>
      <c r="P2538" s="36"/>
    </row>
    <row r="2539" spans="1:16">
      <c r="A2539" s="238">
        <v>45258</v>
      </c>
      <c r="B2539" s="239">
        <v>581</v>
      </c>
      <c r="C2539" s="240" t="str">
        <f>IF(ISNA(VLOOKUP(Tableau13[[#This Row],[Code machine]],'CODE mchn'!$A$4:$C$170,2,0)),"",VLOOKUP(Tableau13[[#This Row],[Code machine]],'CODE mchn'!$A$4:$C$170,2,0))</f>
        <v>Acier</v>
      </c>
      <c r="D2539" s="241" t="str">
        <f>IF(ISNA(VLOOKUP(Tableau13[[#This Row],[Code machine]],'CODE mchn'!$A$4:$C$170,3,0)),"",VLOOKUP(Tableau13[[#This Row],[Code machine]],'CODE mchn'!$A$4:$C$170,3,0))</f>
        <v>Teurema 1</v>
      </c>
      <c r="E2539" s="239">
        <v>30285</v>
      </c>
      <c r="F2539" s="241"/>
      <c r="G2539" s="241" t="s">
        <v>78</v>
      </c>
      <c r="H2539" s="241" t="s">
        <v>4507</v>
      </c>
      <c r="I2539" s="241"/>
      <c r="J2539" s="249" t="s">
        <v>4115</v>
      </c>
      <c r="K2539" s="242">
        <v>45258</v>
      </c>
      <c r="L2539" s="241"/>
      <c r="M2539" s="243">
        <v>35</v>
      </c>
      <c r="N2539" s="243">
        <f>MONTH(Tableau13[[#This Row],[Date fin intervention]])</f>
        <v>11</v>
      </c>
      <c r="O2539" s="243">
        <f>YEAR(Tableau13[[#This Row],[Date fin intervention]])</f>
        <v>2023</v>
      </c>
      <c r="P2539" s="241"/>
    </row>
    <row r="2540" spans="1:16">
      <c r="A2540" s="238">
        <v>45259</v>
      </c>
      <c r="B2540" s="239">
        <v>700</v>
      </c>
      <c r="C2540" s="240" t="str">
        <f>IF(ISNA(VLOOKUP(Tableau13[[#This Row],[Code machine]],'CODE mchn'!$A$4:$C$170,2,0)),"",VLOOKUP(Tableau13[[#This Row],[Code machine]],'CODE mchn'!$A$4:$C$170,2,0))</f>
        <v>Béton</v>
      </c>
      <c r="D2540" s="241" t="str">
        <f>IF(ISNA(VLOOKUP(Tableau13[[#This Row],[Code machine]],'CODE mchn'!$A$4:$C$170,3,0)),"",VLOOKUP(Tableau13[[#This Row],[Code machine]],'CODE mchn'!$A$4:$C$170,3,0))</f>
        <v>Poyatos 1</v>
      </c>
      <c r="E2540" s="239">
        <v>30054</v>
      </c>
      <c r="F2540" s="241"/>
      <c r="G2540" s="241" t="s">
        <v>110</v>
      </c>
      <c r="H2540" s="241" t="s">
        <v>4515</v>
      </c>
      <c r="I2540" s="241"/>
      <c r="J2540" s="249" t="s">
        <v>4516</v>
      </c>
      <c r="K2540" s="242">
        <v>45259</v>
      </c>
      <c r="L2540" s="241"/>
      <c r="M2540" s="243">
        <v>120</v>
      </c>
      <c r="N2540" s="243">
        <f>MONTH(Tableau13[[#This Row],[Date fin intervention]])</f>
        <v>11</v>
      </c>
      <c r="O2540" s="243">
        <f>YEAR(Tableau13[[#This Row],[Date fin intervention]])</f>
        <v>2023</v>
      </c>
      <c r="P2540" s="241"/>
    </row>
    <row r="2541" spans="1:16">
      <c r="A2541" s="238">
        <v>45260</v>
      </c>
      <c r="B2541" s="239">
        <v>590</v>
      </c>
      <c r="C2541" s="240" t="str">
        <f>IF(ISNA(VLOOKUP(Tableau13[[#This Row],[Code machine]],'CODE mchn'!$A$4:$C$170,2,0)),"",VLOOKUP(Tableau13[[#This Row],[Code machine]],'CODE mchn'!$A$4:$C$170,2,0))</f>
        <v>Acier</v>
      </c>
      <c r="D2541" s="241" t="str">
        <f>IF(ISNA(VLOOKUP(Tableau13[[#This Row],[Code machine]],'CODE mchn'!$A$4:$C$170,3,0)),"",VLOOKUP(Tableau13[[#This Row],[Code machine]],'CODE mchn'!$A$4:$C$170,3,0))</f>
        <v>Teurema 3</v>
      </c>
      <c r="E2541" s="239">
        <v>30289</v>
      </c>
      <c r="F2541" s="241"/>
      <c r="G2541" s="241" t="s">
        <v>612</v>
      </c>
      <c r="H2541" s="241" t="s">
        <v>1625</v>
      </c>
      <c r="I2541" s="241"/>
      <c r="J2541" s="249" t="s">
        <v>4508</v>
      </c>
      <c r="K2541" s="242">
        <v>45260</v>
      </c>
      <c r="L2541" s="241"/>
      <c r="M2541" s="243">
        <f>5*60</f>
        <v>300</v>
      </c>
      <c r="N2541" s="243">
        <f>MONTH(Tableau13[[#This Row],[Date fin intervention]])</f>
        <v>11</v>
      </c>
      <c r="O2541" s="243">
        <f>YEAR(Tableau13[[#This Row],[Date fin intervention]])</f>
        <v>2023</v>
      </c>
      <c r="P2541" s="241"/>
    </row>
    <row r="2542" spans="1:16">
      <c r="A2542" s="238">
        <v>45261</v>
      </c>
      <c r="B2542" s="239">
        <v>700</v>
      </c>
      <c r="C2542" s="240" t="str">
        <f>IF(ISNA(VLOOKUP(Tableau13[[#This Row],[Code machine]],'CODE mchn'!$A$4:$C$170,2,0)),"",VLOOKUP(Tableau13[[#This Row],[Code machine]],'CODE mchn'!$A$4:$C$170,2,0))</f>
        <v>Béton</v>
      </c>
      <c r="D2542" s="241" t="str">
        <f>IF(ISNA(VLOOKUP(Tableau13[[#This Row],[Code machine]],'CODE mchn'!$A$4:$C$170,3,0)),"",VLOOKUP(Tableau13[[#This Row],[Code machine]],'CODE mchn'!$A$4:$C$170,3,0))</f>
        <v>Poyatos 1</v>
      </c>
      <c r="E2542" s="239">
        <v>30055</v>
      </c>
      <c r="F2542" s="241"/>
      <c r="G2542" s="241" t="s">
        <v>185</v>
      </c>
      <c r="H2542" s="241" t="s">
        <v>4517</v>
      </c>
      <c r="I2542" s="241"/>
      <c r="J2542" s="249" t="s">
        <v>4518</v>
      </c>
      <c r="K2542" s="242">
        <v>45261</v>
      </c>
      <c r="L2542" s="241"/>
      <c r="M2542" s="243">
        <v>90</v>
      </c>
      <c r="N2542" s="243">
        <f>MONTH(Tableau13[[#This Row],[Date fin intervention]])</f>
        <v>12</v>
      </c>
      <c r="O2542" s="243">
        <f>YEAR(Tableau13[[#This Row],[Date fin intervention]])</f>
        <v>2023</v>
      </c>
      <c r="P2542" s="241"/>
    </row>
    <row r="2543" spans="1:16" ht="42.75">
      <c r="A2543" s="104">
        <v>45261</v>
      </c>
      <c r="B2543" s="105">
        <v>582</v>
      </c>
      <c r="C2543" s="106" t="str">
        <f>IF(ISNA(VLOOKUP(Tableau13[[#This Row],[Code machine]],'CODE mchn'!$A$4:$C$170,2,0)),"",VLOOKUP(Tableau13[[#This Row],[Code machine]],'CODE mchn'!$A$4:$C$170,2,0))</f>
        <v>Acier</v>
      </c>
      <c r="D2543" s="36" t="str">
        <f>IF(ISNA(VLOOKUP(Tableau13[[#This Row],[Code machine]],'CODE mchn'!$A$4:$C$170,3,0)),"",VLOOKUP(Tableau13[[#This Row],[Code machine]],'CODE mchn'!$A$4:$C$170,3,0))</f>
        <v>Teurema 2</v>
      </c>
      <c r="E2543" s="105" t="s">
        <v>4605</v>
      </c>
      <c r="F2543" s="36"/>
      <c r="G2543" s="36" t="s">
        <v>4606</v>
      </c>
      <c r="H2543" s="36" t="s">
        <v>4181</v>
      </c>
      <c r="I2543" s="36"/>
      <c r="J2543" s="252" t="s">
        <v>4607</v>
      </c>
      <c r="K2543" s="71">
        <v>45273</v>
      </c>
      <c r="L2543" s="36"/>
      <c r="M2543" s="108">
        <f>13*8*60</f>
        <v>6240</v>
      </c>
      <c r="N2543" s="108">
        <f>MONTH(Tableau13[[#This Row],[Date fin intervention]])</f>
        <v>12</v>
      </c>
      <c r="O2543" s="108">
        <f>YEAR(Tableau13[[#This Row],[Date fin intervention]])</f>
        <v>2023</v>
      </c>
      <c r="P2543" s="36" t="s">
        <v>4608</v>
      </c>
    </row>
    <row r="2544" spans="1:16" ht="28.5">
      <c r="A2544" s="238">
        <v>45262</v>
      </c>
      <c r="B2544" s="239">
        <v>800</v>
      </c>
      <c r="C2544" s="240" t="str">
        <f>IF(ISNA(VLOOKUP(Tableau13[[#This Row],[Code machine]],'CODE mchn'!$A$4:$C$170,2,0)),"",VLOOKUP(Tableau13[[#This Row],[Code machine]],'CODE mchn'!$A$4:$C$170,2,0))</f>
        <v>Béton</v>
      </c>
      <c r="D2544" s="241" t="str">
        <f>IF(ISNA(VLOOKUP(Tableau13[[#This Row],[Code machine]],'CODE mchn'!$A$4:$C$170,3,0)),"",VLOOKUP(Tableau13[[#This Row],[Code machine]],'CODE mchn'!$A$4:$C$170,3,0))</f>
        <v>Poyatos 2</v>
      </c>
      <c r="E2544" s="239">
        <v>30056</v>
      </c>
      <c r="F2544" s="241"/>
      <c r="G2544" s="241" t="s">
        <v>2721</v>
      </c>
      <c r="H2544" s="241" t="s">
        <v>2722</v>
      </c>
      <c r="I2544" s="241"/>
      <c r="J2544" s="249" t="s">
        <v>4177</v>
      </c>
      <c r="K2544" s="242">
        <v>45262</v>
      </c>
      <c r="L2544" s="241"/>
      <c r="M2544" s="243">
        <f>3*60</f>
        <v>180</v>
      </c>
      <c r="N2544" s="243">
        <f>MONTH(Tableau13[[#This Row],[Date fin intervention]])</f>
        <v>12</v>
      </c>
      <c r="O2544" s="243">
        <f>YEAR(Tableau13[[#This Row],[Date fin intervention]])</f>
        <v>2023</v>
      </c>
      <c r="P2544" s="241"/>
    </row>
    <row r="2545" spans="1:16">
      <c r="A2545" s="238">
        <v>45264</v>
      </c>
      <c r="B2545" s="239">
        <v>700</v>
      </c>
      <c r="C2545" s="240" t="str">
        <f>IF(ISNA(VLOOKUP(Tableau13[[#This Row],[Code machine]],'CODE mchn'!$A$4:$C$170,2,0)),"",VLOOKUP(Tableau13[[#This Row],[Code machine]],'CODE mchn'!$A$4:$C$170,2,0))</f>
        <v>Béton</v>
      </c>
      <c r="D2545" s="241" t="str">
        <f>IF(ISNA(VLOOKUP(Tableau13[[#This Row],[Code machine]],'CODE mchn'!$A$4:$C$170,3,0)),"",VLOOKUP(Tableau13[[#This Row],[Code machine]],'CODE mchn'!$A$4:$C$170,3,0))</f>
        <v>Poyatos 1</v>
      </c>
      <c r="E2545" s="239">
        <v>30057</v>
      </c>
      <c r="F2545" s="241"/>
      <c r="G2545" s="241" t="s">
        <v>118</v>
      </c>
      <c r="H2545" s="241" t="s">
        <v>4519</v>
      </c>
      <c r="I2545" s="241"/>
      <c r="J2545" s="249" t="s">
        <v>4520</v>
      </c>
      <c r="K2545" s="242">
        <v>45264</v>
      </c>
      <c r="L2545" s="241"/>
      <c r="M2545" s="243">
        <v>50</v>
      </c>
      <c r="N2545" s="243">
        <f>MONTH(Tableau13[[#This Row],[Date fin intervention]])</f>
        <v>12</v>
      </c>
      <c r="O2545" s="243">
        <f>YEAR(Tableau13[[#This Row],[Date fin intervention]])</f>
        <v>2023</v>
      </c>
      <c r="P2545" s="241"/>
    </row>
    <row r="2546" spans="1:16">
      <c r="A2546" s="238">
        <v>45266</v>
      </c>
      <c r="B2546" s="239">
        <v>700</v>
      </c>
      <c r="C2546" s="240" t="str">
        <f>IF(ISNA(VLOOKUP(Tableau13[[#This Row],[Code machine]],'CODE mchn'!$A$4:$C$170,2,0)),"",VLOOKUP(Tableau13[[#This Row],[Code machine]],'CODE mchn'!$A$4:$C$170,2,0))</f>
        <v>Béton</v>
      </c>
      <c r="D2546" s="241" t="str">
        <f>IF(ISNA(VLOOKUP(Tableau13[[#This Row],[Code machine]],'CODE mchn'!$A$4:$C$170,3,0)),"",VLOOKUP(Tableau13[[#This Row],[Code machine]],'CODE mchn'!$A$4:$C$170,3,0))</f>
        <v>Poyatos 1</v>
      </c>
      <c r="E2546" s="239">
        <v>30058</v>
      </c>
      <c r="F2546" s="241"/>
      <c r="G2546" s="241" t="s">
        <v>3276</v>
      </c>
      <c r="H2546" s="241" t="s">
        <v>4521</v>
      </c>
      <c r="I2546" s="241"/>
      <c r="J2546" s="249" t="s">
        <v>4522</v>
      </c>
      <c r="K2546" s="242">
        <v>45266</v>
      </c>
      <c r="L2546" s="241"/>
      <c r="M2546" s="243">
        <v>120</v>
      </c>
      <c r="N2546" s="243">
        <f>MONTH(Tableau13[[#This Row],[Date fin intervention]])</f>
        <v>12</v>
      </c>
      <c r="O2546" s="243">
        <f>YEAR(Tableau13[[#This Row],[Date fin intervention]])</f>
        <v>2023</v>
      </c>
      <c r="P2546" s="241"/>
    </row>
    <row r="2547" spans="1:16">
      <c r="A2547" s="238">
        <v>45267</v>
      </c>
      <c r="B2547" s="239">
        <v>700</v>
      </c>
      <c r="C2547" s="240" t="str">
        <f>IF(ISNA(VLOOKUP(Tableau13[[#This Row],[Code machine]],'CODE mchn'!$A$4:$C$170,2,0)),"",VLOOKUP(Tableau13[[#This Row],[Code machine]],'CODE mchn'!$A$4:$C$170,2,0))</f>
        <v>Béton</v>
      </c>
      <c r="D2547" s="241" t="str">
        <f>IF(ISNA(VLOOKUP(Tableau13[[#This Row],[Code machine]],'CODE mchn'!$A$4:$C$170,3,0)),"",VLOOKUP(Tableau13[[#This Row],[Code machine]],'CODE mchn'!$A$4:$C$170,3,0))</f>
        <v>Poyatos 1</v>
      </c>
      <c r="E2547" s="239">
        <v>30060</v>
      </c>
      <c r="F2547" s="241"/>
      <c r="G2547" s="241" t="s">
        <v>49</v>
      </c>
      <c r="H2547" s="241" t="s">
        <v>4525</v>
      </c>
      <c r="I2547" s="241"/>
      <c r="J2547" s="249" t="s">
        <v>4518</v>
      </c>
      <c r="K2547" s="242">
        <v>45267</v>
      </c>
      <c r="L2547" s="241"/>
      <c r="M2547" s="243">
        <v>60</v>
      </c>
      <c r="N2547" s="243">
        <f>MONTH(Tableau13[[#This Row],[Date fin intervention]])</f>
        <v>12</v>
      </c>
      <c r="O2547" s="243">
        <f>YEAR(Tableau13[[#This Row],[Date fin intervention]])</f>
        <v>2023</v>
      </c>
      <c r="P2547" s="241"/>
    </row>
    <row r="2548" spans="1:16">
      <c r="A2548" s="238">
        <v>45267</v>
      </c>
      <c r="B2548" s="239">
        <v>800</v>
      </c>
      <c r="C2548" s="240" t="str">
        <f>IF(ISNA(VLOOKUP(Tableau13[[#This Row],[Code machine]],'CODE mchn'!$A$4:$C$170,2,0)),"",VLOOKUP(Tableau13[[#This Row],[Code machine]],'CODE mchn'!$A$4:$C$170,2,0))</f>
        <v>Béton</v>
      </c>
      <c r="D2548" s="241" t="str">
        <f>IF(ISNA(VLOOKUP(Tableau13[[#This Row],[Code machine]],'CODE mchn'!$A$4:$C$170,3,0)),"",VLOOKUP(Tableau13[[#This Row],[Code machine]],'CODE mchn'!$A$4:$C$170,3,0))</f>
        <v>Poyatos 2</v>
      </c>
      <c r="E2548" s="239">
        <v>30061</v>
      </c>
      <c r="F2548" s="241"/>
      <c r="G2548" s="241" t="s">
        <v>118</v>
      </c>
      <c r="H2548" s="241" t="s">
        <v>4526</v>
      </c>
      <c r="I2548" s="241"/>
      <c r="J2548" s="249" t="s">
        <v>4527</v>
      </c>
      <c r="K2548" s="242">
        <v>45267</v>
      </c>
      <c r="L2548" s="241"/>
      <c r="M2548" s="243">
        <v>90</v>
      </c>
      <c r="N2548" s="243">
        <f>MONTH(Tableau13[[#This Row],[Date fin intervention]])</f>
        <v>12</v>
      </c>
      <c r="O2548" s="243">
        <f>YEAR(Tableau13[[#This Row],[Date fin intervention]])</f>
        <v>2023</v>
      </c>
      <c r="P2548" s="241"/>
    </row>
    <row r="2549" spans="1:16">
      <c r="A2549" s="238">
        <v>45267</v>
      </c>
      <c r="B2549" s="239">
        <v>700</v>
      </c>
      <c r="C2549" s="240" t="str">
        <f>IF(ISNA(VLOOKUP(Tableau13[[#This Row],[Code machine]],'CODE mchn'!$A$4:$C$170,2,0)),"",VLOOKUP(Tableau13[[#This Row],[Code machine]],'CODE mchn'!$A$4:$C$170,2,0))</f>
        <v>Béton</v>
      </c>
      <c r="D2549" s="241" t="str">
        <f>IF(ISNA(VLOOKUP(Tableau13[[#This Row],[Code machine]],'CODE mchn'!$A$4:$C$170,3,0)),"",VLOOKUP(Tableau13[[#This Row],[Code machine]],'CODE mchn'!$A$4:$C$170,3,0))</f>
        <v>Poyatos 1</v>
      </c>
      <c r="E2549" s="239">
        <v>30059</v>
      </c>
      <c r="F2549" s="241"/>
      <c r="G2549" s="241" t="s">
        <v>118</v>
      </c>
      <c r="H2549" s="241" t="s">
        <v>4523</v>
      </c>
      <c r="I2549" s="241"/>
      <c r="J2549" s="249" t="s">
        <v>4524</v>
      </c>
      <c r="K2549" s="242">
        <v>45267</v>
      </c>
      <c r="L2549" s="241"/>
      <c r="M2549" s="243">
        <v>120</v>
      </c>
      <c r="N2549" s="243">
        <f>MONTH(Tableau13[[#This Row],[Date fin intervention]])</f>
        <v>12</v>
      </c>
      <c r="O2549" s="243">
        <f>YEAR(Tableau13[[#This Row],[Date fin intervention]])</f>
        <v>2023</v>
      </c>
      <c r="P2549" s="241"/>
    </row>
    <row r="2550" spans="1:16">
      <c r="A2550" s="238">
        <v>45267</v>
      </c>
      <c r="B2550" s="239">
        <v>700</v>
      </c>
      <c r="C2550" s="240" t="str">
        <f>IF(ISNA(VLOOKUP(Tableau13[[#This Row],[Code machine]],'CODE mchn'!$A$4:$C$170,2,0)),"",VLOOKUP(Tableau13[[#This Row],[Code machine]],'CODE mchn'!$A$4:$C$170,2,0))</f>
        <v>Béton</v>
      </c>
      <c r="D2550" s="241" t="str">
        <f>IF(ISNA(VLOOKUP(Tableau13[[#This Row],[Code machine]],'CODE mchn'!$A$4:$C$170,3,0)),"",VLOOKUP(Tableau13[[#This Row],[Code machine]],'CODE mchn'!$A$4:$C$170,3,0))</f>
        <v>Poyatos 1</v>
      </c>
      <c r="E2550" s="239">
        <v>30063</v>
      </c>
      <c r="F2550" s="241"/>
      <c r="G2550" s="36" t="s">
        <v>291</v>
      </c>
      <c r="H2550" s="241" t="s">
        <v>4528</v>
      </c>
      <c r="I2550" s="241"/>
      <c r="J2550" s="249" t="s">
        <v>4529</v>
      </c>
      <c r="K2550" s="242">
        <v>45267</v>
      </c>
      <c r="L2550" s="241"/>
      <c r="M2550" s="243">
        <v>60</v>
      </c>
      <c r="N2550" s="243">
        <f>MONTH(Tableau13[[#This Row],[Date fin intervention]])</f>
        <v>12</v>
      </c>
      <c r="O2550" s="243">
        <f>YEAR(Tableau13[[#This Row],[Date fin intervention]])</f>
        <v>2023</v>
      </c>
      <c r="P2550" s="241"/>
    </row>
    <row r="2551" spans="1:16">
      <c r="A2551" s="104">
        <v>45267</v>
      </c>
      <c r="B2551" s="105">
        <v>565</v>
      </c>
      <c r="C2551" s="106" t="str">
        <f>IF(ISNA(VLOOKUP(Tableau13[[#This Row],[Code machine]],'CODE mchn'!$A$4:$C$170,2,0)),"",VLOOKUP(Tableau13[[#This Row],[Code machine]],'CODE mchn'!$A$4:$C$170,2,0))</f>
        <v>Acier</v>
      </c>
      <c r="D2551" s="36" t="str">
        <f>IF(ISNA(VLOOKUP(Tableau13[[#This Row],[Code machine]],'CODE mchn'!$A$4:$C$170,3,0)),"",VLOOKUP(Tableau13[[#This Row],[Code machine]],'CODE mchn'!$A$4:$C$170,3,0))</f>
        <v>EVG GE12</v>
      </c>
      <c r="E2551" s="105">
        <v>30101</v>
      </c>
      <c r="F2551" s="36"/>
      <c r="G2551" s="36" t="s">
        <v>2243</v>
      </c>
      <c r="H2551" s="36" t="s">
        <v>4592</v>
      </c>
      <c r="I2551" s="36"/>
      <c r="J2551" s="252" t="s">
        <v>4593</v>
      </c>
      <c r="K2551" s="71">
        <v>45267</v>
      </c>
      <c r="L2551" s="36"/>
      <c r="M2551" s="108">
        <v>160</v>
      </c>
      <c r="N2551" s="108">
        <f>MONTH(Tableau13[[#This Row],[Date fin intervention]])</f>
        <v>12</v>
      </c>
      <c r="O2551" s="108">
        <f>YEAR(Tableau13[[#This Row],[Date fin intervention]])</f>
        <v>2023</v>
      </c>
      <c r="P2551" s="36"/>
    </row>
    <row r="2552" spans="1:16">
      <c r="A2552" s="104">
        <v>45272</v>
      </c>
      <c r="B2552" s="105">
        <v>700</v>
      </c>
      <c r="C2552" s="106" t="str">
        <f>IF(ISNA(VLOOKUP(Tableau13[[#This Row],[Code machine]],'CODE mchn'!$A$4:$C$170,2,0)),"",VLOOKUP(Tableau13[[#This Row],[Code machine]],'CODE mchn'!$A$4:$C$170,2,0))</f>
        <v>Béton</v>
      </c>
      <c r="D2552" s="36" t="str">
        <f>IF(ISNA(VLOOKUP(Tableau13[[#This Row],[Code machine]],'CODE mchn'!$A$4:$C$170,3,0)),"",VLOOKUP(Tableau13[[#This Row],[Code machine]],'CODE mchn'!$A$4:$C$170,3,0))</f>
        <v>Poyatos 1</v>
      </c>
      <c r="E2552" s="105">
        <v>30064</v>
      </c>
      <c r="F2552" s="36"/>
      <c r="G2552" s="36" t="s">
        <v>1283</v>
      </c>
      <c r="H2552" s="36" t="s">
        <v>4552</v>
      </c>
      <c r="I2552" s="36"/>
      <c r="J2552" s="252" t="s">
        <v>4553</v>
      </c>
      <c r="K2552" s="71">
        <v>45272</v>
      </c>
      <c r="L2552" s="36"/>
      <c r="M2552" s="108">
        <f>4*60</f>
        <v>240</v>
      </c>
      <c r="N2552" s="108">
        <f>MONTH(Tableau13[[#This Row],[Date fin intervention]])</f>
        <v>12</v>
      </c>
      <c r="O2552" s="108">
        <f>YEAR(Tableau13[[#This Row],[Date fin intervention]])</f>
        <v>2023</v>
      </c>
      <c r="P2552" s="36"/>
    </row>
    <row r="2553" spans="1:16">
      <c r="A2553" s="104">
        <v>45273</v>
      </c>
      <c r="B2553" s="105">
        <v>606</v>
      </c>
      <c r="C2553" s="106" t="str">
        <f>IF(ISNA(VLOOKUP(Tableau13[[#This Row],[Code machine]],'CODE mchn'!$A$4:$C$170,2,0)),"",VLOOKUP(Tableau13[[#This Row],[Code machine]],'CODE mchn'!$A$4:$C$170,2,0))</f>
        <v>Acier</v>
      </c>
      <c r="D2553" s="36" t="str">
        <f>IF(ISNA(VLOOKUP(Tableau13[[#This Row],[Code machine]],'CODE mchn'!$A$4:$C$170,3,0)),"",VLOOKUP(Tableau13[[#This Row],[Code machine]],'CODE mchn'!$A$4:$C$170,3,0))</f>
        <v>Vitari 2</v>
      </c>
      <c r="E2553" s="105">
        <v>30106</v>
      </c>
      <c r="F2553" s="36"/>
      <c r="G2553" s="36" t="s">
        <v>1450</v>
      </c>
      <c r="H2553" s="36" t="s">
        <v>4594</v>
      </c>
      <c r="I2553" s="36"/>
      <c r="J2553" s="252" t="s">
        <v>3026</v>
      </c>
      <c r="K2553" s="71">
        <v>45279</v>
      </c>
      <c r="L2553" s="36"/>
      <c r="M2553" s="108">
        <f>6*8*60</f>
        <v>2880</v>
      </c>
      <c r="N2553" s="108">
        <f>MONTH(Tableau13[[#This Row],[Date fin intervention]])</f>
        <v>12</v>
      </c>
      <c r="O2553" s="108">
        <f>YEAR(Tableau13[[#This Row],[Date fin intervention]])</f>
        <v>2023</v>
      </c>
      <c r="P2553" s="36"/>
    </row>
    <row r="2554" spans="1:16">
      <c r="A2554" s="104">
        <v>45278</v>
      </c>
      <c r="B2554" s="105">
        <v>700</v>
      </c>
      <c r="C2554" s="106" t="str">
        <f>IF(ISNA(VLOOKUP(Tableau13[[#This Row],[Code machine]],'CODE mchn'!$A$4:$C$170,2,0)),"",VLOOKUP(Tableau13[[#This Row],[Code machine]],'CODE mchn'!$A$4:$C$170,2,0))</f>
        <v>Béton</v>
      </c>
      <c r="D2554" s="36" t="str">
        <f>IF(ISNA(VLOOKUP(Tableau13[[#This Row],[Code machine]],'CODE mchn'!$A$4:$C$170,3,0)),"",VLOOKUP(Tableau13[[#This Row],[Code machine]],'CODE mchn'!$A$4:$C$170,3,0))</f>
        <v>Poyatos 1</v>
      </c>
      <c r="E2554" s="105">
        <v>30065</v>
      </c>
      <c r="F2554" s="36"/>
      <c r="G2554" s="36" t="s">
        <v>394</v>
      </c>
      <c r="H2554" s="36" t="s">
        <v>4554</v>
      </c>
      <c r="I2554" s="36"/>
      <c r="J2554" s="252" t="s">
        <v>4555</v>
      </c>
      <c r="K2554" s="71">
        <v>45278</v>
      </c>
      <c r="L2554" s="36"/>
      <c r="M2554" s="108">
        <v>270</v>
      </c>
      <c r="N2554" s="108">
        <f>MONTH(Tableau13[[#This Row],[Date fin intervention]])</f>
        <v>12</v>
      </c>
      <c r="O2554" s="108">
        <f>YEAR(Tableau13[[#This Row],[Date fin intervention]])</f>
        <v>2023</v>
      </c>
      <c r="P2554" s="36"/>
    </row>
    <row r="2555" spans="1:16">
      <c r="A2555" s="104">
        <v>45278</v>
      </c>
      <c r="B2555" s="105">
        <v>565</v>
      </c>
      <c r="C2555" s="106" t="str">
        <f>IF(ISNA(VLOOKUP(Tableau13[[#This Row],[Code machine]],'CODE mchn'!$A$4:$C$170,2,0)),"",VLOOKUP(Tableau13[[#This Row],[Code machine]],'CODE mchn'!$A$4:$C$170,2,0))</f>
        <v>Acier</v>
      </c>
      <c r="D2555" s="36" t="str">
        <f>IF(ISNA(VLOOKUP(Tableau13[[#This Row],[Code machine]],'CODE mchn'!$A$4:$C$170,3,0)),"",VLOOKUP(Tableau13[[#This Row],[Code machine]],'CODE mchn'!$A$4:$C$170,3,0))</f>
        <v>EVG GE12</v>
      </c>
      <c r="E2555" s="105">
        <v>30109</v>
      </c>
      <c r="F2555" s="36"/>
      <c r="G2555" s="36" t="s">
        <v>726</v>
      </c>
      <c r="H2555" s="36" t="s">
        <v>408</v>
      </c>
      <c r="I2555" s="36"/>
      <c r="J2555" s="252" t="s">
        <v>4069</v>
      </c>
      <c r="K2555" s="71">
        <v>45278</v>
      </c>
      <c r="L2555" s="36"/>
      <c r="M2555" s="108">
        <v>30</v>
      </c>
      <c r="N2555" s="108">
        <f>MONTH(Tableau13[[#This Row],[Date fin intervention]])</f>
        <v>12</v>
      </c>
      <c r="O2555" s="108">
        <f>YEAR(Tableau13[[#This Row],[Date fin intervention]])</f>
        <v>2023</v>
      </c>
      <c r="P2555" s="36"/>
    </row>
    <row r="2556" spans="1:16">
      <c r="A2556" s="104">
        <v>45280</v>
      </c>
      <c r="B2556" s="105">
        <v>565</v>
      </c>
      <c r="C2556" s="106" t="str">
        <f>IF(ISNA(VLOOKUP(Tableau13[[#This Row],[Code machine]],'CODE mchn'!$A$4:$C$170,2,0)),"",VLOOKUP(Tableau13[[#This Row],[Code machine]],'CODE mchn'!$A$4:$C$170,2,0))</f>
        <v>Acier</v>
      </c>
      <c r="D2556" s="36" t="str">
        <f>IF(ISNA(VLOOKUP(Tableau13[[#This Row],[Code machine]],'CODE mchn'!$A$4:$C$170,3,0)),"",VLOOKUP(Tableau13[[#This Row],[Code machine]],'CODE mchn'!$A$4:$C$170,3,0))</f>
        <v>EVG GE12</v>
      </c>
      <c r="E2556" s="105">
        <v>30111</v>
      </c>
      <c r="F2556" s="36"/>
      <c r="G2556" s="36" t="s">
        <v>4595</v>
      </c>
      <c r="H2556" s="36" t="s">
        <v>1147</v>
      </c>
      <c r="I2556" s="36"/>
      <c r="J2556" s="252" t="s">
        <v>4596</v>
      </c>
      <c r="K2556" s="71">
        <v>45280</v>
      </c>
      <c r="L2556" s="36"/>
      <c r="M2556" s="108">
        <v>120</v>
      </c>
      <c r="N2556" s="108">
        <f>MONTH(Tableau13[[#This Row],[Date fin intervention]])</f>
        <v>12</v>
      </c>
      <c r="O2556" s="108">
        <f>YEAR(Tableau13[[#This Row],[Date fin intervention]])</f>
        <v>2023</v>
      </c>
      <c r="P2556" s="36"/>
    </row>
    <row r="2557" spans="1:16" ht="28.5">
      <c r="A2557" s="104">
        <v>45280</v>
      </c>
      <c r="B2557" s="105">
        <v>620</v>
      </c>
      <c r="C2557" s="106" t="str">
        <f>IF(ISNA(VLOOKUP(Tableau13[[#This Row],[Code machine]],'CODE mchn'!$A$4:$C$170,2,0)),"",VLOOKUP(Tableau13[[#This Row],[Code machine]],'CODE mchn'!$A$4:$C$170,2,0))</f>
        <v>Acier</v>
      </c>
      <c r="D2557" s="36" t="str">
        <f>IF(ISNA(VLOOKUP(Tableau13[[#This Row],[Code machine]],'CODE mchn'!$A$4:$C$170,3,0)),"",VLOOKUP(Tableau13[[#This Row],[Code machine]],'CODE mchn'!$A$4:$C$170,3,0))</f>
        <v>EVG PN 2</v>
      </c>
      <c r="E2557" s="105" t="s">
        <v>4602</v>
      </c>
      <c r="F2557" s="36"/>
      <c r="G2557" s="36" t="s">
        <v>726</v>
      </c>
      <c r="H2557" s="36" t="s">
        <v>4603</v>
      </c>
      <c r="I2557" s="36"/>
      <c r="J2557" s="252" t="s">
        <v>4604</v>
      </c>
      <c r="K2557" s="71">
        <v>45284</v>
      </c>
      <c r="L2557" s="36"/>
      <c r="M2557" s="108">
        <f>8*60*4</f>
        <v>1920</v>
      </c>
      <c r="N2557" s="108">
        <f>MONTH(Tableau13[[#This Row],[Date fin intervention]])</f>
        <v>12</v>
      </c>
      <c r="O2557" s="108">
        <f>YEAR(Tableau13[[#This Row],[Date fin intervention]])</f>
        <v>2023</v>
      </c>
      <c r="P2557" s="36"/>
    </row>
    <row r="2558" spans="1:16" ht="28.5">
      <c r="A2558" s="104">
        <v>45282</v>
      </c>
      <c r="B2558" s="105">
        <v>700</v>
      </c>
      <c r="C2558" s="106" t="str">
        <f>IF(ISNA(VLOOKUP(Tableau13[[#This Row],[Code machine]],'CODE mchn'!$A$4:$C$170,2,0)),"",VLOOKUP(Tableau13[[#This Row],[Code machine]],'CODE mchn'!$A$4:$C$170,2,0))</f>
        <v>Béton</v>
      </c>
      <c r="D2558" s="36" t="str">
        <f>IF(ISNA(VLOOKUP(Tableau13[[#This Row],[Code machine]],'CODE mchn'!$A$4:$C$170,3,0)),"",VLOOKUP(Tableau13[[#This Row],[Code machine]],'CODE mchn'!$A$4:$C$170,3,0))</f>
        <v>Poyatos 1</v>
      </c>
      <c r="E2558" s="105">
        <v>30067</v>
      </c>
      <c r="F2558" s="36"/>
      <c r="G2558" s="36" t="s">
        <v>213</v>
      </c>
      <c r="H2558" s="36" t="s">
        <v>4556</v>
      </c>
      <c r="I2558" s="36"/>
      <c r="J2558" s="252" t="s">
        <v>4557</v>
      </c>
      <c r="K2558" s="71">
        <v>45282</v>
      </c>
      <c r="L2558" s="36"/>
      <c r="M2558" s="108">
        <f>60*3</f>
        <v>180</v>
      </c>
      <c r="N2558" s="108">
        <f>MONTH(Tableau13[[#This Row],[Date fin intervention]])</f>
        <v>12</v>
      </c>
      <c r="O2558" s="108">
        <f>YEAR(Tableau13[[#This Row],[Date fin intervention]])</f>
        <v>2023</v>
      </c>
      <c r="P2558" s="36"/>
    </row>
    <row r="2559" spans="1:16">
      <c r="A2559" s="104">
        <v>45283</v>
      </c>
      <c r="B2559" s="105">
        <v>700</v>
      </c>
      <c r="C2559" s="106" t="str">
        <f>IF(ISNA(VLOOKUP(Tableau13[[#This Row],[Code machine]],'CODE mchn'!$A$4:$C$170,2,0)),"",VLOOKUP(Tableau13[[#This Row],[Code machine]],'CODE mchn'!$A$4:$C$170,2,0))</f>
        <v>Béton</v>
      </c>
      <c r="D2559" s="36" t="str">
        <f>IF(ISNA(VLOOKUP(Tableau13[[#This Row],[Code machine]],'CODE mchn'!$A$4:$C$170,3,0)),"",VLOOKUP(Tableau13[[#This Row],[Code machine]],'CODE mchn'!$A$4:$C$170,3,0))</f>
        <v>Poyatos 1</v>
      </c>
      <c r="E2559" s="105">
        <v>30068</v>
      </c>
      <c r="F2559" s="36"/>
      <c r="G2559" s="36" t="s">
        <v>4558</v>
      </c>
      <c r="H2559" s="36" t="s">
        <v>2870</v>
      </c>
      <c r="I2559" s="36"/>
      <c r="J2559" s="252" t="s">
        <v>4559</v>
      </c>
      <c r="K2559" s="71">
        <v>45283</v>
      </c>
      <c r="L2559" s="36"/>
      <c r="M2559" s="108">
        <v>30</v>
      </c>
      <c r="N2559" s="108">
        <f>MONTH(Tableau13[[#This Row],[Date fin intervention]])</f>
        <v>12</v>
      </c>
      <c r="O2559" s="108">
        <f>YEAR(Tableau13[[#This Row],[Date fin intervention]])</f>
        <v>2023</v>
      </c>
      <c r="P2559" s="36"/>
    </row>
    <row r="2560" spans="1:16">
      <c r="A2560" s="104">
        <v>45284</v>
      </c>
      <c r="B2560" s="105">
        <v>800</v>
      </c>
      <c r="C2560" s="106" t="str">
        <f>IF(ISNA(VLOOKUP(Tableau13[[#This Row],[Code machine]],'CODE mchn'!$A$4:$C$170,2,0)),"",VLOOKUP(Tableau13[[#This Row],[Code machine]],'CODE mchn'!$A$4:$C$170,2,0))</f>
        <v>Béton</v>
      </c>
      <c r="D2560" s="36" t="str">
        <f>IF(ISNA(VLOOKUP(Tableau13[[#This Row],[Code machine]],'CODE mchn'!$A$4:$C$170,3,0)),"",VLOOKUP(Tableau13[[#This Row],[Code machine]],'CODE mchn'!$A$4:$C$170,3,0))</f>
        <v>Poyatos 2</v>
      </c>
      <c r="E2560" s="105">
        <v>30069</v>
      </c>
      <c r="F2560" s="36"/>
      <c r="G2560" s="36" t="s">
        <v>306</v>
      </c>
      <c r="H2560" s="36" t="s">
        <v>4560</v>
      </c>
      <c r="I2560" s="36"/>
      <c r="J2560" s="252" t="s">
        <v>4561</v>
      </c>
      <c r="K2560" s="71">
        <v>45284</v>
      </c>
      <c r="L2560" s="36"/>
      <c r="M2560" s="108">
        <v>180</v>
      </c>
      <c r="N2560" s="108">
        <f>MONTH(Tableau13[[#This Row],[Date fin intervention]])</f>
        <v>12</v>
      </c>
      <c r="O2560" s="108">
        <f>YEAR(Tableau13[[#This Row],[Date fin intervention]])</f>
        <v>2023</v>
      </c>
      <c r="P2560" s="36"/>
    </row>
    <row r="2561" spans="1:16">
      <c r="A2561" s="104">
        <v>45286</v>
      </c>
      <c r="B2561" s="105">
        <v>700</v>
      </c>
      <c r="C2561" s="106" t="str">
        <f>IF(ISNA(VLOOKUP(Tableau13[[#This Row],[Code machine]],'CODE mchn'!$A$4:$C$170,2,0)),"",VLOOKUP(Tableau13[[#This Row],[Code machine]],'CODE mchn'!$A$4:$C$170,2,0))</f>
        <v>Béton</v>
      </c>
      <c r="D2561" s="36" t="str">
        <f>IF(ISNA(VLOOKUP(Tableau13[[#This Row],[Code machine]],'CODE mchn'!$A$4:$C$170,3,0)),"",VLOOKUP(Tableau13[[#This Row],[Code machine]],'CODE mchn'!$A$4:$C$170,3,0))</f>
        <v>Poyatos 1</v>
      </c>
      <c r="E2561" s="105">
        <v>30070</v>
      </c>
      <c r="F2561" s="36"/>
      <c r="G2561" s="36" t="s">
        <v>110</v>
      </c>
      <c r="H2561" s="36" t="s">
        <v>520</v>
      </c>
      <c r="I2561" s="36"/>
      <c r="J2561" s="252" t="s">
        <v>4562</v>
      </c>
      <c r="K2561" s="71">
        <v>45286</v>
      </c>
      <c r="L2561" s="36"/>
      <c r="M2561" s="108">
        <v>30</v>
      </c>
      <c r="N2561" s="108">
        <f>MONTH(Tableau13[[#This Row],[Date fin intervention]])</f>
        <v>12</v>
      </c>
      <c r="O2561" s="108">
        <f>YEAR(Tableau13[[#This Row],[Date fin intervention]])</f>
        <v>2023</v>
      </c>
      <c r="P2561" s="36"/>
    </row>
    <row r="2562" spans="1:16">
      <c r="A2562" s="104">
        <v>45286</v>
      </c>
      <c r="B2562" s="105">
        <v>607</v>
      </c>
      <c r="C2562" s="106" t="str">
        <f>IF(ISNA(VLOOKUP(Tableau13[[#This Row],[Code machine]],'CODE mchn'!$A$4:$C$170,2,0)),"",VLOOKUP(Tableau13[[#This Row],[Code machine]],'CODE mchn'!$A$4:$C$170,2,0))</f>
        <v>Acier</v>
      </c>
      <c r="D2562" s="36" t="str">
        <f>IF(ISNA(VLOOKUP(Tableau13[[#This Row],[Code machine]],'CODE mchn'!$A$4:$C$170,3,0)),"",VLOOKUP(Tableau13[[#This Row],[Code machine]],'CODE mchn'!$A$4:$C$170,3,0))</f>
        <v>Vitari 3</v>
      </c>
      <c r="E2562" s="105">
        <v>30114</v>
      </c>
      <c r="F2562" s="36"/>
      <c r="G2562" s="36" t="s">
        <v>664</v>
      </c>
      <c r="H2562" s="36" t="s">
        <v>4597</v>
      </c>
      <c r="I2562" s="36"/>
      <c r="J2562" s="252" t="s">
        <v>4598</v>
      </c>
      <c r="K2562" s="71">
        <v>45286</v>
      </c>
      <c r="L2562" s="36"/>
      <c r="M2562" s="108">
        <f>7*60</f>
        <v>420</v>
      </c>
      <c r="N2562" s="108">
        <f>MONTH(Tableau13[[#This Row],[Date fin intervention]])</f>
        <v>12</v>
      </c>
      <c r="O2562" s="108">
        <f>YEAR(Tableau13[[#This Row],[Date fin intervention]])</f>
        <v>2023</v>
      </c>
      <c r="P2562" s="36"/>
    </row>
    <row r="2563" spans="1:16" ht="28.5">
      <c r="A2563" s="104">
        <v>45287</v>
      </c>
      <c r="B2563" s="105">
        <v>800</v>
      </c>
      <c r="C2563" s="106" t="str">
        <f>IF(ISNA(VLOOKUP(Tableau13[[#This Row],[Code machine]],'CODE mchn'!$A$4:$C$170,2,0)),"",VLOOKUP(Tableau13[[#This Row],[Code machine]],'CODE mchn'!$A$4:$C$170,2,0))</f>
        <v>Béton</v>
      </c>
      <c r="D2563" s="36" t="str">
        <f>IF(ISNA(VLOOKUP(Tableau13[[#This Row],[Code machine]],'CODE mchn'!$A$4:$C$170,3,0)),"",VLOOKUP(Tableau13[[#This Row],[Code machine]],'CODE mchn'!$A$4:$C$170,3,0))</f>
        <v>Poyatos 2</v>
      </c>
      <c r="E2563" s="105">
        <v>30072</v>
      </c>
      <c r="F2563" s="36"/>
      <c r="G2563" s="36" t="s">
        <v>118</v>
      </c>
      <c r="H2563" s="36" t="s">
        <v>1578</v>
      </c>
      <c r="I2563" s="36"/>
      <c r="J2563" s="252" t="s">
        <v>4563</v>
      </c>
      <c r="K2563" s="71">
        <v>45287</v>
      </c>
      <c r="L2563" s="36"/>
      <c r="M2563" s="108">
        <f>4*60</f>
        <v>240</v>
      </c>
      <c r="N2563" s="108">
        <f>MONTH(Tableau13[[#This Row],[Date fin intervention]])</f>
        <v>12</v>
      </c>
      <c r="O2563" s="108">
        <f>YEAR(Tableau13[[#This Row],[Date fin intervention]])</f>
        <v>2023</v>
      </c>
      <c r="P2563" s="36"/>
    </row>
    <row r="2564" spans="1:16">
      <c r="A2564" s="104">
        <v>45289</v>
      </c>
      <c r="B2564" s="105">
        <v>607</v>
      </c>
      <c r="C2564" s="106" t="str">
        <f>IF(ISNA(VLOOKUP(Tableau13[[#This Row],[Code machine]],'CODE mchn'!$A$4:$C$170,2,0)),"",VLOOKUP(Tableau13[[#This Row],[Code machine]],'CODE mchn'!$A$4:$C$170,2,0))</f>
        <v>Acier</v>
      </c>
      <c r="D2564" s="36" t="str">
        <f>IF(ISNA(VLOOKUP(Tableau13[[#This Row],[Code machine]],'CODE mchn'!$A$4:$C$170,3,0)),"",VLOOKUP(Tableau13[[#This Row],[Code machine]],'CODE mchn'!$A$4:$C$170,3,0))</f>
        <v>Vitari 3</v>
      </c>
      <c r="E2564" s="105">
        <v>30115</v>
      </c>
      <c r="F2564" s="36"/>
      <c r="G2564" s="36" t="s">
        <v>78</v>
      </c>
      <c r="H2564" s="36" t="s">
        <v>1259</v>
      </c>
      <c r="I2564" s="36"/>
      <c r="J2564" s="252" t="s">
        <v>4599</v>
      </c>
      <c r="K2564" s="71">
        <v>45289</v>
      </c>
      <c r="L2564" s="36"/>
      <c r="M2564" s="108">
        <v>120</v>
      </c>
      <c r="N2564" s="108">
        <f>MONTH(Tableau13[[#This Row],[Date fin intervention]])</f>
        <v>12</v>
      </c>
      <c r="O2564" s="108">
        <f>YEAR(Tableau13[[#This Row],[Date fin intervention]])</f>
        <v>2023</v>
      </c>
      <c r="P2564" s="36"/>
    </row>
    <row r="2565" spans="1:16" s="315" customFormat="1">
      <c r="A2565" s="304">
        <v>45292</v>
      </c>
      <c r="B2565" s="305">
        <v>700</v>
      </c>
      <c r="C2565" s="306" t="str">
        <f>IF(ISNA(VLOOKUP(Tableau13[[#This Row],[Code machine]],'CODE mchn'!$A$4:$C$170,2,0)),"",VLOOKUP(Tableau13[[#This Row],[Code machine]],'CODE mchn'!$A$4:$C$170,2,0))</f>
        <v>Béton</v>
      </c>
      <c r="D2565" s="307" t="str">
        <f>IF(ISNA(VLOOKUP(Tableau13[[#This Row],[Code machine]],'CODE mchn'!$A$4:$C$170,3,0)),"",VLOOKUP(Tableau13[[#This Row],[Code machine]],'CODE mchn'!$A$4:$C$170,3,0))</f>
        <v>Poyatos 1</v>
      </c>
      <c r="E2565" s="308">
        <v>27351</v>
      </c>
      <c r="F2565" s="309"/>
      <c r="G2565" s="310" t="s">
        <v>291</v>
      </c>
      <c r="H2565" s="311" t="s">
        <v>4610</v>
      </c>
      <c r="I2565" s="311"/>
      <c r="J2565" s="312" t="s">
        <v>4611</v>
      </c>
      <c r="K2565" s="313">
        <v>45292</v>
      </c>
      <c r="L2565" s="311"/>
      <c r="M2565" s="314">
        <v>180</v>
      </c>
      <c r="N2565" s="314">
        <f>MONTH(Tableau13[[#This Row],[Date fin intervention]])</f>
        <v>1</v>
      </c>
      <c r="O2565" s="314">
        <f>YEAR(Tableau13[[#This Row],[Date fin intervention]])</f>
        <v>2024</v>
      </c>
      <c r="P2565" s="311"/>
    </row>
    <row r="2566" spans="1:16">
      <c r="A2566" s="104">
        <v>45293</v>
      </c>
      <c r="B2566" s="105">
        <v>560</v>
      </c>
      <c r="C2566" s="106" t="str">
        <f>IF(ISNA(VLOOKUP(Tableau13[[#This Row],[Code machine]],'CODE mchn'!$A$4:$C$170,2,0)),"",VLOOKUP(Tableau13[[#This Row],[Code machine]],'CODE mchn'!$A$4:$C$170,2,0))</f>
        <v>Acier</v>
      </c>
      <c r="D2566" s="36" t="str">
        <f>IF(ISNA(VLOOKUP(Tableau13[[#This Row],[Code machine]],'CODE mchn'!$A$4:$C$170,3,0)),"",VLOOKUP(Tableau13[[#This Row],[Code machine]],'CODE mchn'!$A$4:$C$170,3,0))</f>
        <v>Schlatter</v>
      </c>
      <c r="E2566" s="105">
        <v>30116</v>
      </c>
      <c r="F2566" s="36"/>
      <c r="G2566" s="36" t="s">
        <v>1722</v>
      </c>
      <c r="H2566" s="36" t="s">
        <v>4600</v>
      </c>
      <c r="I2566" s="36"/>
      <c r="J2566" s="252" t="s">
        <v>4601</v>
      </c>
      <c r="K2566" s="71">
        <v>45293</v>
      </c>
      <c r="L2566" s="36"/>
      <c r="M2566" s="108">
        <f>60*2.5</f>
        <v>150</v>
      </c>
      <c r="N2566" s="108">
        <f>MONTH(Tableau13[[#This Row],[Date fin intervention]])</f>
        <v>1</v>
      </c>
      <c r="O2566" s="108">
        <f>YEAR(Tableau13[[#This Row],[Date fin intervention]])</f>
        <v>2024</v>
      </c>
      <c r="P2566" s="36"/>
    </row>
    <row r="2567" spans="1:16">
      <c r="A2567" s="104">
        <v>45293</v>
      </c>
      <c r="B2567" s="105">
        <v>800</v>
      </c>
      <c r="C2567" s="106" t="str">
        <f>IF(ISNA(VLOOKUP(Tableau13[[#This Row],[Code machine]],'CODE mchn'!$A$4:$C$170,2,0)),"",VLOOKUP(Tableau13[[#This Row],[Code machine]],'CODE mchn'!$A$4:$C$170,2,0))</f>
        <v>Béton</v>
      </c>
      <c r="D2567" s="36" t="str">
        <f>IF(ISNA(VLOOKUP(Tableau13[[#This Row],[Code machine]],'CODE mchn'!$A$4:$C$170,3,0)),"",VLOOKUP(Tableau13[[#This Row],[Code machine]],'CODE mchn'!$A$4:$C$170,3,0))</f>
        <v>Poyatos 2</v>
      </c>
      <c r="E2567" s="105">
        <v>26425</v>
      </c>
      <c r="F2567" s="36"/>
      <c r="G2567" s="36" t="s">
        <v>213</v>
      </c>
      <c r="H2567" s="36" t="s">
        <v>4571</v>
      </c>
      <c r="I2567" s="36"/>
      <c r="J2567" s="252" t="s">
        <v>4572</v>
      </c>
      <c r="K2567" s="71">
        <v>45202</v>
      </c>
      <c r="L2567" s="36"/>
      <c r="M2567" s="108">
        <f>20*60</f>
        <v>1200</v>
      </c>
      <c r="N2567" s="108">
        <f>MONTH(Tableau13[[#This Row],[Date fin intervention]])</f>
        <v>10</v>
      </c>
      <c r="O2567" s="108">
        <f>YEAR(Tableau13[[#This Row],[Date fin intervention]])</f>
        <v>2023</v>
      </c>
      <c r="P2567" s="36"/>
    </row>
    <row r="2568" spans="1:16">
      <c r="A2568" s="293">
        <v>45293</v>
      </c>
      <c r="B2568" s="294">
        <v>560</v>
      </c>
      <c r="C2568" s="106" t="str">
        <f>IF(ISNA(VLOOKUP(Tableau13[[#This Row],[Code machine]],'CODE mchn'!$A$4:$C$170,2,0)),"",VLOOKUP(Tableau13[[#This Row],[Code machine]],'CODE mchn'!$A$4:$C$170,2,0))</f>
        <v>Acier</v>
      </c>
      <c r="D2568" s="36" t="str">
        <f>IF(ISNA(VLOOKUP(Tableau13[[#This Row],[Code machine]],'CODE mchn'!$A$4:$C$170,3,0)),"",VLOOKUP(Tableau13[[#This Row],[Code machine]],'CODE mchn'!$A$4:$C$170,3,0))</f>
        <v>Schlatter</v>
      </c>
      <c r="E2568" s="297">
        <v>27352</v>
      </c>
      <c r="F2568" s="296"/>
      <c r="G2568" s="36" t="s">
        <v>726</v>
      </c>
      <c r="H2568" s="298" t="s">
        <v>3610</v>
      </c>
      <c r="I2568" s="298"/>
      <c r="J2568" s="299" t="s">
        <v>4613</v>
      </c>
      <c r="K2568" s="300">
        <v>45293</v>
      </c>
      <c r="L2568" s="298"/>
      <c r="M2568" s="301">
        <v>60</v>
      </c>
      <c r="N2568" s="301">
        <f>MONTH(Tableau13[[#This Row],[Date fin intervention]])</f>
        <v>1</v>
      </c>
      <c r="O2568" s="301">
        <f>YEAR(Tableau13[[#This Row],[Date fin intervention]])</f>
        <v>2024</v>
      </c>
      <c r="P2568" s="298"/>
    </row>
    <row r="2569" spans="1:16">
      <c r="A2569" s="293">
        <v>45293</v>
      </c>
      <c r="B2569" s="294">
        <v>800</v>
      </c>
      <c r="C2569" s="295" t="str">
        <f>IF(ISNA(VLOOKUP(Tableau13[[#This Row],[Code machine]],'CODE mchn'!$A$4:$C$170,2,0)),"",VLOOKUP(Tableau13[[#This Row],[Code machine]],'CODE mchn'!$A$4:$C$170,2,0))</f>
        <v>Béton</v>
      </c>
      <c r="D2569" s="296" t="str">
        <f>IF(ISNA(VLOOKUP(Tableau13[[#This Row],[Code machine]],'CODE mchn'!$A$4:$C$170,3,0)),"",VLOOKUP(Tableau13[[#This Row],[Code machine]],'CODE mchn'!$A$4:$C$170,3,0))</f>
        <v>Poyatos 2</v>
      </c>
      <c r="E2569" s="297">
        <v>27353</v>
      </c>
      <c r="F2569" s="296"/>
      <c r="G2569" s="298"/>
      <c r="H2569" s="298" t="s">
        <v>4614</v>
      </c>
      <c r="I2569" s="298"/>
      <c r="J2569" s="299" t="s">
        <v>4615</v>
      </c>
      <c r="K2569" s="300">
        <v>45293</v>
      </c>
      <c r="L2569" s="298"/>
      <c r="M2569" s="301">
        <v>240</v>
      </c>
      <c r="N2569" s="301">
        <f>MONTH(Tableau13[[#This Row],[Date fin intervention]])</f>
        <v>1</v>
      </c>
      <c r="O2569" s="301">
        <f>YEAR(Tableau13[[#This Row],[Date fin intervention]])</f>
        <v>2024</v>
      </c>
      <c r="P2569" s="298"/>
    </row>
    <row r="2570" spans="1:16">
      <c r="A2570" s="293">
        <v>45294</v>
      </c>
      <c r="B2570" s="294">
        <v>582</v>
      </c>
      <c r="C2570" s="295" t="str">
        <f>IF(ISNA(VLOOKUP(Tableau13[[#This Row],[Code machine]],'CODE mchn'!$A$4:$C$170,2,0)),"",VLOOKUP(Tableau13[[#This Row],[Code machine]],'CODE mchn'!$A$4:$C$170,2,0))</f>
        <v>Acier</v>
      </c>
      <c r="D2570" s="296" t="str">
        <f>IF(ISNA(VLOOKUP(Tableau13[[#This Row],[Code machine]],'CODE mchn'!$A$4:$C$170,3,0)),"",VLOOKUP(Tableau13[[#This Row],[Code machine]],'CODE mchn'!$A$4:$C$170,3,0))</f>
        <v>Teurema 2</v>
      </c>
      <c r="E2570" s="297">
        <v>27354</v>
      </c>
      <c r="F2570" s="296"/>
      <c r="G2570" s="298"/>
      <c r="H2570" s="298" t="s">
        <v>4616</v>
      </c>
      <c r="I2570" s="298"/>
      <c r="J2570" s="299" t="s">
        <v>4617</v>
      </c>
      <c r="K2570" s="300">
        <v>45296</v>
      </c>
      <c r="L2570" s="298"/>
      <c r="M2570" s="301">
        <v>120</v>
      </c>
      <c r="N2570" s="301">
        <f>MONTH(Tableau13[[#This Row],[Date fin intervention]])</f>
        <v>1</v>
      </c>
      <c r="O2570" s="301">
        <f>YEAR(Tableau13[[#This Row],[Date fin intervention]])</f>
        <v>2024</v>
      </c>
      <c r="P2570" s="298"/>
    </row>
    <row r="2571" spans="1:16">
      <c r="A2571" s="293">
        <v>45294</v>
      </c>
      <c r="B2571" s="294">
        <v>605</v>
      </c>
      <c r="C2571" s="295" t="str">
        <f>IF(ISNA(VLOOKUP(Tableau13[[#This Row],[Code machine]],'CODE mchn'!$A$4:$C$170,2,0)),"",VLOOKUP(Tableau13[[#This Row],[Code machine]],'CODE mchn'!$A$4:$C$170,2,0))</f>
        <v>Acier</v>
      </c>
      <c r="D2571" s="296" t="str">
        <f>IF(ISNA(VLOOKUP(Tableau13[[#This Row],[Code machine]],'CODE mchn'!$A$4:$C$170,3,0)),"",VLOOKUP(Tableau13[[#This Row],[Code machine]],'CODE mchn'!$A$4:$C$170,3,0))</f>
        <v>Vitari 1</v>
      </c>
      <c r="E2571" s="297">
        <v>27386</v>
      </c>
      <c r="F2571" s="296"/>
      <c r="G2571" s="298"/>
      <c r="H2571" s="298" t="s">
        <v>4663</v>
      </c>
      <c r="I2571" s="298"/>
      <c r="J2571" s="299" t="s">
        <v>4664</v>
      </c>
      <c r="K2571" s="300">
        <v>45294</v>
      </c>
      <c r="L2571" s="298"/>
      <c r="M2571" s="301">
        <v>180</v>
      </c>
      <c r="N2571" s="301">
        <f>MONTH(Tableau13[[#This Row],[Date fin intervention]])</f>
        <v>1</v>
      </c>
      <c r="O2571" s="301">
        <f>YEAR(Tableau13[[#This Row],[Date fin intervention]])</f>
        <v>2024</v>
      </c>
      <c r="P2571" s="298"/>
    </row>
    <row r="2572" spans="1:16">
      <c r="A2572" s="293">
        <v>45294</v>
      </c>
      <c r="B2572" s="294">
        <v>800</v>
      </c>
      <c r="C2572" s="295" t="str">
        <f>IF(ISNA(VLOOKUP(Tableau13[[#This Row],[Code machine]],'CODE mchn'!$A$4:$C$170,2,0)),"",VLOOKUP(Tableau13[[#This Row],[Code machine]],'CODE mchn'!$A$4:$C$170,2,0))</f>
        <v>Béton</v>
      </c>
      <c r="D2572" s="296" t="str">
        <f>IF(ISNA(VLOOKUP(Tableau13[[#This Row],[Code machine]],'CODE mchn'!$A$4:$C$170,3,0)),"",VLOOKUP(Tableau13[[#This Row],[Code machine]],'CODE mchn'!$A$4:$C$170,3,0))</f>
        <v>Poyatos 2</v>
      </c>
      <c r="E2572" s="297">
        <v>30702</v>
      </c>
      <c r="F2572" s="296"/>
      <c r="G2572" s="298"/>
      <c r="H2572" s="298" t="s">
        <v>4684</v>
      </c>
      <c r="I2572" s="298"/>
      <c r="J2572" s="299" t="s">
        <v>4631</v>
      </c>
      <c r="K2572" s="300">
        <v>45294</v>
      </c>
      <c r="L2572" s="298"/>
      <c r="M2572" s="301">
        <v>120</v>
      </c>
      <c r="N2572" s="301">
        <f>MONTH(Tableau13[[#This Row],[Date fin intervention]])</f>
        <v>1</v>
      </c>
      <c r="O2572" s="301">
        <f>YEAR(Tableau13[[#This Row],[Date fin intervention]])</f>
        <v>2024</v>
      </c>
      <c r="P2572" s="298"/>
    </row>
    <row r="2573" spans="1:16">
      <c r="A2573" s="293">
        <v>45295</v>
      </c>
      <c r="B2573" s="294">
        <v>800</v>
      </c>
      <c r="C2573" s="295" t="str">
        <f>IF(ISNA(VLOOKUP(Tableau13[[#This Row],[Code machine]],'CODE mchn'!$A$4:$C$170,2,0)),"",VLOOKUP(Tableau13[[#This Row],[Code machine]],'CODE mchn'!$A$4:$C$170,2,0))</f>
        <v>Béton</v>
      </c>
      <c r="D2573" s="296" t="str">
        <f>IF(ISNA(VLOOKUP(Tableau13[[#This Row],[Code machine]],'CODE mchn'!$A$4:$C$170,3,0)),"",VLOOKUP(Tableau13[[#This Row],[Code machine]],'CODE mchn'!$A$4:$C$170,3,0))</f>
        <v>Poyatos 2</v>
      </c>
      <c r="E2573" s="297">
        <v>30703</v>
      </c>
      <c r="F2573" s="296"/>
      <c r="G2573" s="298"/>
      <c r="H2573" s="298" t="s">
        <v>4685</v>
      </c>
      <c r="I2573" s="298"/>
      <c r="J2573" s="299" t="s">
        <v>4686</v>
      </c>
      <c r="K2573" s="300">
        <v>45295</v>
      </c>
      <c r="L2573" s="298"/>
      <c r="M2573" s="301">
        <v>60</v>
      </c>
      <c r="N2573" s="301">
        <f>MONTH(Tableau13[[#This Row],[Date fin intervention]])</f>
        <v>1</v>
      </c>
      <c r="O2573" s="301">
        <f>YEAR(Tableau13[[#This Row],[Date fin intervention]])</f>
        <v>2024</v>
      </c>
      <c r="P2573" s="298"/>
    </row>
    <row r="2574" spans="1:16">
      <c r="A2574" s="293">
        <v>45295</v>
      </c>
      <c r="B2574" s="294">
        <v>700</v>
      </c>
      <c r="C2574" s="295" t="str">
        <f>IF(ISNA(VLOOKUP(Tableau13[[#This Row],[Code machine]],'CODE mchn'!$A$4:$C$170,2,0)),"",VLOOKUP(Tableau13[[#This Row],[Code machine]],'CODE mchn'!$A$4:$C$170,2,0))</f>
        <v>Béton</v>
      </c>
      <c r="D2574" s="296" t="str">
        <f>IF(ISNA(VLOOKUP(Tableau13[[#This Row],[Code machine]],'CODE mchn'!$A$4:$C$170,3,0)),"",VLOOKUP(Tableau13[[#This Row],[Code machine]],'CODE mchn'!$A$4:$C$170,3,0))</f>
        <v>Poyatos 1</v>
      </c>
      <c r="E2574" s="297">
        <v>30704</v>
      </c>
      <c r="F2574" s="296"/>
      <c r="G2574" s="298"/>
      <c r="H2574" s="298" t="s">
        <v>3450</v>
      </c>
      <c r="I2574" s="298"/>
      <c r="J2574" s="299" t="s">
        <v>4687</v>
      </c>
      <c r="K2574" s="300">
        <v>45295</v>
      </c>
      <c r="L2574" s="298"/>
      <c r="M2574" s="301">
        <v>60</v>
      </c>
      <c r="N2574" s="301">
        <f>MONTH(Tableau13[[#This Row],[Date fin intervention]])</f>
        <v>1</v>
      </c>
      <c r="O2574" s="301">
        <f>YEAR(Tableau13[[#This Row],[Date fin intervention]])</f>
        <v>2024</v>
      </c>
      <c r="P2574" s="298"/>
    </row>
    <row r="2575" spans="1:16">
      <c r="A2575" s="293">
        <v>45295</v>
      </c>
      <c r="B2575" s="294">
        <v>700</v>
      </c>
      <c r="C2575" s="295" t="str">
        <f>IF(ISNA(VLOOKUP(Tableau13[[#This Row],[Code machine]],'CODE mchn'!$A$4:$C$170,2,0)),"",VLOOKUP(Tableau13[[#This Row],[Code machine]],'CODE mchn'!$A$4:$C$170,2,0))</f>
        <v>Béton</v>
      </c>
      <c r="D2575" s="296" t="str">
        <f>IF(ISNA(VLOOKUP(Tableau13[[#This Row],[Code machine]],'CODE mchn'!$A$4:$C$170,3,0)),"",VLOOKUP(Tableau13[[#This Row],[Code machine]],'CODE mchn'!$A$4:$C$170,3,0))</f>
        <v>Poyatos 1</v>
      </c>
      <c r="E2575" s="297">
        <v>30705</v>
      </c>
      <c r="F2575" s="296"/>
      <c r="G2575" s="298"/>
      <c r="H2575" s="298" t="s">
        <v>3450</v>
      </c>
      <c r="I2575" s="298"/>
      <c r="J2575" s="299" t="s">
        <v>4688</v>
      </c>
      <c r="K2575" s="300">
        <v>45295</v>
      </c>
      <c r="L2575" s="298"/>
      <c r="M2575" s="301">
        <v>60</v>
      </c>
      <c r="N2575" s="301">
        <f>MONTH(Tableau13[[#This Row],[Date fin intervention]])</f>
        <v>1</v>
      </c>
      <c r="O2575" s="301">
        <f>YEAR(Tableau13[[#This Row],[Date fin intervention]])</f>
        <v>2024</v>
      </c>
      <c r="P2575" s="298"/>
    </row>
    <row r="2576" spans="1:16">
      <c r="A2576" s="293">
        <v>45296</v>
      </c>
      <c r="B2576" s="294">
        <v>565</v>
      </c>
      <c r="C2576" s="295" t="str">
        <f>IF(ISNA(VLOOKUP(Tableau13[[#This Row],[Code machine]],'CODE mchn'!$A$4:$C$170,2,0)),"",VLOOKUP(Tableau13[[#This Row],[Code machine]],'CODE mchn'!$A$4:$C$170,2,0))</f>
        <v>Acier</v>
      </c>
      <c r="D2576" s="296" t="str">
        <f>IF(ISNA(VLOOKUP(Tableau13[[#This Row],[Code machine]],'CODE mchn'!$A$4:$C$170,3,0)),"",VLOOKUP(Tableau13[[#This Row],[Code machine]],'CODE mchn'!$A$4:$C$170,3,0))</f>
        <v>EVG GE12</v>
      </c>
      <c r="E2576" s="297">
        <v>27355</v>
      </c>
      <c r="F2576" s="296"/>
      <c r="G2576" s="298"/>
      <c r="H2576" s="298" t="s">
        <v>3610</v>
      </c>
      <c r="I2576" s="298"/>
      <c r="J2576" s="299" t="s">
        <v>4618</v>
      </c>
      <c r="K2576" s="300">
        <v>45296</v>
      </c>
      <c r="L2576" s="298"/>
      <c r="M2576" s="301">
        <v>60</v>
      </c>
      <c r="N2576" s="301">
        <f>MONTH(Tableau13[[#This Row],[Date fin intervention]])</f>
        <v>1</v>
      </c>
      <c r="O2576" s="301">
        <f>YEAR(Tableau13[[#This Row],[Date fin intervention]])</f>
        <v>2024</v>
      </c>
      <c r="P2576" s="298"/>
    </row>
    <row r="2577" spans="1:16">
      <c r="A2577" s="293">
        <v>45296</v>
      </c>
      <c r="B2577" s="294">
        <v>800</v>
      </c>
      <c r="C2577" s="295" t="str">
        <f>IF(ISNA(VLOOKUP(Tableau13[[#This Row],[Code machine]],'CODE mchn'!$A$4:$C$170,2,0)),"",VLOOKUP(Tableau13[[#This Row],[Code machine]],'CODE mchn'!$A$4:$C$170,2,0))</f>
        <v>Béton</v>
      </c>
      <c r="D2577" s="296" t="str">
        <f>IF(ISNA(VLOOKUP(Tableau13[[#This Row],[Code machine]],'CODE mchn'!$A$4:$C$170,3,0)),"",VLOOKUP(Tableau13[[#This Row],[Code machine]],'CODE mchn'!$A$4:$C$170,3,0))</f>
        <v>Poyatos 2</v>
      </c>
      <c r="E2577" s="297">
        <v>30706</v>
      </c>
      <c r="F2577" s="296"/>
      <c r="G2577" s="298"/>
      <c r="H2577" s="298" t="s">
        <v>4614</v>
      </c>
      <c r="I2577" s="298"/>
      <c r="J2577" s="299" t="s">
        <v>4615</v>
      </c>
      <c r="K2577" s="300">
        <v>45296</v>
      </c>
      <c r="L2577" s="298"/>
      <c r="M2577" s="301">
        <v>240</v>
      </c>
      <c r="N2577" s="301">
        <f>MONTH(Tableau13[[#This Row],[Date fin intervention]])</f>
        <v>1</v>
      </c>
      <c r="O2577" s="301">
        <f>YEAR(Tableau13[[#This Row],[Date fin intervention]])</f>
        <v>2024</v>
      </c>
      <c r="P2577" s="298"/>
    </row>
    <row r="2578" spans="1:16">
      <c r="A2578" s="293">
        <v>45296</v>
      </c>
      <c r="B2578" s="294">
        <v>700</v>
      </c>
      <c r="C2578" s="295" t="str">
        <f>IF(ISNA(VLOOKUP(Tableau13[[#This Row],[Code machine]],'CODE mchn'!$A$4:$C$170,2,0)),"",VLOOKUP(Tableau13[[#This Row],[Code machine]],'CODE mchn'!$A$4:$C$170,2,0))</f>
        <v>Béton</v>
      </c>
      <c r="D2578" s="296" t="str">
        <f>IF(ISNA(VLOOKUP(Tableau13[[#This Row],[Code machine]],'CODE mchn'!$A$4:$C$170,3,0)),"",VLOOKUP(Tableau13[[#This Row],[Code machine]],'CODE mchn'!$A$4:$C$170,3,0))</f>
        <v>Poyatos 1</v>
      </c>
      <c r="E2578" s="297">
        <v>30707</v>
      </c>
      <c r="F2578" s="296"/>
      <c r="G2578" s="298"/>
      <c r="H2578" s="298" t="s">
        <v>4689</v>
      </c>
      <c r="I2578" s="298"/>
      <c r="J2578" s="299" t="s">
        <v>4690</v>
      </c>
      <c r="K2578" s="300">
        <v>45296</v>
      </c>
      <c r="L2578" s="298"/>
      <c r="M2578" s="301">
        <v>60</v>
      </c>
      <c r="N2578" s="301">
        <f>MONTH(Tableau13[[#This Row],[Date fin intervention]])</f>
        <v>1</v>
      </c>
      <c r="O2578" s="301">
        <f>YEAR(Tableau13[[#This Row],[Date fin intervention]])</f>
        <v>2024</v>
      </c>
      <c r="P2578" s="298"/>
    </row>
    <row r="2579" spans="1:16">
      <c r="A2579" s="293">
        <v>45297</v>
      </c>
      <c r="B2579" s="294">
        <v>700</v>
      </c>
      <c r="C2579" s="295" t="str">
        <f>IF(ISNA(VLOOKUP(Tableau13[[#This Row],[Code machine]],'CODE mchn'!$A$4:$C$170,2,0)),"",VLOOKUP(Tableau13[[#This Row],[Code machine]],'CODE mchn'!$A$4:$C$170,2,0))</f>
        <v>Béton</v>
      </c>
      <c r="D2579" s="296" t="str">
        <f>IF(ISNA(VLOOKUP(Tableau13[[#This Row],[Code machine]],'CODE mchn'!$A$4:$C$170,3,0)),"",VLOOKUP(Tableau13[[#This Row],[Code machine]],'CODE mchn'!$A$4:$C$170,3,0))</f>
        <v>Poyatos 1</v>
      </c>
      <c r="E2579" s="297">
        <v>90708</v>
      </c>
      <c r="F2579" s="296"/>
      <c r="G2579" s="298"/>
      <c r="H2579" s="298" t="s">
        <v>3540</v>
      </c>
      <c r="I2579" s="298"/>
      <c r="J2579" s="299" t="s">
        <v>4691</v>
      </c>
      <c r="K2579" s="300">
        <v>45297</v>
      </c>
      <c r="L2579" s="298"/>
      <c r="M2579" s="301">
        <v>60</v>
      </c>
      <c r="N2579" s="301">
        <f>MONTH(Tableau13[[#This Row],[Date fin intervention]])</f>
        <v>1</v>
      </c>
      <c r="O2579" s="301">
        <f>YEAR(Tableau13[[#This Row],[Date fin intervention]])</f>
        <v>2024</v>
      </c>
      <c r="P2579" s="298"/>
    </row>
    <row r="2580" spans="1:16">
      <c r="A2580" s="293">
        <v>45297</v>
      </c>
      <c r="B2580" s="294">
        <v>533</v>
      </c>
      <c r="C2580" s="295" t="str">
        <f>IF(ISNA(VLOOKUP(Tableau13[[#This Row],[Code machine]],'CODE mchn'!$A$4:$C$170,2,0)),"",VLOOKUP(Tableau13[[#This Row],[Code machine]],'CODE mchn'!$A$4:$C$170,2,0))</f>
        <v>Enrobage</v>
      </c>
      <c r="D2580" s="296" t="str">
        <f>IF(ISNA(VLOOKUP(Tableau13[[#This Row],[Code machine]],'CODE mchn'!$A$4:$C$170,3,0)),"",VLOOKUP(Tableau13[[#This Row],[Code machine]],'CODE mchn'!$A$4:$C$170,3,0))</f>
        <v>CAROSSEL</v>
      </c>
      <c r="E2580" s="297">
        <v>30709</v>
      </c>
      <c r="F2580" s="296"/>
      <c r="G2580" s="298"/>
      <c r="H2580" s="298" t="s">
        <v>3450</v>
      </c>
      <c r="I2580" s="298"/>
      <c r="J2580" s="299" t="s">
        <v>4692</v>
      </c>
      <c r="K2580" s="300">
        <v>45297</v>
      </c>
      <c r="L2580" s="298"/>
      <c r="M2580" s="301">
        <v>60</v>
      </c>
      <c r="N2580" s="301">
        <f>MONTH(Tableau13[[#This Row],[Date fin intervention]])</f>
        <v>1</v>
      </c>
      <c r="O2580" s="301">
        <f>YEAR(Tableau13[[#This Row],[Date fin intervention]])</f>
        <v>2024</v>
      </c>
      <c r="P2580" s="298"/>
    </row>
    <row r="2581" spans="1:16">
      <c r="A2581" s="293">
        <v>45299</v>
      </c>
      <c r="B2581" s="294">
        <v>581</v>
      </c>
      <c r="C2581" s="295" t="str">
        <f>IF(ISNA(VLOOKUP(Tableau13[[#This Row],[Code machine]],'CODE mchn'!$A$4:$C$170,2,0)),"",VLOOKUP(Tableau13[[#This Row],[Code machine]],'CODE mchn'!$A$4:$C$170,2,0))</f>
        <v>Acier</v>
      </c>
      <c r="D2581" s="296" t="str">
        <f>IF(ISNA(VLOOKUP(Tableau13[[#This Row],[Code machine]],'CODE mchn'!$A$4:$C$170,3,0)),"",VLOOKUP(Tableau13[[#This Row],[Code machine]],'CODE mchn'!$A$4:$C$170,3,0))</f>
        <v>Teurema 1</v>
      </c>
      <c r="E2581" s="297">
        <v>27356</v>
      </c>
      <c r="F2581" s="296"/>
      <c r="G2581" s="298"/>
      <c r="H2581" s="298" t="s">
        <v>4616</v>
      </c>
      <c r="I2581" s="298"/>
      <c r="J2581" s="299" t="s">
        <v>4619</v>
      </c>
      <c r="K2581" s="300">
        <v>45299</v>
      </c>
      <c r="L2581" s="298"/>
      <c r="M2581" s="301">
        <v>120</v>
      </c>
      <c r="N2581" s="301">
        <f>MONTH(Tableau13[[#This Row],[Date fin intervention]])</f>
        <v>1</v>
      </c>
      <c r="O2581" s="301">
        <f>YEAR(Tableau13[[#This Row],[Date fin intervention]])</f>
        <v>2024</v>
      </c>
      <c r="P2581" s="298"/>
    </row>
    <row r="2582" spans="1:16">
      <c r="A2582" s="293">
        <v>45299</v>
      </c>
      <c r="B2582" s="294">
        <v>571</v>
      </c>
      <c r="C2582" s="295" t="str">
        <f>IF(ISNA(VLOOKUP(Tableau13[[#This Row],[Code machine]],'CODE mchn'!$A$4:$C$170,2,0)),"",VLOOKUP(Tableau13[[#This Row],[Code machine]],'CODE mchn'!$A$4:$C$170,2,0))</f>
        <v>Acier</v>
      </c>
      <c r="D2582" s="296" t="str">
        <f>IF(ISNA(VLOOKUP(Tableau13[[#This Row],[Code machine]],'CODE mchn'!$A$4:$C$170,3,0)),"",VLOOKUP(Tableau13[[#This Row],[Code machine]],'CODE mchn'!$A$4:$C$170,3,0))</f>
        <v>EVG PN 1</v>
      </c>
      <c r="E2582" s="297">
        <v>27357</v>
      </c>
      <c r="F2582" s="296"/>
      <c r="G2582" s="298"/>
      <c r="H2582" s="298" t="s">
        <v>4620</v>
      </c>
      <c r="I2582" s="298"/>
      <c r="J2582" s="299" t="s">
        <v>4621</v>
      </c>
      <c r="K2582" s="300">
        <v>45299</v>
      </c>
      <c r="L2582" s="298"/>
      <c r="M2582" s="301">
        <v>120</v>
      </c>
      <c r="N2582" s="301">
        <f>MONTH(Tableau13[[#This Row],[Date fin intervention]])</f>
        <v>1</v>
      </c>
      <c r="O2582" s="301">
        <f>YEAR(Tableau13[[#This Row],[Date fin intervention]])</f>
        <v>2024</v>
      </c>
      <c r="P2582" s="298"/>
    </row>
    <row r="2583" spans="1:16">
      <c r="A2583" s="293">
        <v>45299</v>
      </c>
      <c r="B2583" s="294">
        <v>605</v>
      </c>
      <c r="C2583" s="295" t="str">
        <f>IF(ISNA(VLOOKUP(Tableau13[[#This Row],[Code machine]],'CODE mchn'!$A$4:$C$170,2,0)),"",VLOOKUP(Tableau13[[#This Row],[Code machine]],'CODE mchn'!$A$4:$C$170,2,0))</f>
        <v>Acier</v>
      </c>
      <c r="D2583" s="296" t="str">
        <f>IF(ISNA(VLOOKUP(Tableau13[[#This Row],[Code machine]],'CODE mchn'!$A$4:$C$170,3,0)),"",VLOOKUP(Tableau13[[#This Row],[Code machine]],'CODE mchn'!$A$4:$C$170,3,0))</f>
        <v>Vitari 1</v>
      </c>
      <c r="E2583" s="297">
        <v>27358</v>
      </c>
      <c r="F2583" s="296"/>
      <c r="G2583" s="298"/>
      <c r="H2583" s="298" t="s">
        <v>4620</v>
      </c>
      <c r="I2583" s="298"/>
      <c r="J2583" s="299" t="s">
        <v>4622</v>
      </c>
      <c r="K2583" s="300">
        <v>45299</v>
      </c>
      <c r="L2583" s="298"/>
      <c r="M2583" s="301">
        <v>120</v>
      </c>
      <c r="N2583" s="301">
        <f>MONTH(Tableau13[[#This Row],[Date fin intervention]])</f>
        <v>1</v>
      </c>
      <c r="O2583" s="301">
        <f>YEAR(Tableau13[[#This Row],[Date fin intervention]])</f>
        <v>2024</v>
      </c>
      <c r="P2583" s="298"/>
    </row>
    <row r="2584" spans="1:16">
      <c r="A2584" s="293">
        <v>45299</v>
      </c>
      <c r="B2584" s="294">
        <v>533</v>
      </c>
      <c r="C2584" s="295" t="str">
        <f>IF(ISNA(VLOOKUP(Tableau13[[#This Row],[Code machine]],'CODE mchn'!$A$4:$C$170,2,0)),"",VLOOKUP(Tableau13[[#This Row],[Code machine]],'CODE mchn'!$A$4:$C$170,2,0))</f>
        <v>Enrobage</v>
      </c>
      <c r="D2584" s="296" t="str">
        <f>IF(ISNA(VLOOKUP(Tableau13[[#This Row],[Code machine]],'CODE mchn'!$A$4:$C$170,3,0)),"",VLOOKUP(Tableau13[[#This Row],[Code machine]],'CODE mchn'!$A$4:$C$170,3,0))</f>
        <v>CAROSSEL</v>
      </c>
      <c r="E2584" s="297">
        <v>30710</v>
      </c>
      <c r="F2584" s="296"/>
      <c r="G2584" s="298"/>
      <c r="H2584" s="298" t="s">
        <v>3450</v>
      </c>
      <c r="I2584" s="298"/>
      <c r="J2584" s="299" t="s">
        <v>3485</v>
      </c>
      <c r="K2584" s="300">
        <v>45299</v>
      </c>
      <c r="L2584" s="298"/>
      <c r="M2584" s="301">
        <v>60</v>
      </c>
      <c r="N2584" s="301">
        <f>MONTH(Tableau13[[#This Row],[Date fin intervention]])</f>
        <v>1</v>
      </c>
      <c r="O2584" s="301">
        <f>YEAR(Tableau13[[#This Row],[Date fin intervention]])</f>
        <v>2024</v>
      </c>
      <c r="P2584" s="298"/>
    </row>
    <row r="2585" spans="1:16">
      <c r="A2585" s="293">
        <v>45300</v>
      </c>
      <c r="B2585" s="294">
        <v>620</v>
      </c>
      <c r="C2585" s="295" t="str">
        <f>IF(ISNA(VLOOKUP(Tableau13[[#This Row],[Code machine]],'CODE mchn'!$A$4:$C$170,2,0)),"",VLOOKUP(Tableau13[[#This Row],[Code machine]],'CODE mchn'!$A$4:$C$170,2,0))</f>
        <v>Acier</v>
      </c>
      <c r="D2585" s="296" t="str">
        <f>IF(ISNA(VLOOKUP(Tableau13[[#This Row],[Code machine]],'CODE mchn'!$A$4:$C$170,3,0)),"",VLOOKUP(Tableau13[[#This Row],[Code machine]],'CODE mchn'!$A$4:$C$170,3,0))</f>
        <v>EVG PN 2</v>
      </c>
      <c r="E2585" s="297">
        <v>27359</v>
      </c>
      <c r="F2585" s="296"/>
      <c r="G2585" s="298"/>
      <c r="H2585" s="298" t="s">
        <v>4623</v>
      </c>
      <c r="I2585" s="298"/>
      <c r="J2585" s="299" t="s">
        <v>4624</v>
      </c>
      <c r="K2585" s="300">
        <v>45300</v>
      </c>
      <c r="L2585" s="298"/>
      <c r="M2585" s="301">
        <v>60</v>
      </c>
      <c r="N2585" s="301">
        <f>MONTH(Tableau13[[#This Row],[Date fin intervention]])</f>
        <v>1</v>
      </c>
      <c r="O2585" s="301">
        <f>YEAR(Tableau13[[#This Row],[Date fin intervention]])</f>
        <v>2024</v>
      </c>
      <c r="P2585" s="298"/>
    </row>
    <row r="2586" spans="1:16">
      <c r="A2586" s="293">
        <v>45300</v>
      </c>
      <c r="B2586" s="294">
        <v>571</v>
      </c>
      <c r="C2586" s="295" t="str">
        <f>IF(ISNA(VLOOKUP(Tableau13[[#This Row],[Code machine]],'CODE mchn'!$A$4:$C$170,2,0)),"",VLOOKUP(Tableau13[[#This Row],[Code machine]],'CODE mchn'!$A$4:$C$170,2,0))</f>
        <v>Acier</v>
      </c>
      <c r="D2586" s="296" t="str">
        <f>IF(ISNA(VLOOKUP(Tableau13[[#This Row],[Code machine]],'CODE mchn'!$A$4:$C$170,3,0)),"",VLOOKUP(Tableau13[[#This Row],[Code machine]],'CODE mchn'!$A$4:$C$170,3,0))</f>
        <v>EVG PN 1</v>
      </c>
      <c r="E2586" s="297">
        <v>27360</v>
      </c>
      <c r="F2586" s="296"/>
      <c r="G2586" s="298"/>
      <c r="H2586" s="298" t="s">
        <v>4625</v>
      </c>
      <c r="I2586" s="298"/>
      <c r="J2586" s="299" t="s">
        <v>4626</v>
      </c>
      <c r="K2586" s="300">
        <v>45300</v>
      </c>
      <c r="L2586" s="298"/>
      <c r="M2586" s="301">
        <v>60</v>
      </c>
      <c r="N2586" s="301">
        <f>MONTH(Tableau13[[#This Row],[Date fin intervention]])</f>
        <v>1</v>
      </c>
      <c r="O2586" s="301">
        <f>YEAR(Tableau13[[#This Row],[Date fin intervention]])</f>
        <v>2024</v>
      </c>
      <c r="P2586" s="298"/>
    </row>
    <row r="2587" spans="1:16">
      <c r="A2587" s="293">
        <v>45303</v>
      </c>
      <c r="B2587" s="294">
        <v>571</v>
      </c>
      <c r="C2587" s="295" t="str">
        <f>IF(ISNA(VLOOKUP(Tableau13[[#This Row],[Code machine]],'CODE mchn'!$A$4:$C$170,2,0)),"",VLOOKUP(Tableau13[[#This Row],[Code machine]],'CODE mchn'!$A$4:$C$170,2,0))</f>
        <v>Acier</v>
      </c>
      <c r="D2587" s="296" t="str">
        <f>IF(ISNA(VLOOKUP(Tableau13[[#This Row],[Code machine]],'CODE mchn'!$A$4:$C$170,3,0)),"",VLOOKUP(Tableau13[[#This Row],[Code machine]],'CODE mchn'!$A$4:$C$170,3,0))</f>
        <v>EVG PN 1</v>
      </c>
      <c r="E2587" s="297">
        <v>27361</v>
      </c>
      <c r="F2587" s="296"/>
      <c r="G2587" s="298"/>
      <c r="H2587" s="298" t="s">
        <v>4627</v>
      </c>
      <c r="I2587" s="298"/>
      <c r="J2587" s="299" t="s">
        <v>4628</v>
      </c>
      <c r="K2587" s="300">
        <v>45303</v>
      </c>
      <c r="L2587" s="298"/>
      <c r="M2587" s="301">
        <v>60</v>
      </c>
      <c r="N2587" s="301">
        <f>MONTH(Tableau13[[#This Row],[Date fin intervention]])</f>
        <v>1</v>
      </c>
      <c r="O2587" s="301">
        <f>YEAR(Tableau13[[#This Row],[Date fin intervention]])</f>
        <v>2024</v>
      </c>
      <c r="P2587" s="298"/>
    </row>
    <row r="2588" spans="1:16">
      <c r="A2588" s="293">
        <v>45303</v>
      </c>
      <c r="B2588" s="294">
        <v>590</v>
      </c>
      <c r="C2588" s="295" t="str">
        <f>IF(ISNA(VLOOKUP(Tableau13[[#This Row],[Code machine]],'CODE mchn'!$A$4:$C$170,2,0)),"",VLOOKUP(Tableau13[[#This Row],[Code machine]],'CODE mchn'!$A$4:$C$170,2,0))</f>
        <v>Acier</v>
      </c>
      <c r="D2588" s="296" t="str">
        <f>IF(ISNA(VLOOKUP(Tableau13[[#This Row],[Code machine]],'CODE mchn'!$A$4:$C$170,3,0)),"",VLOOKUP(Tableau13[[#This Row],[Code machine]],'CODE mchn'!$A$4:$C$170,3,0))</f>
        <v>Teurema 3</v>
      </c>
      <c r="E2588" s="297">
        <v>27362</v>
      </c>
      <c r="F2588" s="296"/>
      <c r="G2588" s="298"/>
      <c r="H2588" s="298" t="s">
        <v>3610</v>
      </c>
      <c r="I2588" s="298"/>
      <c r="J2588" s="299" t="s">
        <v>2691</v>
      </c>
      <c r="K2588" s="300">
        <v>45303</v>
      </c>
      <c r="L2588" s="298"/>
      <c r="M2588" s="301">
        <v>60</v>
      </c>
      <c r="N2588" s="301">
        <f>MONTH(Tableau13[[#This Row],[Date fin intervention]])</f>
        <v>1</v>
      </c>
      <c r="O2588" s="301">
        <f>YEAR(Tableau13[[#This Row],[Date fin intervention]])</f>
        <v>2024</v>
      </c>
      <c r="P2588" s="298"/>
    </row>
    <row r="2589" spans="1:16">
      <c r="A2589" s="293">
        <v>45303</v>
      </c>
      <c r="B2589" s="294">
        <v>571</v>
      </c>
      <c r="C2589" s="295" t="str">
        <f>IF(ISNA(VLOOKUP(Tableau13[[#This Row],[Code machine]],'CODE mchn'!$A$4:$C$170,2,0)),"",VLOOKUP(Tableau13[[#This Row],[Code machine]],'CODE mchn'!$A$4:$C$170,2,0))</f>
        <v>Acier</v>
      </c>
      <c r="D2589" s="296" t="str">
        <f>IF(ISNA(VLOOKUP(Tableau13[[#This Row],[Code machine]],'CODE mchn'!$A$4:$C$170,3,0)),"",VLOOKUP(Tableau13[[#This Row],[Code machine]],'CODE mchn'!$A$4:$C$170,3,0))</f>
        <v>EVG PN 1</v>
      </c>
      <c r="E2589" s="297">
        <v>27363</v>
      </c>
      <c r="F2589" s="296"/>
      <c r="G2589" s="298"/>
      <c r="H2589" s="298" t="s">
        <v>3610</v>
      </c>
      <c r="I2589" s="298"/>
      <c r="J2589" s="299" t="s">
        <v>4629</v>
      </c>
      <c r="K2589" s="300">
        <v>45303</v>
      </c>
      <c r="L2589" s="298"/>
      <c r="M2589" s="301">
        <v>60</v>
      </c>
      <c r="N2589" s="301">
        <f>MONTH(Tableau13[[#This Row],[Date fin intervention]])</f>
        <v>1</v>
      </c>
      <c r="O2589" s="301">
        <f>YEAR(Tableau13[[#This Row],[Date fin intervention]])</f>
        <v>2024</v>
      </c>
      <c r="P2589" s="298"/>
    </row>
    <row r="2590" spans="1:16">
      <c r="A2590" s="293">
        <v>45303</v>
      </c>
      <c r="B2590" s="294">
        <v>700</v>
      </c>
      <c r="C2590" s="295" t="str">
        <f>IF(ISNA(VLOOKUP(Tableau13[[#This Row],[Code machine]],'CODE mchn'!$A$4:$C$170,2,0)),"",VLOOKUP(Tableau13[[#This Row],[Code machine]],'CODE mchn'!$A$4:$C$170,2,0))</f>
        <v>Béton</v>
      </c>
      <c r="D2590" s="296" t="str">
        <f>IF(ISNA(VLOOKUP(Tableau13[[#This Row],[Code machine]],'CODE mchn'!$A$4:$C$170,3,0)),"",VLOOKUP(Tableau13[[#This Row],[Code machine]],'CODE mchn'!$A$4:$C$170,3,0))</f>
        <v>Poyatos 1</v>
      </c>
      <c r="E2590" s="297">
        <v>30711</v>
      </c>
      <c r="F2590" s="296"/>
      <c r="G2590" s="298"/>
      <c r="H2590" s="298" t="s">
        <v>3450</v>
      </c>
      <c r="I2590" s="298"/>
      <c r="J2590" s="299" t="s">
        <v>4693</v>
      </c>
      <c r="K2590" s="300">
        <v>45303</v>
      </c>
      <c r="L2590" s="298"/>
      <c r="M2590" s="301">
        <v>60</v>
      </c>
      <c r="N2590" s="301">
        <f>MONTH(Tableau13[[#This Row],[Date fin intervention]])</f>
        <v>1</v>
      </c>
      <c r="O2590" s="301">
        <f>YEAR(Tableau13[[#This Row],[Date fin intervention]])</f>
        <v>2024</v>
      </c>
      <c r="P2590" s="298"/>
    </row>
    <row r="2591" spans="1:16">
      <c r="A2591" s="293">
        <v>45304</v>
      </c>
      <c r="B2591" s="294">
        <v>605</v>
      </c>
      <c r="C2591" s="295" t="str">
        <f>IF(ISNA(VLOOKUP(Tableau13[[#This Row],[Code machine]],'CODE mchn'!$A$4:$C$170,2,0)),"",VLOOKUP(Tableau13[[#This Row],[Code machine]],'CODE mchn'!$A$4:$C$170,2,0))</f>
        <v>Acier</v>
      </c>
      <c r="D2591" s="296" t="str">
        <f>IF(ISNA(VLOOKUP(Tableau13[[#This Row],[Code machine]],'CODE mchn'!$A$4:$C$170,3,0)),"",VLOOKUP(Tableau13[[#This Row],[Code machine]],'CODE mchn'!$A$4:$C$170,3,0))</f>
        <v>Vitari 1</v>
      </c>
      <c r="E2591" s="297">
        <v>27364</v>
      </c>
      <c r="F2591" s="296"/>
      <c r="G2591" s="298"/>
      <c r="H2591" s="298" t="s">
        <v>4620</v>
      </c>
      <c r="I2591" s="298"/>
      <c r="J2591" s="299" t="s">
        <v>4630</v>
      </c>
      <c r="K2591" s="300">
        <v>45304</v>
      </c>
      <c r="L2591" s="298"/>
      <c r="M2591" s="301">
        <v>240</v>
      </c>
      <c r="N2591" s="301">
        <f>MONTH(Tableau13[[#This Row],[Date fin intervention]])</f>
        <v>1</v>
      </c>
      <c r="O2591" s="301">
        <f>YEAR(Tableau13[[#This Row],[Date fin intervention]])</f>
        <v>2024</v>
      </c>
      <c r="P2591" s="298"/>
    </row>
    <row r="2592" spans="1:16">
      <c r="A2592" s="293">
        <v>45306</v>
      </c>
      <c r="B2592" s="294">
        <v>565</v>
      </c>
      <c r="C2592" s="295" t="str">
        <f>IF(ISNA(VLOOKUP(Tableau13[[#This Row],[Code machine]],'CODE mchn'!$A$4:$C$170,2,0)),"",VLOOKUP(Tableau13[[#This Row],[Code machine]],'CODE mchn'!$A$4:$C$170,2,0))</f>
        <v>Acier</v>
      </c>
      <c r="D2592" s="296" t="str">
        <f>IF(ISNA(VLOOKUP(Tableau13[[#This Row],[Code machine]],'CODE mchn'!$A$4:$C$170,3,0)),"",VLOOKUP(Tableau13[[#This Row],[Code machine]],'CODE mchn'!$A$4:$C$170,3,0))</f>
        <v>EVG GE12</v>
      </c>
      <c r="E2592" s="297">
        <v>27365</v>
      </c>
      <c r="F2592" s="296"/>
      <c r="G2592" s="298"/>
      <c r="H2592" s="298" t="s">
        <v>3540</v>
      </c>
      <c r="I2592" s="298"/>
      <c r="J2592" s="299" t="s">
        <v>4631</v>
      </c>
      <c r="K2592" s="300">
        <v>45306</v>
      </c>
      <c r="L2592" s="298"/>
      <c r="M2592" s="301">
        <v>60</v>
      </c>
      <c r="N2592" s="301">
        <f>MONTH(Tableau13[[#This Row],[Date fin intervention]])</f>
        <v>1</v>
      </c>
      <c r="O2592" s="301">
        <f>YEAR(Tableau13[[#This Row],[Date fin intervention]])</f>
        <v>2024</v>
      </c>
      <c r="P2592" s="298"/>
    </row>
    <row r="2593" spans="1:16">
      <c r="A2593" s="293">
        <v>45306</v>
      </c>
      <c r="B2593" s="294">
        <v>571</v>
      </c>
      <c r="C2593" s="295" t="str">
        <f>IF(ISNA(VLOOKUP(Tableau13[[#This Row],[Code machine]],'CODE mchn'!$A$4:$C$170,2,0)),"",VLOOKUP(Tableau13[[#This Row],[Code machine]],'CODE mchn'!$A$4:$C$170,2,0))</f>
        <v>Acier</v>
      </c>
      <c r="D2593" s="296" t="str">
        <f>IF(ISNA(VLOOKUP(Tableau13[[#This Row],[Code machine]],'CODE mchn'!$A$4:$C$170,3,0)),"",VLOOKUP(Tableau13[[#This Row],[Code machine]],'CODE mchn'!$A$4:$C$170,3,0))</f>
        <v>EVG PN 1</v>
      </c>
      <c r="E2593" s="297">
        <v>27366</v>
      </c>
      <c r="F2593" s="296"/>
      <c r="G2593" s="298"/>
      <c r="H2593" s="298" t="s">
        <v>4632</v>
      </c>
      <c r="I2593" s="298"/>
      <c r="J2593" s="299" t="s">
        <v>4633</v>
      </c>
      <c r="K2593" s="300">
        <v>45306</v>
      </c>
      <c r="L2593" s="298"/>
      <c r="M2593" s="301">
        <v>120</v>
      </c>
      <c r="N2593" s="301">
        <f>MONTH(Tableau13[[#This Row],[Date fin intervention]])</f>
        <v>1</v>
      </c>
      <c r="O2593" s="301">
        <f>YEAR(Tableau13[[#This Row],[Date fin intervention]])</f>
        <v>2024</v>
      </c>
      <c r="P2593" s="298"/>
    </row>
    <row r="2594" spans="1:16">
      <c r="A2594" s="293">
        <v>45306</v>
      </c>
      <c r="B2594" s="294">
        <v>560</v>
      </c>
      <c r="C2594" s="295" t="str">
        <f>IF(ISNA(VLOOKUP(Tableau13[[#This Row],[Code machine]],'CODE mchn'!$A$4:$C$170,2,0)),"",VLOOKUP(Tableau13[[#This Row],[Code machine]],'CODE mchn'!$A$4:$C$170,2,0))</f>
        <v>Acier</v>
      </c>
      <c r="D2594" s="296" t="str">
        <f>IF(ISNA(VLOOKUP(Tableau13[[#This Row],[Code machine]],'CODE mchn'!$A$4:$C$170,3,0)),"",VLOOKUP(Tableau13[[#This Row],[Code machine]],'CODE mchn'!$A$4:$C$170,3,0))</f>
        <v>Schlatter</v>
      </c>
      <c r="E2594" s="297">
        <v>27367</v>
      </c>
      <c r="F2594" s="296"/>
      <c r="G2594" s="298"/>
      <c r="H2594" s="298" t="s">
        <v>4634</v>
      </c>
      <c r="I2594" s="298"/>
      <c r="J2594" s="299" t="s">
        <v>4635</v>
      </c>
      <c r="K2594" s="300">
        <v>45306</v>
      </c>
      <c r="L2594" s="298"/>
      <c r="M2594" s="301">
        <v>120</v>
      </c>
      <c r="N2594" s="301">
        <f>MONTH(Tableau13[[#This Row],[Date fin intervention]])</f>
        <v>1</v>
      </c>
      <c r="O2594" s="301">
        <f>YEAR(Tableau13[[#This Row],[Date fin intervention]])</f>
        <v>2024</v>
      </c>
      <c r="P2594" s="298"/>
    </row>
    <row r="2595" spans="1:16">
      <c r="A2595" s="293">
        <v>45307</v>
      </c>
      <c r="B2595" s="294">
        <v>590</v>
      </c>
      <c r="C2595" s="295" t="str">
        <f>IF(ISNA(VLOOKUP(Tableau13[[#This Row],[Code machine]],'CODE mchn'!$A$4:$C$170,2,0)),"",VLOOKUP(Tableau13[[#This Row],[Code machine]],'CODE mchn'!$A$4:$C$170,2,0))</f>
        <v>Acier</v>
      </c>
      <c r="D2595" s="296" t="str">
        <f>IF(ISNA(VLOOKUP(Tableau13[[#This Row],[Code machine]],'CODE mchn'!$A$4:$C$170,3,0)),"",VLOOKUP(Tableau13[[#This Row],[Code machine]],'CODE mchn'!$A$4:$C$170,3,0))</f>
        <v>Teurema 3</v>
      </c>
      <c r="E2595" s="297">
        <v>27369</v>
      </c>
      <c r="F2595" s="296"/>
      <c r="G2595" s="298"/>
      <c r="H2595" s="298" t="s">
        <v>4637</v>
      </c>
      <c r="I2595" s="298"/>
      <c r="J2595" s="299" t="s">
        <v>4638</v>
      </c>
      <c r="K2595" s="300">
        <v>45307</v>
      </c>
      <c r="L2595" s="298"/>
      <c r="M2595" s="301">
        <v>60</v>
      </c>
      <c r="N2595" s="301">
        <f>MONTH(Tableau13[[#This Row],[Date fin intervention]])</f>
        <v>1</v>
      </c>
      <c r="O2595" s="301">
        <f>YEAR(Tableau13[[#This Row],[Date fin intervention]])</f>
        <v>2024</v>
      </c>
      <c r="P2595" s="298"/>
    </row>
    <row r="2596" spans="1:16">
      <c r="A2596" s="302">
        <v>45307</v>
      </c>
      <c r="B2596" s="294">
        <v>565</v>
      </c>
      <c r="C2596" s="295" t="str">
        <f>IF(ISNA(VLOOKUP(Tableau13[[#This Row],[Code machine]],'CODE mchn'!$A$4:$C$170,2,0)),"",VLOOKUP(Tableau13[[#This Row],[Code machine]],'CODE mchn'!$A$4:$C$170,2,0))</f>
        <v>Acier</v>
      </c>
      <c r="D2596" s="296" t="str">
        <f>IF(ISNA(VLOOKUP(Tableau13[[#This Row],[Code machine]],'CODE mchn'!$A$4:$C$170,3,0)),"",VLOOKUP(Tableau13[[#This Row],[Code machine]],'CODE mchn'!$A$4:$C$170,3,0))</f>
        <v>EVG GE12</v>
      </c>
      <c r="E2596" s="297">
        <v>27368</v>
      </c>
      <c r="F2596" s="296"/>
      <c r="G2596" s="298"/>
      <c r="H2596" s="298" t="s">
        <v>3450</v>
      </c>
      <c r="I2596" s="298"/>
      <c r="J2596" s="299" t="s">
        <v>4636</v>
      </c>
      <c r="K2596" s="300">
        <v>45307</v>
      </c>
      <c r="L2596" s="298"/>
      <c r="M2596" s="301">
        <v>90</v>
      </c>
      <c r="N2596" s="301">
        <f>MONTH(Tableau13[[#This Row],[Date fin intervention]])</f>
        <v>1</v>
      </c>
      <c r="O2596" s="301">
        <f>YEAR(Tableau13[[#This Row],[Date fin intervention]])</f>
        <v>2024</v>
      </c>
      <c r="P2596" s="298"/>
    </row>
    <row r="2597" spans="1:16">
      <c r="A2597" s="293">
        <v>45308</v>
      </c>
      <c r="B2597" s="294">
        <v>700</v>
      </c>
      <c r="C2597" s="295" t="str">
        <f>IF(ISNA(VLOOKUP(Tableau13[[#This Row],[Code machine]],'CODE mchn'!$A$4:$C$170,2,0)),"",VLOOKUP(Tableau13[[#This Row],[Code machine]],'CODE mchn'!$A$4:$C$170,2,0))</f>
        <v>Béton</v>
      </c>
      <c r="D2597" s="296" t="str">
        <f>IF(ISNA(VLOOKUP(Tableau13[[#This Row],[Code machine]],'CODE mchn'!$A$4:$C$170,3,0)),"",VLOOKUP(Tableau13[[#This Row],[Code machine]],'CODE mchn'!$A$4:$C$170,3,0))</f>
        <v>Poyatos 1</v>
      </c>
      <c r="E2597" s="297">
        <v>30712</v>
      </c>
      <c r="F2597" s="296"/>
      <c r="G2597" s="298"/>
      <c r="H2597" s="298" t="s">
        <v>3548</v>
      </c>
      <c r="I2597" s="298"/>
      <c r="J2597" s="299" t="s">
        <v>4694</v>
      </c>
      <c r="K2597" s="300">
        <v>45308</v>
      </c>
      <c r="L2597" s="298"/>
      <c r="M2597" s="301">
        <v>60</v>
      </c>
      <c r="N2597" s="301">
        <f>MONTH(Tableau13[[#This Row],[Date fin intervention]])</f>
        <v>1</v>
      </c>
      <c r="O2597" s="301">
        <f>YEAR(Tableau13[[#This Row],[Date fin intervention]])</f>
        <v>2024</v>
      </c>
      <c r="P2597" s="298"/>
    </row>
    <row r="2598" spans="1:16">
      <c r="A2598" s="293">
        <v>45309</v>
      </c>
      <c r="B2598" s="294">
        <v>581</v>
      </c>
      <c r="C2598" s="295" t="str">
        <f>IF(ISNA(VLOOKUP(Tableau13[[#This Row],[Code machine]],'CODE mchn'!$A$4:$C$170,2,0)),"",VLOOKUP(Tableau13[[#This Row],[Code machine]],'CODE mchn'!$A$4:$C$170,2,0))</f>
        <v>Acier</v>
      </c>
      <c r="D2598" s="296" t="str">
        <f>IF(ISNA(VLOOKUP(Tableau13[[#This Row],[Code machine]],'CODE mchn'!$A$4:$C$170,3,0)),"",VLOOKUP(Tableau13[[#This Row],[Code machine]],'CODE mchn'!$A$4:$C$170,3,0))</f>
        <v>Teurema 1</v>
      </c>
      <c r="E2598" s="297">
        <v>27370</v>
      </c>
      <c r="F2598" s="296"/>
      <c r="G2598" s="298"/>
      <c r="H2598" s="298" t="s">
        <v>4639</v>
      </c>
      <c r="I2598" s="298"/>
      <c r="J2598" s="299" t="s">
        <v>4640</v>
      </c>
      <c r="K2598" s="300">
        <v>45309</v>
      </c>
      <c r="L2598" s="298"/>
      <c r="M2598" s="301">
        <v>60</v>
      </c>
      <c r="N2598" s="301">
        <f>MONTH(Tableau13[[#This Row],[Date fin intervention]])</f>
        <v>1</v>
      </c>
      <c r="O2598" s="301">
        <f>YEAR(Tableau13[[#This Row],[Date fin intervention]])</f>
        <v>2024</v>
      </c>
      <c r="P2598" s="298"/>
    </row>
    <row r="2599" spans="1:16">
      <c r="A2599" s="293">
        <v>45311</v>
      </c>
      <c r="B2599" s="294">
        <v>607</v>
      </c>
      <c r="C2599" s="295" t="str">
        <f>IF(ISNA(VLOOKUP(Tableau13[[#This Row],[Code machine]],'CODE mchn'!$A$4:$C$170,2,0)),"",VLOOKUP(Tableau13[[#This Row],[Code machine]],'CODE mchn'!$A$4:$C$170,2,0))</f>
        <v>Acier</v>
      </c>
      <c r="D2599" s="296" t="str">
        <f>IF(ISNA(VLOOKUP(Tableau13[[#This Row],[Code machine]],'CODE mchn'!$A$4:$C$170,3,0)),"",VLOOKUP(Tableau13[[#This Row],[Code machine]],'CODE mchn'!$A$4:$C$170,3,0))</f>
        <v>Vitari 3</v>
      </c>
      <c r="E2599" s="297">
        <v>27371</v>
      </c>
      <c r="F2599" s="296"/>
      <c r="G2599" s="298"/>
      <c r="H2599" s="298" t="s">
        <v>4641</v>
      </c>
      <c r="I2599" s="298"/>
      <c r="J2599" s="299" t="s">
        <v>4615</v>
      </c>
      <c r="K2599" s="300">
        <v>45311</v>
      </c>
      <c r="L2599" s="298"/>
      <c r="M2599" s="301">
        <v>180</v>
      </c>
      <c r="N2599" s="301">
        <f>MONTH(Tableau13[[#This Row],[Date fin intervention]])</f>
        <v>1</v>
      </c>
      <c r="O2599" s="301">
        <f>YEAR(Tableau13[[#This Row],[Date fin intervention]])</f>
        <v>2024</v>
      </c>
      <c r="P2599" s="298"/>
    </row>
    <row r="2600" spans="1:16">
      <c r="A2600" s="293">
        <v>45313</v>
      </c>
      <c r="B2600" s="294">
        <v>700</v>
      </c>
      <c r="C2600" s="295" t="str">
        <f>IF(ISNA(VLOOKUP(Tableau13[[#This Row],[Code machine]],'CODE mchn'!$A$4:$C$170,2,0)),"",VLOOKUP(Tableau13[[#This Row],[Code machine]],'CODE mchn'!$A$4:$C$170,2,0))</f>
        <v>Béton</v>
      </c>
      <c r="D2600" s="296" t="str">
        <f>IF(ISNA(VLOOKUP(Tableau13[[#This Row],[Code machine]],'CODE mchn'!$A$4:$C$170,3,0)),"",VLOOKUP(Tableau13[[#This Row],[Code machine]],'CODE mchn'!$A$4:$C$170,3,0))</f>
        <v>Poyatos 1</v>
      </c>
      <c r="E2600" s="297">
        <v>27373</v>
      </c>
      <c r="F2600" s="296"/>
      <c r="G2600" s="298"/>
      <c r="H2600" s="298" t="s">
        <v>3450</v>
      </c>
      <c r="I2600" s="298"/>
      <c r="J2600" s="299" t="s">
        <v>4642</v>
      </c>
      <c r="K2600" s="300">
        <v>45313</v>
      </c>
      <c r="L2600" s="298"/>
      <c r="M2600" s="301">
        <v>60</v>
      </c>
      <c r="N2600" s="301">
        <f>MONTH(Tableau13[[#This Row],[Date fin intervention]])</f>
        <v>1</v>
      </c>
      <c r="O2600" s="301">
        <f>YEAR(Tableau13[[#This Row],[Date fin intervention]])</f>
        <v>2024</v>
      </c>
      <c r="P2600" s="298"/>
    </row>
    <row r="2601" spans="1:16" ht="28.5">
      <c r="A2601" s="293">
        <v>45314</v>
      </c>
      <c r="B2601" s="294">
        <v>574</v>
      </c>
      <c r="C2601" s="295" t="str">
        <f>IF(ISNA(VLOOKUP(Tableau13[[#This Row],[Code machine]],'CODE mchn'!$A$4:$C$170,2,0)),"",VLOOKUP(Tableau13[[#This Row],[Code machine]],'CODE mchn'!$A$4:$C$170,2,0))</f>
        <v>Ponts roulants</v>
      </c>
      <c r="D2601" s="296" t="str">
        <f>IF(ISNA(VLOOKUP(Tableau13[[#This Row],[Code machine]],'CODE mchn'!$A$4:$C$170,3,0)),"",VLOOKUP(Tableau13[[#This Row],[Code machine]],'CODE mchn'!$A$4:$C$170,3,0))</f>
        <v>Pont roulant Demag 2 3,2T (Charge)</v>
      </c>
      <c r="E2601" s="297">
        <v>27374</v>
      </c>
      <c r="F2601" s="296"/>
      <c r="G2601" s="298"/>
      <c r="H2601" s="298" t="s">
        <v>4643</v>
      </c>
      <c r="I2601" s="298"/>
      <c r="J2601" s="299" t="s">
        <v>4644</v>
      </c>
      <c r="K2601" s="300">
        <v>45314</v>
      </c>
      <c r="L2601" s="298"/>
      <c r="M2601" s="301">
        <v>180</v>
      </c>
      <c r="N2601" s="301">
        <f>MONTH(Tableau13[[#This Row],[Date fin intervention]])</f>
        <v>1</v>
      </c>
      <c r="O2601" s="301">
        <f>YEAR(Tableau13[[#This Row],[Date fin intervention]])</f>
        <v>2024</v>
      </c>
      <c r="P2601" s="298"/>
    </row>
    <row r="2602" spans="1:16" ht="28.5">
      <c r="A2602" s="293">
        <v>45314</v>
      </c>
      <c r="B2602" s="294">
        <v>580</v>
      </c>
      <c r="C2602" s="295" t="str">
        <f>IF(ISNA(VLOOKUP(Tableau13[[#This Row],[Code machine]],'CODE mchn'!$A$4:$C$170,2,0)),"",VLOOKUP(Tableau13[[#This Row],[Code machine]],'CODE mchn'!$A$4:$C$170,2,0))</f>
        <v>Acier</v>
      </c>
      <c r="D2602" s="296" t="str">
        <f>IF(ISNA(VLOOKUP(Tableau13[[#This Row],[Code machine]],'CODE mchn'!$A$4:$C$170,3,0)),"",VLOOKUP(Tableau13[[#This Row],[Code machine]],'CODE mchn'!$A$4:$C$170,3,0))</f>
        <v>Techno Impiante</v>
      </c>
      <c r="E2602" s="297">
        <v>27375</v>
      </c>
      <c r="F2602" s="296"/>
      <c r="G2602" s="298"/>
      <c r="H2602" s="298" t="s">
        <v>4610</v>
      </c>
      <c r="I2602" s="298"/>
      <c r="J2602" s="299" t="s">
        <v>4645</v>
      </c>
      <c r="K2602" s="300">
        <v>45314</v>
      </c>
      <c r="L2602" s="298"/>
      <c r="M2602" s="301">
        <v>120</v>
      </c>
      <c r="N2602" s="301">
        <f>MONTH(Tableau13[[#This Row],[Date fin intervention]])</f>
        <v>1</v>
      </c>
      <c r="O2602" s="301">
        <f>YEAR(Tableau13[[#This Row],[Date fin intervention]])</f>
        <v>2024</v>
      </c>
      <c r="P2602" s="298"/>
    </row>
    <row r="2603" spans="1:16">
      <c r="A2603" s="293">
        <v>45314</v>
      </c>
      <c r="B2603" s="294">
        <v>590</v>
      </c>
      <c r="C2603" s="295" t="str">
        <f>IF(ISNA(VLOOKUP(Tableau13[[#This Row],[Code machine]],'CODE mchn'!$A$4:$C$170,2,0)),"",VLOOKUP(Tableau13[[#This Row],[Code machine]],'CODE mchn'!$A$4:$C$170,2,0))</f>
        <v>Acier</v>
      </c>
      <c r="D2603" s="296" t="str">
        <f>IF(ISNA(VLOOKUP(Tableau13[[#This Row],[Code machine]],'CODE mchn'!$A$4:$C$170,3,0)),"",VLOOKUP(Tableau13[[#This Row],[Code machine]],'CODE mchn'!$A$4:$C$170,3,0))</f>
        <v>Teurema 3</v>
      </c>
      <c r="E2603" s="297">
        <v>27376</v>
      </c>
      <c r="F2603" s="296"/>
      <c r="G2603" s="298"/>
      <c r="H2603" s="298" t="s">
        <v>4646</v>
      </c>
      <c r="I2603" s="298"/>
      <c r="J2603" s="299" t="s">
        <v>4647</v>
      </c>
      <c r="K2603" s="300">
        <v>45314</v>
      </c>
      <c r="L2603" s="298"/>
      <c r="M2603" s="301">
        <v>180</v>
      </c>
      <c r="N2603" s="301">
        <f>MONTH(Tableau13[[#This Row],[Date fin intervention]])</f>
        <v>1</v>
      </c>
      <c r="O2603" s="301">
        <f>YEAR(Tableau13[[#This Row],[Date fin intervention]])</f>
        <v>2024</v>
      </c>
      <c r="P2603" s="298"/>
    </row>
    <row r="2604" spans="1:16">
      <c r="A2604" s="293">
        <v>45315</v>
      </c>
      <c r="B2604" s="294">
        <v>571</v>
      </c>
      <c r="C2604" s="295" t="str">
        <f>IF(ISNA(VLOOKUP(Tableau13[[#This Row],[Code machine]],'CODE mchn'!$A$4:$C$170,2,0)),"",VLOOKUP(Tableau13[[#This Row],[Code machine]],'CODE mchn'!$A$4:$C$170,2,0))</f>
        <v>Acier</v>
      </c>
      <c r="D2604" s="296" t="str">
        <f>IF(ISNA(VLOOKUP(Tableau13[[#This Row],[Code machine]],'CODE mchn'!$A$4:$C$170,3,0)),"",VLOOKUP(Tableau13[[#This Row],[Code machine]],'CODE mchn'!$A$4:$C$170,3,0))</f>
        <v>EVG PN 1</v>
      </c>
      <c r="E2604" s="297">
        <v>27377</v>
      </c>
      <c r="F2604" s="296"/>
      <c r="G2604" s="298"/>
      <c r="H2604" s="298" t="s">
        <v>3610</v>
      </c>
      <c r="I2604" s="298"/>
      <c r="J2604" s="299" t="s">
        <v>4648</v>
      </c>
      <c r="K2604" s="300">
        <v>45315</v>
      </c>
      <c r="L2604" s="298" t="s">
        <v>4649</v>
      </c>
      <c r="M2604" s="301">
        <v>60</v>
      </c>
      <c r="N2604" s="301">
        <f>MONTH(Tableau13[[#This Row],[Date fin intervention]])</f>
        <v>1</v>
      </c>
      <c r="O2604" s="301">
        <f>YEAR(Tableau13[[#This Row],[Date fin intervention]])</f>
        <v>2024</v>
      </c>
      <c r="P2604" s="298"/>
    </row>
    <row r="2605" spans="1:16">
      <c r="A2605" s="293">
        <v>45316</v>
      </c>
      <c r="B2605" s="294">
        <v>590</v>
      </c>
      <c r="C2605" s="295" t="str">
        <f>IF(ISNA(VLOOKUP(Tableau13[[#This Row],[Code machine]],'CODE mchn'!$A$4:$C$170,2,0)),"",VLOOKUP(Tableau13[[#This Row],[Code machine]],'CODE mchn'!$A$4:$C$170,2,0))</f>
        <v>Acier</v>
      </c>
      <c r="D2605" s="296" t="str">
        <f>IF(ISNA(VLOOKUP(Tableau13[[#This Row],[Code machine]],'CODE mchn'!$A$4:$C$170,3,0)),"",VLOOKUP(Tableau13[[#This Row],[Code machine]],'CODE mchn'!$A$4:$C$170,3,0))</f>
        <v>Teurema 3</v>
      </c>
      <c r="E2605" s="297">
        <v>27378</v>
      </c>
      <c r="F2605" s="296"/>
      <c r="G2605" s="298"/>
      <c r="H2605" s="298" t="s">
        <v>4650</v>
      </c>
      <c r="I2605" s="298"/>
      <c r="J2605" s="299" t="s">
        <v>4651</v>
      </c>
      <c r="K2605" s="300">
        <v>45316</v>
      </c>
      <c r="L2605" s="298"/>
      <c r="M2605" s="301">
        <v>60</v>
      </c>
      <c r="N2605" s="301">
        <f>MONTH(Tableau13[[#This Row],[Date fin intervention]])</f>
        <v>1</v>
      </c>
      <c r="O2605" s="301">
        <f>YEAR(Tableau13[[#This Row],[Date fin intervention]])</f>
        <v>2024</v>
      </c>
      <c r="P2605" s="298"/>
    </row>
    <row r="2606" spans="1:16">
      <c r="A2606" s="293">
        <v>45318</v>
      </c>
      <c r="B2606" s="294">
        <v>700</v>
      </c>
      <c r="C2606" s="295" t="str">
        <f>IF(ISNA(VLOOKUP(Tableau13[[#This Row],[Code machine]],'CODE mchn'!$A$4:$C$170,2,0)),"",VLOOKUP(Tableau13[[#This Row],[Code machine]],'CODE mchn'!$A$4:$C$170,2,0))</f>
        <v>Béton</v>
      </c>
      <c r="D2606" s="296" t="str">
        <f>IF(ISNA(VLOOKUP(Tableau13[[#This Row],[Code machine]],'CODE mchn'!$A$4:$C$170,3,0)),"",VLOOKUP(Tableau13[[#This Row],[Code machine]],'CODE mchn'!$A$4:$C$170,3,0))</f>
        <v>Poyatos 1</v>
      </c>
      <c r="E2606" s="297">
        <v>30713</v>
      </c>
      <c r="F2606" s="296"/>
      <c r="G2606" s="298"/>
      <c r="H2606" s="298" t="s">
        <v>3540</v>
      </c>
      <c r="I2606" s="298"/>
      <c r="J2606" s="299" t="s">
        <v>4695</v>
      </c>
      <c r="K2606" s="300">
        <v>45318</v>
      </c>
      <c r="L2606" s="298"/>
      <c r="M2606" s="301">
        <v>60</v>
      </c>
      <c r="N2606" s="301">
        <f>MONTH(Tableau13[[#This Row],[Date fin intervention]])</f>
        <v>1</v>
      </c>
      <c r="O2606" s="301">
        <f>YEAR(Tableau13[[#This Row],[Date fin intervention]])</f>
        <v>2024</v>
      </c>
      <c r="P2606" s="298"/>
    </row>
    <row r="2607" spans="1:16">
      <c r="A2607" s="293">
        <v>45318</v>
      </c>
      <c r="B2607" s="294">
        <v>800</v>
      </c>
      <c r="C2607" s="295" t="str">
        <f>IF(ISNA(VLOOKUP(Tableau13[[#This Row],[Code machine]],'CODE mchn'!$A$4:$C$170,2,0)),"",VLOOKUP(Tableau13[[#This Row],[Code machine]],'CODE mchn'!$A$4:$C$170,2,0))</f>
        <v>Béton</v>
      </c>
      <c r="D2607" s="296" t="str">
        <f>IF(ISNA(VLOOKUP(Tableau13[[#This Row],[Code machine]],'CODE mchn'!$A$4:$C$170,3,0)),"",VLOOKUP(Tableau13[[#This Row],[Code machine]],'CODE mchn'!$A$4:$C$170,3,0))</f>
        <v>Poyatos 2</v>
      </c>
      <c r="E2607" s="297">
        <v>30714</v>
      </c>
      <c r="F2607" s="296"/>
      <c r="G2607" s="298"/>
      <c r="H2607" s="298" t="s">
        <v>3450</v>
      </c>
      <c r="I2607" s="298"/>
      <c r="J2607" s="299" t="s">
        <v>4696</v>
      </c>
      <c r="K2607" s="300">
        <v>45318</v>
      </c>
      <c r="L2607" s="298"/>
      <c r="M2607" s="301">
        <v>60</v>
      </c>
      <c r="N2607" s="301">
        <f>MONTH(Tableau13[[#This Row],[Date fin intervention]])</f>
        <v>1</v>
      </c>
      <c r="O2607" s="301">
        <f>YEAR(Tableau13[[#This Row],[Date fin intervention]])</f>
        <v>2024</v>
      </c>
      <c r="P2607" s="298"/>
    </row>
    <row r="2608" spans="1:16">
      <c r="A2608" s="293">
        <v>45320</v>
      </c>
      <c r="B2608" s="294">
        <v>800</v>
      </c>
      <c r="C2608" s="295" t="str">
        <f>IF(ISNA(VLOOKUP(Tableau13[[#This Row],[Code machine]],'CODE mchn'!$A$4:$C$170,2,0)),"",VLOOKUP(Tableau13[[#This Row],[Code machine]],'CODE mchn'!$A$4:$C$170,2,0))</f>
        <v>Béton</v>
      </c>
      <c r="D2608" s="296" t="str">
        <f>IF(ISNA(VLOOKUP(Tableau13[[#This Row],[Code machine]],'CODE mchn'!$A$4:$C$170,3,0)),"",VLOOKUP(Tableau13[[#This Row],[Code machine]],'CODE mchn'!$A$4:$C$170,3,0))</f>
        <v>Poyatos 2</v>
      </c>
      <c r="E2608" s="297">
        <v>27379</v>
      </c>
      <c r="F2608" s="296"/>
      <c r="G2608" s="298"/>
      <c r="H2608" s="298" t="s">
        <v>3610</v>
      </c>
      <c r="I2608" s="298"/>
      <c r="J2608" s="299" t="s">
        <v>4652</v>
      </c>
      <c r="K2608" s="300">
        <v>45320</v>
      </c>
      <c r="L2608" s="298"/>
      <c r="M2608" s="301">
        <v>240</v>
      </c>
      <c r="N2608" s="301">
        <f>MONTH(Tableau13[[#This Row],[Date fin intervention]])</f>
        <v>1</v>
      </c>
      <c r="O2608" s="301">
        <f>YEAR(Tableau13[[#This Row],[Date fin intervention]])</f>
        <v>2024</v>
      </c>
      <c r="P2608" s="298"/>
    </row>
    <row r="2609" spans="1:16">
      <c r="A2609" s="293">
        <v>45320</v>
      </c>
      <c r="B2609" s="294">
        <v>700</v>
      </c>
      <c r="C2609" s="295" t="str">
        <f>IF(ISNA(VLOOKUP(Tableau13[[#This Row],[Code machine]],'CODE mchn'!$A$4:$C$170,2,0)),"",VLOOKUP(Tableau13[[#This Row],[Code machine]],'CODE mchn'!$A$4:$C$170,2,0))</f>
        <v>Béton</v>
      </c>
      <c r="D2609" s="296" t="str">
        <f>IF(ISNA(VLOOKUP(Tableau13[[#This Row],[Code machine]],'CODE mchn'!$A$4:$C$170,3,0)),"",VLOOKUP(Tableau13[[#This Row],[Code machine]],'CODE mchn'!$A$4:$C$170,3,0))</f>
        <v>Poyatos 1</v>
      </c>
      <c r="E2609" s="297">
        <v>27380</v>
      </c>
      <c r="F2609" s="296"/>
      <c r="G2609" s="298"/>
      <c r="H2609" s="298" t="s">
        <v>3548</v>
      </c>
      <c r="I2609" s="298"/>
      <c r="J2609" s="299" t="s">
        <v>4653</v>
      </c>
      <c r="K2609" s="300">
        <v>45320</v>
      </c>
      <c r="L2609" s="298"/>
      <c r="M2609" s="301">
        <v>120</v>
      </c>
      <c r="N2609" s="301">
        <f>MONTH(Tableau13[[#This Row],[Date fin intervention]])</f>
        <v>1</v>
      </c>
      <c r="O2609" s="301">
        <f>YEAR(Tableau13[[#This Row],[Date fin intervention]])</f>
        <v>2024</v>
      </c>
      <c r="P2609" s="298"/>
    </row>
    <row r="2610" spans="1:16">
      <c r="A2610" s="293">
        <v>45320</v>
      </c>
      <c r="B2610" s="294">
        <v>560</v>
      </c>
      <c r="C2610" s="295" t="str">
        <f>IF(ISNA(VLOOKUP(Tableau13[[#This Row],[Code machine]],'CODE mchn'!$A$4:$C$170,2,0)),"",VLOOKUP(Tableau13[[#This Row],[Code machine]],'CODE mchn'!$A$4:$C$170,2,0))</f>
        <v>Acier</v>
      </c>
      <c r="D2610" s="296" t="str">
        <f>IF(ISNA(VLOOKUP(Tableau13[[#This Row],[Code machine]],'CODE mchn'!$A$4:$C$170,3,0)),"",VLOOKUP(Tableau13[[#This Row],[Code machine]],'CODE mchn'!$A$4:$C$170,3,0))</f>
        <v>Schlatter</v>
      </c>
      <c r="E2610" s="297">
        <v>30715</v>
      </c>
      <c r="F2610" s="296"/>
      <c r="G2610" s="298"/>
      <c r="H2610" s="298" t="s">
        <v>3610</v>
      </c>
      <c r="I2610" s="298"/>
      <c r="J2610" s="299" t="s">
        <v>4697</v>
      </c>
      <c r="K2610" s="300">
        <v>45320</v>
      </c>
      <c r="L2610" s="298"/>
      <c r="M2610" s="301">
        <v>60</v>
      </c>
      <c r="N2610" s="301">
        <f>MONTH(Tableau13[[#This Row],[Date fin intervention]])</f>
        <v>1</v>
      </c>
      <c r="O2610" s="301">
        <f>YEAR(Tableau13[[#This Row],[Date fin intervention]])</f>
        <v>2024</v>
      </c>
      <c r="P2610" s="298"/>
    </row>
    <row r="2611" spans="1:16">
      <c r="A2611" s="293">
        <v>45320</v>
      </c>
      <c r="B2611" s="294">
        <v>620</v>
      </c>
      <c r="C2611" s="295" t="str">
        <f>IF(ISNA(VLOOKUP(Tableau13[[#This Row],[Code machine]],'CODE mchn'!$A$4:$C$170,2,0)),"",VLOOKUP(Tableau13[[#This Row],[Code machine]],'CODE mchn'!$A$4:$C$170,2,0))</f>
        <v>Acier</v>
      </c>
      <c r="D2611" s="296" t="str">
        <f>IF(ISNA(VLOOKUP(Tableau13[[#This Row],[Code machine]],'CODE mchn'!$A$4:$C$170,3,0)),"",VLOOKUP(Tableau13[[#This Row],[Code machine]],'CODE mchn'!$A$4:$C$170,3,0))</f>
        <v>EVG PN 2</v>
      </c>
      <c r="E2611" s="297">
        <v>30716</v>
      </c>
      <c r="F2611" s="296"/>
      <c r="G2611" s="298"/>
      <c r="H2611" s="298" t="s">
        <v>3610</v>
      </c>
      <c r="I2611" s="298"/>
      <c r="J2611" s="299" t="s">
        <v>4698</v>
      </c>
      <c r="K2611" s="300">
        <v>45320</v>
      </c>
      <c r="L2611" s="298"/>
      <c r="M2611" s="301">
        <v>60</v>
      </c>
      <c r="N2611" s="301">
        <f>MONTH(Tableau13[[#This Row],[Date fin intervention]])</f>
        <v>1</v>
      </c>
      <c r="O2611" s="301">
        <f>YEAR(Tableau13[[#This Row],[Date fin intervention]])</f>
        <v>2024</v>
      </c>
      <c r="P2611" s="298"/>
    </row>
    <row r="2612" spans="1:16">
      <c r="A2612" s="293">
        <v>45321</v>
      </c>
      <c r="B2612" s="294">
        <v>800</v>
      </c>
      <c r="C2612" s="295" t="str">
        <f>IF(ISNA(VLOOKUP(Tableau13[[#This Row],[Code machine]],'CODE mchn'!$A$4:$C$170,2,0)),"",VLOOKUP(Tableau13[[#This Row],[Code machine]],'CODE mchn'!$A$4:$C$170,2,0))</f>
        <v>Béton</v>
      </c>
      <c r="D2612" s="296" t="str">
        <f>IF(ISNA(VLOOKUP(Tableau13[[#This Row],[Code machine]],'CODE mchn'!$A$4:$C$170,3,0)),"",VLOOKUP(Tableau13[[#This Row],[Code machine]],'CODE mchn'!$A$4:$C$170,3,0))</f>
        <v>Poyatos 2</v>
      </c>
      <c r="E2612" s="297">
        <v>27381</v>
      </c>
      <c r="F2612" s="296"/>
      <c r="G2612" s="298"/>
      <c r="H2612" s="298" t="s">
        <v>4654</v>
      </c>
      <c r="I2612" s="298"/>
      <c r="J2612" s="299" t="s">
        <v>4655</v>
      </c>
      <c r="K2612" s="300">
        <v>45322</v>
      </c>
      <c r="L2612" s="298"/>
      <c r="M2612" s="301">
        <v>60</v>
      </c>
      <c r="N2612" s="301">
        <f>MONTH(Tableau13[[#This Row],[Date fin intervention]])</f>
        <v>1</v>
      </c>
      <c r="O2612" s="301">
        <f>YEAR(Tableau13[[#This Row],[Date fin intervention]])</f>
        <v>2024</v>
      </c>
      <c r="P2612" s="298"/>
    </row>
    <row r="2613" spans="1:16">
      <c r="A2613" s="293">
        <v>45321</v>
      </c>
      <c r="B2613" s="294">
        <v>571</v>
      </c>
      <c r="C2613" s="295" t="str">
        <f>IF(ISNA(VLOOKUP(Tableau13[[#This Row],[Code machine]],'CODE mchn'!$A$4:$C$170,2,0)),"",VLOOKUP(Tableau13[[#This Row],[Code machine]],'CODE mchn'!$A$4:$C$170,2,0))</f>
        <v>Acier</v>
      </c>
      <c r="D2613" s="296" t="str">
        <f>IF(ISNA(VLOOKUP(Tableau13[[#This Row],[Code machine]],'CODE mchn'!$A$4:$C$170,3,0)),"",VLOOKUP(Tableau13[[#This Row],[Code machine]],'CODE mchn'!$A$4:$C$170,3,0))</f>
        <v>EVG PN 1</v>
      </c>
      <c r="E2613" s="297">
        <v>30717</v>
      </c>
      <c r="F2613" s="296"/>
      <c r="G2613" s="298"/>
      <c r="H2613" s="298" t="s">
        <v>4699</v>
      </c>
      <c r="I2613" s="298"/>
      <c r="J2613" s="299" t="s">
        <v>4700</v>
      </c>
      <c r="K2613" s="300">
        <v>45321</v>
      </c>
      <c r="L2613" s="298"/>
      <c r="M2613" s="301">
        <v>540</v>
      </c>
      <c r="N2613" s="301">
        <f>MONTH(Tableau13[[#This Row],[Date fin intervention]])</f>
        <v>1</v>
      </c>
      <c r="O2613" s="301">
        <f>YEAR(Tableau13[[#This Row],[Date fin intervention]])</f>
        <v>2024</v>
      </c>
      <c r="P2613" s="298"/>
    </row>
    <row r="2614" spans="1:16">
      <c r="A2614" s="293">
        <v>45321</v>
      </c>
      <c r="B2614" s="294">
        <v>571</v>
      </c>
      <c r="C2614" s="295" t="str">
        <f>IF(ISNA(VLOOKUP(Tableau13[[#This Row],[Code machine]],'CODE mchn'!$A$4:$C$170,2,0)),"",VLOOKUP(Tableau13[[#This Row],[Code machine]],'CODE mchn'!$A$4:$C$170,2,0))</f>
        <v>Acier</v>
      </c>
      <c r="D2614" s="296" t="str">
        <f>IF(ISNA(VLOOKUP(Tableau13[[#This Row],[Code machine]],'CODE mchn'!$A$4:$C$170,3,0)),"",VLOOKUP(Tableau13[[#This Row],[Code machine]],'CODE mchn'!$A$4:$C$170,3,0))</f>
        <v>EVG PN 1</v>
      </c>
      <c r="E2614" s="297">
        <v>30718</v>
      </c>
      <c r="F2614" s="296"/>
      <c r="G2614" s="298"/>
      <c r="H2614" s="298" t="s">
        <v>3450</v>
      </c>
      <c r="I2614" s="298"/>
      <c r="J2614" s="299" t="s">
        <v>4701</v>
      </c>
      <c r="K2614" s="300">
        <v>45321</v>
      </c>
      <c r="L2614" s="298"/>
      <c r="M2614" s="301">
        <v>60</v>
      </c>
      <c r="N2614" s="301">
        <f>MONTH(Tableau13[[#This Row],[Date fin intervention]])</f>
        <v>1</v>
      </c>
      <c r="O2614" s="301">
        <f>YEAR(Tableau13[[#This Row],[Date fin intervention]])</f>
        <v>2024</v>
      </c>
      <c r="P2614" s="298"/>
    </row>
    <row r="2615" spans="1:16" ht="42.75">
      <c r="A2615" s="293">
        <v>45322</v>
      </c>
      <c r="B2615" s="294">
        <v>534</v>
      </c>
      <c r="C2615" s="295" t="str">
        <f>IF(ISNA(VLOOKUP(Tableau13[[#This Row],[Code machine]],'CODE mchn'!$A$4:$C$170,2,0)),"",VLOOKUP(Tableau13[[#This Row],[Code machine]],'CODE mchn'!$A$4:$C$170,2,0))</f>
        <v>Enrobage</v>
      </c>
      <c r="D2615" s="296" t="str">
        <f>IF(ISNA(VLOOKUP(Tableau13[[#This Row],[Code machine]],'CODE mchn'!$A$4:$C$170,3,0)),"",VLOOKUP(Tableau13[[#This Row],[Code machine]],'CODE mchn'!$A$4:$C$170,3,0))</f>
        <v>ELKON 2</v>
      </c>
      <c r="E2615" s="297">
        <v>27382</v>
      </c>
      <c r="F2615" s="296"/>
      <c r="G2615" s="298"/>
      <c r="H2615" s="298" t="s">
        <v>4656</v>
      </c>
      <c r="I2615" s="298"/>
      <c r="J2615" s="299" t="s">
        <v>4657</v>
      </c>
      <c r="K2615" s="300">
        <v>45322</v>
      </c>
      <c r="L2615" s="298"/>
      <c r="M2615" s="301">
        <v>360</v>
      </c>
      <c r="N2615" s="301">
        <f>MONTH(Tableau13[[#This Row],[Date fin intervention]])</f>
        <v>1</v>
      </c>
      <c r="O2615" s="301">
        <f>YEAR(Tableau13[[#This Row],[Date fin intervention]])</f>
        <v>2024</v>
      </c>
      <c r="P2615" s="298"/>
    </row>
    <row r="2616" spans="1:16">
      <c r="A2616" s="293">
        <v>45322</v>
      </c>
      <c r="B2616" s="294">
        <v>620</v>
      </c>
      <c r="C2616" s="295" t="str">
        <f>IF(ISNA(VLOOKUP(Tableau13[[#This Row],[Code machine]],'CODE mchn'!$A$4:$C$170,2,0)),"",VLOOKUP(Tableau13[[#This Row],[Code machine]],'CODE mchn'!$A$4:$C$170,2,0))</f>
        <v>Acier</v>
      </c>
      <c r="D2616" s="296" t="str">
        <f>IF(ISNA(VLOOKUP(Tableau13[[#This Row],[Code machine]],'CODE mchn'!$A$4:$C$170,3,0)),"",VLOOKUP(Tableau13[[#This Row],[Code machine]],'CODE mchn'!$A$4:$C$170,3,0))</f>
        <v>EVG PN 2</v>
      </c>
      <c r="E2616" s="297">
        <v>30719</v>
      </c>
      <c r="F2616" s="296"/>
      <c r="G2616" s="298"/>
      <c r="H2616" s="298" t="s">
        <v>3450</v>
      </c>
      <c r="I2616" s="298"/>
      <c r="J2616" s="299" t="s">
        <v>4702</v>
      </c>
      <c r="K2616" s="300">
        <v>45322</v>
      </c>
      <c r="L2616" s="298"/>
      <c r="M2616" s="301">
        <v>60</v>
      </c>
      <c r="N2616" s="301">
        <f>MONTH(Tableau13[[#This Row],[Date fin intervention]])</f>
        <v>1</v>
      </c>
      <c r="O2616" s="301">
        <f>YEAR(Tableau13[[#This Row],[Date fin intervention]])</f>
        <v>2024</v>
      </c>
      <c r="P2616" s="298"/>
    </row>
    <row r="2617" spans="1:16">
      <c r="A2617" s="293">
        <v>45322</v>
      </c>
      <c r="B2617" s="294">
        <v>581</v>
      </c>
      <c r="C2617" s="295" t="str">
        <f>IF(ISNA(VLOOKUP(Tableau13[[#This Row],[Code machine]],'CODE mchn'!$A$4:$C$170,2,0)),"",VLOOKUP(Tableau13[[#This Row],[Code machine]],'CODE mchn'!$A$4:$C$170,2,0))</f>
        <v>Acier</v>
      </c>
      <c r="D2617" s="296" t="str">
        <f>IF(ISNA(VLOOKUP(Tableau13[[#This Row],[Code machine]],'CODE mchn'!$A$4:$C$170,3,0)),"",VLOOKUP(Tableau13[[#This Row],[Code machine]],'CODE mchn'!$A$4:$C$170,3,0))</f>
        <v>Teurema 1</v>
      </c>
      <c r="E2617" s="297">
        <v>30720</v>
      </c>
      <c r="F2617" s="296"/>
      <c r="G2617" s="298"/>
      <c r="H2617" s="298" t="s">
        <v>4703</v>
      </c>
      <c r="I2617" s="298"/>
      <c r="J2617" s="299" t="s">
        <v>4704</v>
      </c>
      <c r="K2617" s="300">
        <v>45322</v>
      </c>
      <c r="L2617" s="298"/>
      <c r="M2617" s="301">
        <v>120</v>
      </c>
      <c r="N2617" s="301">
        <f>MONTH(Tableau13[[#This Row],[Date fin intervention]])</f>
        <v>1</v>
      </c>
      <c r="O2617" s="301">
        <f>YEAR(Tableau13[[#This Row],[Date fin intervention]])</f>
        <v>2024</v>
      </c>
      <c r="P2617" s="298"/>
    </row>
    <row r="2618" spans="1:16" ht="28.5">
      <c r="A2618" s="302">
        <v>45322</v>
      </c>
      <c r="B2618" s="294">
        <v>581</v>
      </c>
      <c r="C2618" s="295" t="str">
        <f>IF(ISNA(VLOOKUP(Tableau13[[#This Row],[Code machine]],'CODE mchn'!$A$4:$C$170,2,0)),"",VLOOKUP(Tableau13[[#This Row],[Code machine]],'CODE mchn'!$A$4:$C$170,2,0))</f>
        <v>Acier</v>
      </c>
      <c r="D2618" s="296" t="str">
        <f>IF(ISNA(VLOOKUP(Tableau13[[#This Row],[Code machine]],'CODE mchn'!$A$4:$C$170,3,0)),"",VLOOKUP(Tableau13[[#This Row],[Code machine]],'CODE mchn'!$A$4:$C$170,3,0))</f>
        <v>Teurema 1</v>
      </c>
      <c r="E2618" s="297">
        <v>30721</v>
      </c>
      <c r="F2618" s="296"/>
      <c r="G2618" s="298"/>
      <c r="H2618" s="298" t="s">
        <v>4705</v>
      </c>
      <c r="I2618" s="298"/>
      <c r="J2618" s="299" t="s">
        <v>4706</v>
      </c>
      <c r="K2618" s="300">
        <v>45322</v>
      </c>
      <c r="L2618" s="298"/>
      <c r="M2618" s="301">
        <v>120</v>
      </c>
      <c r="N2618" s="301">
        <f>MONTH(Tableau13[[#This Row],[Date fin intervention]])</f>
        <v>1</v>
      </c>
      <c r="O2618" s="301">
        <f>YEAR(Tableau13[[#This Row],[Date fin intervention]])</f>
        <v>2024</v>
      </c>
      <c r="P2618" s="298"/>
    </row>
    <row r="2619" spans="1:16">
      <c r="A2619" s="293">
        <v>45323</v>
      </c>
      <c r="B2619" s="294">
        <v>533</v>
      </c>
      <c r="C2619" s="295" t="str">
        <f>IF(ISNA(VLOOKUP(Tableau13[[#This Row],[Code machine]],'CODE mchn'!$A$4:$C$170,2,0)),"",VLOOKUP(Tableau13[[#This Row],[Code machine]],'CODE mchn'!$A$4:$C$170,2,0))</f>
        <v>Enrobage</v>
      </c>
      <c r="D2619" s="296" t="str">
        <f>IF(ISNA(VLOOKUP(Tableau13[[#This Row],[Code machine]],'CODE mchn'!$A$4:$C$170,3,0)),"",VLOOKUP(Tableau13[[#This Row],[Code machine]],'CODE mchn'!$A$4:$C$170,3,0))</f>
        <v>CAROSSEL</v>
      </c>
      <c r="E2619" s="297">
        <v>27383</v>
      </c>
      <c r="F2619" s="296"/>
      <c r="G2619" s="298" t="s">
        <v>95</v>
      </c>
      <c r="H2619" s="298" t="s">
        <v>3450</v>
      </c>
      <c r="I2619" s="298"/>
      <c r="J2619" s="299" t="s">
        <v>4658</v>
      </c>
      <c r="K2619" s="300">
        <v>45323</v>
      </c>
      <c r="L2619" s="298"/>
      <c r="M2619" s="301">
        <v>60</v>
      </c>
      <c r="N2619" s="301">
        <f>MONTH(Tableau13[[#This Row],[Date fin intervention]])</f>
        <v>2</v>
      </c>
      <c r="O2619" s="301">
        <f>YEAR(Tableau13[[#This Row],[Date fin intervention]])</f>
        <v>2024</v>
      </c>
      <c r="P2619" s="298"/>
    </row>
    <row r="2620" spans="1:16">
      <c r="A2620" s="293">
        <v>45324</v>
      </c>
      <c r="B2620" s="294">
        <v>700</v>
      </c>
      <c r="C2620" s="295" t="str">
        <f>IF(ISNA(VLOOKUP(Tableau13[[#This Row],[Code machine]],'CODE mchn'!$A$4:$C$170,2,0)),"",VLOOKUP(Tableau13[[#This Row],[Code machine]],'CODE mchn'!$A$4:$C$170,2,0))</f>
        <v>Béton</v>
      </c>
      <c r="D2620" s="296" t="str">
        <f>IF(ISNA(VLOOKUP(Tableau13[[#This Row],[Code machine]],'CODE mchn'!$A$4:$C$170,3,0)),"",VLOOKUP(Tableau13[[#This Row],[Code machine]],'CODE mchn'!$A$4:$C$170,3,0))</f>
        <v>Poyatos 1</v>
      </c>
      <c r="E2620" s="297">
        <v>27384</v>
      </c>
      <c r="F2620" s="296"/>
      <c r="G2620" s="298"/>
      <c r="H2620" s="298" t="s">
        <v>4659</v>
      </c>
      <c r="I2620" s="298"/>
      <c r="J2620" s="299" t="s">
        <v>4660</v>
      </c>
      <c r="K2620" s="300">
        <v>45324</v>
      </c>
      <c r="L2620" s="298"/>
      <c r="M2620" s="301">
        <v>60</v>
      </c>
      <c r="N2620" s="301">
        <f>MONTH(Tableau13[[#This Row],[Date fin intervention]])</f>
        <v>2</v>
      </c>
      <c r="O2620" s="301">
        <f>YEAR(Tableau13[[#This Row],[Date fin intervention]])</f>
        <v>2024</v>
      </c>
      <c r="P2620" s="298"/>
    </row>
    <row r="2621" spans="1:16">
      <c r="A2621" s="293">
        <v>45324</v>
      </c>
      <c r="B2621" s="294">
        <v>533</v>
      </c>
      <c r="C2621" s="295" t="str">
        <f>IF(ISNA(VLOOKUP(Tableau13[[#This Row],[Code machine]],'CODE mchn'!$A$4:$C$170,2,0)),"",VLOOKUP(Tableau13[[#This Row],[Code machine]],'CODE mchn'!$A$4:$C$170,2,0))</f>
        <v>Enrobage</v>
      </c>
      <c r="D2621" s="296" t="str">
        <f>IF(ISNA(VLOOKUP(Tableau13[[#This Row],[Code machine]],'CODE mchn'!$A$4:$C$170,3,0)),"",VLOOKUP(Tableau13[[#This Row],[Code machine]],'CODE mchn'!$A$4:$C$170,3,0))</f>
        <v>CAROSSEL</v>
      </c>
      <c r="E2621" s="297">
        <v>27385</v>
      </c>
      <c r="F2621" s="296"/>
      <c r="G2621" s="298"/>
      <c r="H2621" s="298" t="s">
        <v>4661</v>
      </c>
      <c r="I2621" s="298"/>
      <c r="J2621" s="299" t="s">
        <v>4662</v>
      </c>
      <c r="K2621" s="300">
        <v>45324</v>
      </c>
      <c r="L2621" s="298"/>
      <c r="M2621" s="301">
        <v>180</v>
      </c>
      <c r="N2621" s="301">
        <f>MONTH(Tableau13[[#This Row],[Date fin intervention]])</f>
        <v>2</v>
      </c>
      <c r="O2621" s="301">
        <f>YEAR(Tableau13[[#This Row],[Date fin intervention]])</f>
        <v>2024</v>
      </c>
      <c r="P2621" s="298"/>
    </row>
    <row r="2622" spans="1:16">
      <c r="A2622" s="293">
        <v>45324</v>
      </c>
      <c r="B2622" s="294">
        <v>565</v>
      </c>
      <c r="C2622" s="295" t="str">
        <f>IF(ISNA(VLOOKUP(Tableau13[[#This Row],[Code machine]],'CODE mchn'!$A$4:$C$170,2,0)),"",VLOOKUP(Tableau13[[#This Row],[Code machine]],'CODE mchn'!$A$4:$C$170,2,0))</f>
        <v>Acier</v>
      </c>
      <c r="D2622" s="296" t="str">
        <f>IF(ISNA(VLOOKUP(Tableau13[[#This Row],[Code machine]],'CODE mchn'!$A$4:$C$170,3,0)),"",VLOOKUP(Tableau13[[#This Row],[Code machine]],'CODE mchn'!$A$4:$C$170,3,0))</f>
        <v>EVG GE12</v>
      </c>
      <c r="E2622" s="297">
        <v>30722</v>
      </c>
      <c r="F2622" s="296"/>
      <c r="G2622" s="298"/>
      <c r="H2622" s="298" t="s">
        <v>4707</v>
      </c>
      <c r="I2622" s="298"/>
      <c r="J2622" s="299" t="s">
        <v>4708</v>
      </c>
      <c r="K2622" s="300">
        <v>45324</v>
      </c>
      <c r="L2622" s="298"/>
      <c r="M2622" s="301">
        <v>120</v>
      </c>
      <c r="N2622" s="301">
        <f>MONTH(Tableau13[[#This Row],[Date fin intervention]])</f>
        <v>2</v>
      </c>
      <c r="O2622" s="301">
        <f>YEAR(Tableau13[[#This Row],[Date fin intervention]])</f>
        <v>2024</v>
      </c>
      <c r="P2622" s="298"/>
    </row>
    <row r="2623" spans="1:16">
      <c r="A2623" s="293">
        <v>45324</v>
      </c>
      <c r="B2623" s="294">
        <v>571</v>
      </c>
      <c r="C2623" s="295" t="str">
        <f>IF(ISNA(VLOOKUP(Tableau13[[#This Row],[Code machine]],'CODE mchn'!$A$4:$C$170,2,0)),"",VLOOKUP(Tableau13[[#This Row],[Code machine]],'CODE mchn'!$A$4:$C$170,2,0))</f>
        <v>Acier</v>
      </c>
      <c r="D2623" s="296" t="str">
        <f>IF(ISNA(VLOOKUP(Tableau13[[#This Row],[Code machine]],'CODE mchn'!$A$4:$C$170,3,0)),"",VLOOKUP(Tableau13[[#This Row],[Code machine]],'CODE mchn'!$A$4:$C$170,3,0))</f>
        <v>EVG PN 1</v>
      </c>
      <c r="E2623" s="297">
        <v>30506</v>
      </c>
      <c r="F2623" s="296"/>
      <c r="G2623" s="298"/>
      <c r="H2623" s="298" t="s">
        <v>4730</v>
      </c>
      <c r="I2623" s="298"/>
      <c r="J2623" s="299" t="s">
        <v>4731</v>
      </c>
      <c r="K2623" s="300">
        <v>45343</v>
      </c>
      <c r="L2623" s="298"/>
      <c r="M2623" s="301">
        <v>60</v>
      </c>
      <c r="N2623" s="301">
        <f>MONTH(Tableau13[[#This Row],[Date fin intervention]])</f>
        <v>2</v>
      </c>
      <c r="O2623" s="301">
        <f>YEAR(Tableau13[[#This Row],[Date fin intervention]])</f>
        <v>2024</v>
      </c>
      <c r="P2623" s="298"/>
    </row>
    <row r="2624" spans="1:16">
      <c r="A2624" s="293">
        <v>45325</v>
      </c>
      <c r="B2624" s="294">
        <v>620</v>
      </c>
      <c r="C2624" s="295" t="str">
        <f>IF(ISNA(VLOOKUP(Tableau13[[#This Row],[Code machine]],'CODE mchn'!$A$4:$C$170,2,0)),"",VLOOKUP(Tableau13[[#This Row],[Code machine]],'CODE mchn'!$A$4:$C$170,2,0))</f>
        <v>Acier</v>
      </c>
      <c r="D2624" s="296" t="str">
        <f>IF(ISNA(VLOOKUP(Tableau13[[#This Row],[Code machine]],'CODE mchn'!$A$4:$C$170,3,0)),"",VLOOKUP(Tableau13[[#This Row],[Code machine]],'CODE mchn'!$A$4:$C$170,3,0))</f>
        <v>EVG PN 2</v>
      </c>
      <c r="E2624" s="297">
        <v>27387</v>
      </c>
      <c r="F2624" s="296"/>
      <c r="G2624" s="298"/>
      <c r="H2624" s="298" t="s">
        <v>3610</v>
      </c>
      <c r="I2624" s="298"/>
      <c r="J2624" s="299" t="s">
        <v>4665</v>
      </c>
      <c r="K2624" s="300">
        <v>45325</v>
      </c>
      <c r="L2624" s="298"/>
      <c r="M2624" s="301">
        <v>120</v>
      </c>
      <c r="N2624" s="301">
        <f>MONTH(Tableau13[[#This Row],[Date fin intervention]])</f>
        <v>2</v>
      </c>
      <c r="O2624" s="301">
        <f>YEAR(Tableau13[[#This Row],[Date fin intervention]])</f>
        <v>2024</v>
      </c>
      <c r="P2624" s="298"/>
    </row>
    <row r="2625" spans="1:16">
      <c r="A2625" s="293">
        <v>45325</v>
      </c>
      <c r="B2625" s="294">
        <v>620</v>
      </c>
      <c r="C2625" s="295" t="str">
        <f>IF(ISNA(VLOOKUP(Tableau13[[#This Row],[Code machine]],'CODE mchn'!$A$4:$C$170,2,0)),"",VLOOKUP(Tableau13[[#This Row],[Code machine]],'CODE mchn'!$A$4:$C$170,2,0))</f>
        <v>Acier</v>
      </c>
      <c r="D2625" s="296" t="str">
        <f>IF(ISNA(VLOOKUP(Tableau13[[#This Row],[Code machine]],'CODE mchn'!$A$4:$C$170,3,0)),"",VLOOKUP(Tableau13[[#This Row],[Code machine]],'CODE mchn'!$A$4:$C$170,3,0))</f>
        <v>EVG PN 2</v>
      </c>
      <c r="E2625" s="297">
        <v>27388</v>
      </c>
      <c r="F2625" s="296"/>
      <c r="G2625" s="298"/>
      <c r="H2625" s="298" t="s">
        <v>4666</v>
      </c>
      <c r="I2625" s="298"/>
      <c r="J2625" s="299" t="s">
        <v>4667</v>
      </c>
      <c r="K2625" s="300">
        <v>45325</v>
      </c>
      <c r="L2625" s="298"/>
      <c r="M2625" s="301">
        <v>120</v>
      </c>
      <c r="N2625" s="301">
        <f>MONTH(Tableau13[[#This Row],[Date fin intervention]])</f>
        <v>2</v>
      </c>
      <c r="O2625" s="301">
        <f>YEAR(Tableau13[[#This Row],[Date fin intervention]])</f>
        <v>2024</v>
      </c>
      <c r="P2625" s="298"/>
    </row>
    <row r="2626" spans="1:16">
      <c r="A2626" s="293">
        <v>45327</v>
      </c>
      <c r="B2626" s="294">
        <v>571</v>
      </c>
      <c r="C2626" s="295" t="str">
        <f>IF(ISNA(VLOOKUP(Tableau13[[#This Row],[Code machine]],'CODE mchn'!$A$4:$C$170,2,0)),"",VLOOKUP(Tableau13[[#This Row],[Code machine]],'CODE mchn'!$A$4:$C$170,2,0))</f>
        <v>Acier</v>
      </c>
      <c r="D2626" s="296" t="str">
        <f>IF(ISNA(VLOOKUP(Tableau13[[#This Row],[Code machine]],'CODE mchn'!$A$4:$C$170,3,0)),"",VLOOKUP(Tableau13[[#This Row],[Code machine]],'CODE mchn'!$A$4:$C$170,3,0))</f>
        <v>EVG PN 1</v>
      </c>
      <c r="E2626" s="297">
        <v>27389</v>
      </c>
      <c r="F2626" s="296"/>
      <c r="G2626" s="298"/>
      <c r="H2626" s="298" t="s">
        <v>4668</v>
      </c>
      <c r="I2626" s="298"/>
      <c r="J2626" s="299" t="s">
        <v>4669</v>
      </c>
      <c r="K2626" s="300">
        <v>45327</v>
      </c>
      <c r="L2626" s="298"/>
      <c r="M2626" s="301">
        <v>120</v>
      </c>
      <c r="N2626" s="301">
        <f>MONTH(Tableau13[[#This Row],[Date fin intervention]])</f>
        <v>2</v>
      </c>
      <c r="O2626" s="301">
        <f>YEAR(Tableau13[[#This Row],[Date fin intervention]])</f>
        <v>2024</v>
      </c>
      <c r="P2626" s="298"/>
    </row>
    <row r="2627" spans="1:16">
      <c r="A2627" s="293">
        <v>45327</v>
      </c>
      <c r="B2627" s="294">
        <v>607</v>
      </c>
      <c r="C2627" s="295" t="str">
        <f>IF(ISNA(VLOOKUP(Tableau13[[#This Row],[Code machine]],'CODE mchn'!$A$4:$C$170,2,0)),"",VLOOKUP(Tableau13[[#This Row],[Code machine]],'CODE mchn'!$A$4:$C$170,2,0))</f>
        <v>Acier</v>
      </c>
      <c r="D2627" s="296" t="str">
        <f>IF(ISNA(VLOOKUP(Tableau13[[#This Row],[Code machine]],'CODE mchn'!$A$4:$C$170,3,0)),"",VLOOKUP(Tableau13[[#This Row],[Code machine]],'CODE mchn'!$A$4:$C$170,3,0))</f>
        <v>Vitari 3</v>
      </c>
      <c r="E2627" s="297">
        <v>27390</v>
      </c>
      <c r="F2627" s="296"/>
      <c r="G2627" s="298"/>
      <c r="H2627" s="298" t="s">
        <v>4670</v>
      </c>
      <c r="I2627" s="298"/>
      <c r="J2627" s="299" t="s">
        <v>4671</v>
      </c>
      <c r="K2627" s="300">
        <v>45327</v>
      </c>
      <c r="L2627" s="298"/>
      <c r="M2627" s="301">
        <v>180</v>
      </c>
      <c r="N2627" s="301">
        <f>MONTH(Tableau13[[#This Row],[Date fin intervention]])</f>
        <v>2</v>
      </c>
      <c r="O2627" s="301">
        <f>YEAR(Tableau13[[#This Row],[Date fin intervention]])</f>
        <v>2024</v>
      </c>
      <c r="P2627" s="298"/>
    </row>
    <row r="2628" spans="1:16">
      <c r="A2628" s="293">
        <v>45327</v>
      </c>
      <c r="B2628" s="294">
        <v>700</v>
      </c>
      <c r="C2628" s="295" t="str">
        <f>IF(ISNA(VLOOKUP(Tableau13[[#This Row],[Code machine]],'CODE mchn'!$A$4:$C$170,2,0)),"",VLOOKUP(Tableau13[[#This Row],[Code machine]],'CODE mchn'!$A$4:$C$170,2,0))</f>
        <v>Béton</v>
      </c>
      <c r="D2628" s="296" t="str">
        <f>IF(ISNA(VLOOKUP(Tableau13[[#This Row],[Code machine]],'CODE mchn'!$A$4:$C$170,3,0)),"",VLOOKUP(Tableau13[[#This Row],[Code machine]],'CODE mchn'!$A$4:$C$170,3,0))</f>
        <v>Poyatos 1</v>
      </c>
      <c r="E2628" s="297">
        <v>30723</v>
      </c>
      <c r="F2628" s="296"/>
      <c r="G2628" s="298"/>
      <c r="H2628" s="298" t="s">
        <v>4707</v>
      </c>
      <c r="I2628" s="298"/>
      <c r="J2628" s="299" t="s">
        <v>4708</v>
      </c>
      <c r="K2628" s="300">
        <v>45327</v>
      </c>
      <c r="L2628" s="298"/>
      <c r="M2628" s="301">
        <v>120</v>
      </c>
      <c r="N2628" s="301">
        <f>MONTH(Tableau13[[#This Row],[Date fin intervention]])</f>
        <v>2</v>
      </c>
      <c r="O2628" s="301">
        <f>YEAR(Tableau13[[#This Row],[Date fin intervention]])</f>
        <v>2024</v>
      </c>
      <c r="P2628" s="298"/>
    </row>
    <row r="2629" spans="1:16">
      <c r="A2629" s="293">
        <v>45328</v>
      </c>
      <c r="B2629" s="294">
        <v>571</v>
      </c>
      <c r="C2629" s="295" t="str">
        <f>IF(ISNA(VLOOKUP(Tableau13[[#This Row],[Code machine]],'CODE mchn'!$A$4:$C$170,2,0)),"",VLOOKUP(Tableau13[[#This Row],[Code machine]],'CODE mchn'!$A$4:$C$170,2,0))</f>
        <v>Acier</v>
      </c>
      <c r="D2629" s="296" t="str">
        <f>IF(ISNA(VLOOKUP(Tableau13[[#This Row],[Code machine]],'CODE mchn'!$A$4:$C$170,3,0)),"",VLOOKUP(Tableau13[[#This Row],[Code machine]],'CODE mchn'!$A$4:$C$170,3,0))</f>
        <v>EVG PN 1</v>
      </c>
      <c r="E2629" s="297">
        <v>27391</v>
      </c>
      <c r="F2629" s="296"/>
      <c r="G2629" s="298"/>
      <c r="H2629" s="298" t="s">
        <v>4672</v>
      </c>
      <c r="I2629" s="298"/>
      <c r="J2629" s="299" t="s">
        <v>4673</v>
      </c>
      <c r="K2629" s="300">
        <v>45328</v>
      </c>
      <c r="L2629" s="298"/>
      <c r="M2629" s="301">
        <v>60</v>
      </c>
      <c r="N2629" s="301">
        <f>MONTH(Tableau13[[#This Row],[Date fin intervention]])</f>
        <v>2</v>
      </c>
      <c r="O2629" s="301">
        <f>YEAR(Tableau13[[#This Row],[Date fin intervention]])</f>
        <v>2024</v>
      </c>
      <c r="P2629" s="298"/>
    </row>
    <row r="2630" spans="1:16">
      <c r="A2630" s="293">
        <v>45329</v>
      </c>
      <c r="B2630" s="294">
        <v>560</v>
      </c>
      <c r="C2630" s="295" t="str">
        <f>IF(ISNA(VLOOKUP(Tableau13[[#This Row],[Code machine]],'CODE mchn'!$A$4:$C$170,2,0)),"",VLOOKUP(Tableau13[[#This Row],[Code machine]],'CODE mchn'!$A$4:$C$170,2,0))</f>
        <v>Acier</v>
      </c>
      <c r="D2630" s="296" t="str">
        <f>IF(ISNA(VLOOKUP(Tableau13[[#This Row],[Code machine]],'CODE mchn'!$A$4:$C$170,3,0)),"",VLOOKUP(Tableau13[[#This Row],[Code machine]],'CODE mchn'!$A$4:$C$170,3,0))</f>
        <v>Schlatter</v>
      </c>
      <c r="E2630" s="297">
        <v>27392</v>
      </c>
      <c r="F2630" s="296"/>
      <c r="G2630" s="298"/>
      <c r="H2630" s="298" t="s">
        <v>4674</v>
      </c>
      <c r="I2630" s="298"/>
      <c r="J2630" s="299" t="s">
        <v>4675</v>
      </c>
      <c r="K2630" s="300">
        <v>45329</v>
      </c>
      <c r="L2630" s="298"/>
      <c r="M2630" s="301">
        <v>60</v>
      </c>
      <c r="N2630" s="301">
        <f>MONTH(Tableau13[[#This Row],[Date fin intervention]])</f>
        <v>2</v>
      </c>
      <c r="O2630" s="301">
        <f>YEAR(Tableau13[[#This Row],[Date fin intervention]])</f>
        <v>2024</v>
      </c>
      <c r="P2630" s="298"/>
    </row>
    <row r="2631" spans="1:16">
      <c r="A2631" s="293">
        <v>45329</v>
      </c>
      <c r="B2631" s="294">
        <v>700</v>
      </c>
      <c r="C2631" s="295" t="str">
        <f>IF(ISNA(VLOOKUP(Tableau13[[#This Row],[Code machine]],'CODE mchn'!$A$4:$C$170,2,0)),"",VLOOKUP(Tableau13[[#This Row],[Code machine]],'CODE mchn'!$A$4:$C$170,2,0))</f>
        <v>Béton</v>
      </c>
      <c r="D2631" s="296" t="str">
        <f>IF(ISNA(VLOOKUP(Tableau13[[#This Row],[Code machine]],'CODE mchn'!$A$4:$C$170,3,0)),"",VLOOKUP(Tableau13[[#This Row],[Code machine]],'CODE mchn'!$A$4:$C$170,3,0))</f>
        <v>Poyatos 1</v>
      </c>
      <c r="E2631" s="297">
        <v>30724</v>
      </c>
      <c r="F2631" s="296"/>
      <c r="G2631" s="298"/>
      <c r="H2631" s="298" t="s">
        <v>4709</v>
      </c>
      <c r="I2631" s="298"/>
      <c r="J2631" s="299" t="s">
        <v>4710</v>
      </c>
      <c r="K2631" s="300">
        <v>45329</v>
      </c>
      <c r="L2631" s="298"/>
      <c r="M2631" s="301">
        <v>60</v>
      </c>
      <c r="N2631" s="301">
        <f>MONTH(Tableau13[[#This Row],[Date fin intervention]])</f>
        <v>2</v>
      </c>
      <c r="O2631" s="301">
        <f>YEAR(Tableau13[[#This Row],[Date fin intervention]])</f>
        <v>2024</v>
      </c>
      <c r="P2631" s="298"/>
    </row>
    <row r="2632" spans="1:16">
      <c r="A2632" s="293">
        <v>45330</v>
      </c>
      <c r="B2632" s="294">
        <v>560</v>
      </c>
      <c r="C2632" s="295" t="str">
        <f>IF(ISNA(VLOOKUP(Tableau13[[#This Row],[Code machine]],'CODE mchn'!$A$4:$C$170,2,0)),"",VLOOKUP(Tableau13[[#This Row],[Code machine]],'CODE mchn'!$A$4:$C$170,2,0))</f>
        <v>Acier</v>
      </c>
      <c r="D2632" s="296" t="str">
        <f>IF(ISNA(VLOOKUP(Tableau13[[#This Row],[Code machine]],'CODE mchn'!$A$4:$C$170,3,0)),"",VLOOKUP(Tableau13[[#This Row],[Code machine]],'CODE mchn'!$A$4:$C$170,3,0))</f>
        <v>Schlatter</v>
      </c>
      <c r="E2632" s="297">
        <v>27393</v>
      </c>
      <c r="F2632" s="296"/>
      <c r="G2632" s="298"/>
      <c r="H2632" s="298" t="s">
        <v>4676</v>
      </c>
      <c r="I2632" s="298"/>
      <c r="J2632" s="299" t="s">
        <v>4677</v>
      </c>
      <c r="K2632" s="300">
        <v>45330</v>
      </c>
      <c r="L2632" s="298"/>
      <c r="M2632" s="301">
        <v>60</v>
      </c>
      <c r="N2632" s="301">
        <f>MONTH(Tableau13[[#This Row],[Date fin intervention]])</f>
        <v>2</v>
      </c>
      <c r="O2632" s="301">
        <f>YEAR(Tableau13[[#This Row],[Date fin intervention]])</f>
        <v>2024</v>
      </c>
      <c r="P2632" s="298"/>
    </row>
    <row r="2633" spans="1:16">
      <c r="A2633" s="293">
        <v>45330</v>
      </c>
      <c r="B2633" s="294">
        <v>800</v>
      </c>
      <c r="C2633" s="295" t="str">
        <f>IF(ISNA(VLOOKUP(Tableau13[[#This Row],[Code machine]],'CODE mchn'!$A$4:$C$170,2,0)),"",VLOOKUP(Tableau13[[#This Row],[Code machine]],'CODE mchn'!$A$4:$C$170,2,0))</f>
        <v>Béton</v>
      </c>
      <c r="D2633" s="296" t="str">
        <f>IF(ISNA(VLOOKUP(Tableau13[[#This Row],[Code machine]],'CODE mchn'!$A$4:$C$170,3,0)),"",VLOOKUP(Tableau13[[#This Row],[Code machine]],'CODE mchn'!$A$4:$C$170,3,0))</f>
        <v>Poyatos 2</v>
      </c>
      <c r="E2633" s="297">
        <v>30725</v>
      </c>
      <c r="F2633" s="296"/>
      <c r="G2633" s="298"/>
      <c r="H2633" s="298" t="s">
        <v>4707</v>
      </c>
      <c r="I2633" s="298"/>
      <c r="J2633" s="299" t="s">
        <v>4660</v>
      </c>
      <c r="K2633" s="300">
        <v>45330</v>
      </c>
      <c r="L2633" s="298"/>
      <c r="M2633" s="301">
        <v>60</v>
      </c>
      <c r="N2633" s="301">
        <f>MONTH(Tableau13[[#This Row],[Date fin intervention]])</f>
        <v>2</v>
      </c>
      <c r="O2633" s="301">
        <f>YEAR(Tableau13[[#This Row],[Date fin intervention]])</f>
        <v>2024</v>
      </c>
      <c r="P2633" s="298"/>
    </row>
    <row r="2634" spans="1:16">
      <c r="A2634" s="293">
        <v>45330</v>
      </c>
      <c r="B2634" s="294">
        <v>700</v>
      </c>
      <c r="C2634" s="295" t="str">
        <f>IF(ISNA(VLOOKUP(Tableau13[[#This Row],[Code machine]],'CODE mchn'!$A$4:$C$170,2,0)),"",VLOOKUP(Tableau13[[#This Row],[Code machine]],'CODE mchn'!$A$4:$C$170,2,0))</f>
        <v>Béton</v>
      </c>
      <c r="D2634" s="296" t="str">
        <f>IF(ISNA(VLOOKUP(Tableau13[[#This Row],[Code machine]],'CODE mchn'!$A$4:$C$170,3,0)),"",VLOOKUP(Tableau13[[#This Row],[Code machine]],'CODE mchn'!$A$4:$C$170,3,0))</f>
        <v>Poyatos 1</v>
      </c>
      <c r="E2634" s="297">
        <v>30726</v>
      </c>
      <c r="F2634" s="296"/>
      <c r="G2634" s="298"/>
      <c r="H2634" s="298" t="s">
        <v>4711</v>
      </c>
      <c r="I2634" s="298"/>
      <c r="J2634" s="299" t="s">
        <v>4712</v>
      </c>
      <c r="K2634" s="300">
        <v>45330</v>
      </c>
      <c r="L2634" s="298"/>
      <c r="M2634" s="301">
        <v>30</v>
      </c>
      <c r="N2634" s="301">
        <f>MONTH(Tableau13[[#This Row],[Date fin intervention]])</f>
        <v>2</v>
      </c>
      <c r="O2634" s="301">
        <f>YEAR(Tableau13[[#This Row],[Date fin intervention]])</f>
        <v>2024</v>
      </c>
      <c r="P2634" s="298"/>
    </row>
    <row r="2635" spans="1:16" ht="28.5">
      <c r="A2635" s="293">
        <v>45331</v>
      </c>
      <c r="B2635" s="294">
        <v>583</v>
      </c>
      <c r="C2635" s="295" t="str">
        <f>IF(ISNA(VLOOKUP(Tableau13[[#This Row],[Code machine]],'CODE mchn'!$A$4:$C$170,2,0)),"",VLOOKUP(Tableau13[[#This Row],[Code machine]],'CODE mchn'!$A$4:$C$170,2,0))</f>
        <v>Ponts roulants</v>
      </c>
      <c r="D2635" s="296" t="str">
        <f>IF(ISNA(VLOOKUP(Tableau13[[#This Row],[Code machine]],'CODE mchn'!$A$4:$C$170,3,0)),"",VLOOKUP(Tableau13[[#This Row],[Code machine]],'CODE mchn'!$A$4:$C$170,3,0))</f>
        <v>Pont roulant Abus 5T (teurema1)</v>
      </c>
      <c r="E2635" s="297">
        <v>27394</v>
      </c>
      <c r="F2635" s="296"/>
      <c r="G2635" s="298"/>
      <c r="H2635" s="298" t="s">
        <v>4678</v>
      </c>
      <c r="I2635" s="298"/>
      <c r="J2635" s="299" t="s">
        <v>4679</v>
      </c>
      <c r="K2635" s="300">
        <v>45331</v>
      </c>
      <c r="L2635" s="298"/>
      <c r="M2635" s="301">
        <v>180</v>
      </c>
      <c r="N2635" s="301">
        <f>MONTH(Tableau13[[#This Row],[Date fin intervention]])</f>
        <v>2</v>
      </c>
      <c r="O2635" s="301">
        <f>YEAR(Tableau13[[#This Row],[Date fin intervention]])</f>
        <v>2024</v>
      </c>
      <c r="P2635" s="298"/>
    </row>
    <row r="2636" spans="1:16">
      <c r="A2636" s="293">
        <v>45331</v>
      </c>
      <c r="B2636" s="294">
        <v>571</v>
      </c>
      <c r="C2636" s="295" t="str">
        <f>IF(ISNA(VLOOKUP(Tableau13[[#This Row],[Code machine]],'CODE mchn'!$A$4:$C$170,2,0)),"",VLOOKUP(Tableau13[[#This Row],[Code machine]],'CODE mchn'!$A$4:$C$170,2,0))</f>
        <v>Acier</v>
      </c>
      <c r="D2636" s="296" t="str">
        <f>IF(ISNA(VLOOKUP(Tableau13[[#This Row],[Code machine]],'CODE mchn'!$A$4:$C$170,3,0)),"",VLOOKUP(Tableau13[[#This Row],[Code machine]],'CODE mchn'!$A$4:$C$170,3,0))</f>
        <v>EVG PN 1</v>
      </c>
      <c r="E2636" s="297">
        <v>27395</v>
      </c>
      <c r="F2636" s="296"/>
      <c r="G2636" s="298"/>
      <c r="H2636" s="298" t="s">
        <v>4680</v>
      </c>
      <c r="I2636" s="298"/>
      <c r="J2636" s="299" t="s">
        <v>4681</v>
      </c>
      <c r="K2636" s="300">
        <v>45331</v>
      </c>
      <c r="L2636" s="298"/>
      <c r="M2636" s="301">
        <v>540</v>
      </c>
      <c r="N2636" s="301">
        <f>MONTH(Tableau13[[#This Row],[Date fin intervention]])</f>
        <v>2</v>
      </c>
      <c r="O2636" s="301">
        <f>YEAR(Tableau13[[#This Row],[Date fin intervention]])</f>
        <v>2024</v>
      </c>
      <c r="P2636" s="298"/>
    </row>
    <row r="2637" spans="1:16">
      <c r="A2637" s="293">
        <v>45331</v>
      </c>
      <c r="B2637" s="294">
        <v>700</v>
      </c>
      <c r="C2637" s="295" t="str">
        <f>IF(ISNA(VLOOKUP(Tableau13[[#This Row],[Code machine]],'CODE mchn'!$A$4:$C$170,2,0)),"",VLOOKUP(Tableau13[[#This Row],[Code machine]],'CODE mchn'!$A$4:$C$170,2,0))</f>
        <v>Béton</v>
      </c>
      <c r="D2637" s="296" t="str">
        <f>IF(ISNA(VLOOKUP(Tableau13[[#This Row],[Code machine]],'CODE mchn'!$A$4:$C$170,3,0)),"",VLOOKUP(Tableau13[[#This Row],[Code machine]],'CODE mchn'!$A$4:$C$170,3,0))</f>
        <v>Poyatos 1</v>
      </c>
      <c r="E2637" s="297">
        <v>30727</v>
      </c>
      <c r="F2637" s="296"/>
      <c r="G2637" s="298"/>
      <c r="H2637" s="298" t="s">
        <v>4713</v>
      </c>
      <c r="I2637" s="298"/>
      <c r="J2637" s="299" t="s">
        <v>4714</v>
      </c>
      <c r="K2637" s="300">
        <v>45331</v>
      </c>
      <c r="L2637" s="298"/>
      <c r="M2637" s="301">
        <v>180</v>
      </c>
      <c r="N2637" s="301">
        <f>MONTH(Tableau13[[#This Row],[Date fin intervention]])</f>
        <v>2</v>
      </c>
      <c r="O2637" s="301">
        <f>YEAR(Tableau13[[#This Row],[Date fin intervention]])</f>
        <v>2024</v>
      </c>
      <c r="P2637" s="298"/>
    </row>
    <row r="2638" spans="1:16">
      <c r="A2638" s="293">
        <v>45332</v>
      </c>
      <c r="B2638" s="294">
        <v>582</v>
      </c>
      <c r="C2638" s="295" t="str">
        <f>IF(ISNA(VLOOKUP(Tableau13[[#This Row],[Code machine]],'CODE mchn'!$A$4:$C$170,2,0)),"",VLOOKUP(Tableau13[[#This Row],[Code machine]],'CODE mchn'!$A$4:$C$170,2,0))</f>
        <v>Acier</v>
      </c>
      <c r="D2638" s="296" t="str">
        <f>IF(ISNA(VLOOKUP(Tableau13[[#This Row],[Code machine]],'CODE mchn'!$A$4:$C$170,3,0)),"",VLOOKUP(Tableau13[[#This Row],[Code machine]],'CODE mchn'!$A$4:$C$170,3,0))</f>
        <v>Teurema 2</v>
      </c>
      <c r="E2638" s="297">
        <v>27396</v>
      </c>
      <c r="F2638" s="296"/>
      <c r="G2638" s="298"/>
      <c r="H2638" s="298" t="s">
        <v>4682</v>
      </c>
      <c r="I2638" s="298"/>
      <c r="J2638" s="299" t="s">
        <v>4683</v>
      </c>
      <c r="K2638" s="300">
        <v>45332</v>
      </c>
      <c r="L2638" s="298"/>
      <c r="M2638" s="301">
        <v>120</v>
      </c>
      <c r="N2638" s="301">
        <f>MONTH(Tableau13[[#This Row],[Date fin intervention]])</f>
        <v>2</v>
      </c>
      <c r="O2638" s="301">
        <f>YEAR(Tableau13[[#This Row],[Date fin intervention]])</f>
        <v>2024</v>
      </c>
      <c r="P2638" s="298"/>
    </row>
    <row r="2639" spans="1:16">
      <c r="A2639" s="293">
        <v>45334</v>
      </c>
      <c r="B2639" s="294">
        <v>700</v>
      </c>
      <c r="C2639" s="295" t="str">
        <f>IF(ISNA(VLOOKUP(Tableau13[[#This Row],[Code machine]],'CODE mchn'!$A$4:$C$170,2,0)),"",VLOOKUP(Tableau13[[#This Row],[Code machine]],'CODE mchn'!$A$4:$C$170,2,0))</f>
        <v>Béton</v>
      </c>
      <c r="D2639" s="296" t="str">
        <f>IF(ISNA(VLOOKUP(Tableau13[[#This Row],[Code machine]],'CODE mchn'!$A$4:$C$170,3,0)),"",VLOOKUP(Tableau13[[#This Row],[Code machine]],'CODE mchn'!$A$4:$C$170,3,0))</f>
        <v>Poyatos 1</v>
      </c>
      <c r="E2639" s="297">
        <v>30728</v>
      </c>
      <c r="F2639" s="296"/>
      <c r="G2639" s="298"/>
      <c r="H2639" s="298" t="s">
        <v>4715</v>
      </c>
      <c r="I2639" s="298"/>
      <c r="J2639" s="299" t="s">
        <v>4716</v>
      </c>
      <c r="K2639" s="300">
        <v>45334</v>
      </c>
      <c r="L2639" s="298"/>
      <c r="M2639" s="301">
        <v>120</v>
      </c>
      <c r="N2639" s="301">
        <f>MONTH(Tableau13[[#This Row],[Date fin intervention]])</f>
        <v>2</v>
      </c>
      <c r="O2639" s="301">
        <f>YEAR(Tableau13[[#This Row],[Date fin intervention]])</f>
        <v>2024</v>
      </c>
      <c r="P2639" s="298"/>
    </row>
    <row r="2640" spans="1:16" ht="28.5">
      <c r="A2640" s="303">
        <v>45334</v>
      </c>
      <c r="B2640" s="294">
        <v>568</v>
      </c>
      <c r="C2640" s="295" t="str">
        <f>IF(ISNA(VLOOKUP(Tableau13[[#This Row],[Code machine]],'CODE mchn'!$A$4:$C$170,2,0)),"",VLOOKUP(Tableau13[[#This Row],[Code machine]],'CODE mchn'!$A$4:$C$170,2,0))</f>
        <v>Ponts roulants</v>
      </c>
      <c r="D2640" s="296" t="str">
        <f>IF(ISNA(VLOOKUP(Tableau13[[#This Row],[Code machine]],'CODE mchn'!$A$4:$C$170,3,0)),"",VLOOKUP(Tableau13[[#This Row],[Code machine]],'CODE mchn'!$A$4:$C$170,3,0))</f>
        <v>Pont roulant Demag 5T (milieu)</v>
      </c>
      <c r="E2640" s="297">
        <v>27398</v>
      </c>
      <c r="F2640" s="296"/>
      <c r="G2640" s="298"/>
      <c r="H2640" s="298" t="s">
        <v>3450</v>
      </c>
      <c r="I2640" s="298"/>
      <c r="J2640" s="299"/>
      <c r="K2640" s="300">
        <v>45335</v>
      </c>
      <c r="L2640" s="298"/>
      <c r="M2640" s="301">
        <v>180</v>
      </c>
      <c r="N2640" s="301">
        <f>MONTH(Tableau13[[#This Row],[Date fin intervention]])</f>
        <v>2</v>
      </c>
      <c r="O2640" s="301">
        <f>YEAR(Tableau13[[#This Row],[Date fin intervention]])</f>
        <v>2024</v>
      </c>
      <c r="P2640" s="298"/>
    </row>
    <row r="2641" spans="1:16">
      <c r="A2641" s="293">
        <v>45335</v>
      </c>
      <c r="B2641" s="294">
        <v>580</v>
      </c>
      <c r="C2641" s="295" t="str">
        <f>IF(ISNA(VLOOKUP(Tableau13[[#This Row],[Code machine]],'CODE mchn'!$A$4:$C$170,2,0)),"",VLOOKUP(Tableau13[[#This Row],[Code machine]],'CODE mchn'!$A$4:$C$170,2,0))</f>
        <v>Acier</v>
      </c>
      <c r="D2641" s="296" t="str">
        <f>IF(ISNA(VLOOKUP(Tableau13[[#This Row],[Code machine]],'CODE mchn'!$A$4:$C$170,3,0)),"",VLOOKUP(Tableau13[[#This Row],[Code machine]],'CODE mchn'!$A$4:$C$170,3,0))</f>
        <v>Techno Impiante</v>
      </c>
      <c r="E2641" s="297">
        <v>30729</v>
      </c>
      <c r="F2641" s="296"/>
      <c r="G2641" s="298"/>
      <c r="H2641" s="298" t="s">
        <v>4717</v>
      </c>
      <c r="I2641" s="298"/>
      <c r="J2641" s="299" t="s">
        <v>4718</v>
      </c>
      <c r="K2641" s="300">
        <v>45335</v>
      </c>
      <c r="L2641" s="298"/>
      <c r="M2641" s="301">
        <v>300</v>
      </c>
      <c r="N2641" s="301">
        <f>MONTH(Tableau13[[#This Row],[Date fin intervention]])</f>
        <v>2</v>
      </c>
      <c r="O2641" s="301">
        <f>YEAR(Tableau13[[#This Row],[Date fin intervention]])</f>
        <v>2024</v>
      </c>
      <c r="P2641" s="298"/>
    </row>
    <row r="2642" spans="1:16">
      <c r="A2642" s="303">
        <v>45335</v>
      </c>
      <c r="B2642" s="294">
        <v>571</v>
      </c>
      <c r="C2642" s="295" t="str">
        <f>IF(ISNA(VLOOKUP(Tableau13[[#This Row],[Code machine]],'CODE mchn'!$A$4:$C$170,2,0)),"",VLOOKUP(Tableau13[[#This Row],[Code machine]],'CODE mchn'!$A$4:$C$170,2,0))</f>
        <v>Acier</v>
      </c>
      <c r="D2642" s="296" t="str">
        <f>IF(ISNA(VLOOKUP(Tableau13[[#This Row],[Code machine]],'CODE mchn'!$A$4:$C$170,3,0)),"",VLOOKUP(Tableau13[[#This Row],[Code machine]],'CODE mchn'!$A$4:$C$170,3,0))</f>
        <v>EVG PN 1</v>
      </c>
      <c r="E2642" s="297">
        <v>30730</v>
      </c>
      <c r="F2642" s="296"/>
      <c r="G2642" s="298"/>
      <c r="H2642" s="298" t="s">
        <v>4719</v>
      </c>
      <c r="I2642" s="298"/>
      <c r="J2642" s="299" t="s">
        <v>4720</v>
      </c>
      <c r="K2642" s="300">
        <v>45335</v>
      </c>
      <c r="L2642" s="298"/>
      <c r="M2642" s="301">
        <v>60</v>
      </c>
      <c r="N2642" s="301">
        <f>MONTH(Tableau13[[#This Row],[Date fin intervention]])</f>
        <v>2</v>
      </c>
      <c r="O2642" s="301">
        <f>YEAR(Tableau13[[#This Row],[Date fin intervention]])</f>
        <v>2024</v>
      </c>
      <c r="P2642" s="298"/>
    </row>
    <row r="2643" spans="1:16">
      <c r="A2643" s="293">
        <v>45335</v>
      </c>
      <c r="B2643" s="294">
        <v>620</v>
      </c>
      <c r="C2643" s="295" t="str">
        <f>IF(ISNA(VLOOKUP(Tableau13[[#This Row],[Code machine]],'CODE mchn'!$A$4:$C$170,2,0)),"",VLOOKUP(Tableau13[[#This Row],[Code machine]],'CODE mchn'!$A$4:$C$170,2,0))</f>
        <v>Acier</v>
      </c>
      <c r="D2643" s="296" t="str">
        <f>IF(ISNA(VLOOKUP(Tableau13[[#This Row],[Code machine]],'CODE mchn'!$A$4:$C$170,3,0)),"",VLOOKUP(Tableau13[[#This Row],[Code machine]],'CODE mchn'!$A$4:$C$170,3,0))</f>
        <v>EVG PN 2</v>
      </c>
      <c r="E2643" s="297">
        <v>27399</v>
      </c>
      <c r="F2643" s="296"/>
      <c r="G2643" s="298"/>
      <c r="H2643" s="298" t="s">
        <v>4782</v>
      </c>
      <c r="I2643" s="298"/>
      <c r="J2643" s="299" t="s">
        <v>4783</v>
      </c>
      <c r="K2643" s="300">
        <v>45335</v>
      </c>
      <c r="L2643" s="298"/>
      <c r="M2643" s="301"/>
      <c r="N2643" s="301">
        <f>MONTH(Tableau13[[#This Row],[Date fin intervention]])</f>
        <v>2</v>
      </c>
      <c r="O2643" s="301">
        <f>YEAR(Tableau13[[#This Row],[Date fin intervention]])</f>
        <v>2024</v>
      </c>
      <c r="P2643" s="298"/>
    </row>
    <row r="2644" spans="1:16">
      <c r="A2644" s="293" t="s">
        <v>4801</v>
      </c>
      <c r="B2644" s="294">
        <v>582</v>
      </c>
      <c r="C2644" s="295" t="str">
        <f>IF(ISNA(VLOOKUP(Tableau13[[#This Row],[Code machine]],'CODE mchn'!$A$4:$C$170,2,0)),"",VLOOKUP(Tableau13[[#This Row],[Code machine]],'CODE mchn'!$A$4:$C$170,2,0))</f>
        <v>Acier</v>
      </c>
      <c r="D2644" s="296" t="str">
        <f>IF(ISNA(VLOOKUP(Tableau13[[#This Row],[Code machine]],'CODE mchn'!$A$4:$C$170,3,0)),"",VLOOKUP(Tableau13[[#This Row],[Code machine]],'CODE mchn'!$A$4:$C$170,3,0))</f>
        <v>Teurema 2</v>
      </c>
      <c r="E2644" s="297">
        <v>27400</v>
      </c>
      <c r="F2644" s="296"/>
      <c r="G2644" s="298"/>
      <c r="H2644" s="298" t="s">
        <v>3548</v>
      </c>
      <c r="I2644" s="298"/>
      <c r="J2644" s="299" t="s">
        <v>4802</v>
      </c>
      <c r="K2644" s="300">
        <v>45335</v>
      </c>
      <c r="L2644" s="298"/>
      <c r="M2644" s="301"/>
      <c r="N2644" s="301">
        <f>MONTH(Tableau13[[#This Row],[Date fin intervention]])</f>
        <v>2</v>
      </c>
      <c r="O2644" s="301">
        <f>YEAR(Tableau13[[#This Row],[Date fin intervention]])</f>
        <v>2024</v>
      </c>
      <c r="P2644" s="298"/>
    </row>
    <row r="2645" spans="1:16">
      <c r="A2645" s="303">
        <v>45336</v>
      </c>
      <c r="B2645" s="294">
        <v>700</v>
      </c>
      <c r="C2645" s="295" t="str">
        <f>IF(ISNA(VLOOKUP(Tableau13[[#This Row],[Code machine]],'CODE mchn'!$A$4:$C$170,2,0)),"",VLOOKUP(Tableau13[[#This Row],[Code machine]],'CODE mchn'!$A$4:$C$170,2,0))</f>
        <v>Béton</v>
      </c>
      <c r="D2645" s="296" t="str">
        <f>IF(ISNA(VLOOKUP(Tableau13[[#This Row],[Code machine]],'CODE mchn'!$A$4:$C$170,3,0)),"",VLOOKUP(Tableau13[[#This Row],[Code machine]],'CODE mchn'!$A$4:$C$170,3,0))</f>
        <v>Poyatos 1</v>
      </c>
      <c r="E2645" s="297">
        <v>30731</v>
      </c>
      <c r="F2645" s="296"/>
      <c r="G2645" s="298"/>
      <c r="H2645" s="298" t="s">
        <v>4721</v>
      </c>
      <c r="I2645" s="298"/>
      <c r="J2645" s="299" t="s">
        <v>4722</v>
      </c>
      <c r="K2645" s="300">
        <v>45336</v>
      </c>
      <c r="L2645" s="298"/>
      <c r="M2645" s="301">
        <v>60</v>
      </c>
      <c r="N2645" s="301">
        <f>MONTH(Tableau13[[#This Row],[Date fin intervention]])</f>
        <v>2</v>
      </c>
      <c r="O2645" s="301">
        <f>YEAR(Tableau13[[#This Row],[Date fin intervention]])</f>
        <v>2024</v>
      </c>
      <c r="P2645" s="298"/>
    </row>
    <row r="2646" spans="1:16">
      <c r="A2646" s="293">
        <v>45336</v>
      </c>
      <c r="B2646" s="294">
        <v>582</v>
      </c>
      <c r="C2646" s="295" t="str">
        <f>IF(ISNA(VLOOKUP(Tableau13[[#This Row],[Code machine]],'CODE mchn'!$A$4:$C$170,2,0)),"",VLOOKUP(Tableau13[[#This Row],[Code machine]],'CODE mchn'!$A$4:$C$170,2,0))</f>
        <v>Acier</v>
      </c>
      <c r="D2646" s="296" t="str">
        <f>IF(ISNA(VLOOKUP(Tableau13[[#This Row],[Code machine]],'CODE mchn'!$A$4:$C$170,3,0)),"",VLOOKUP(Tableau13[[#This Row],[Code machine]],'CODE mchn'!$A$4:$C$170,3,0))</f>
        <v>Teurema 2</v>
      </c>
      <c r="E2646" s="297">
        <v>30501</v>
      </c>
      <c r="F2646" s="296"/>
      <c r="G2646" s="298"/>
      <c r="H2646" s="298" t="s">
        <v>4723</v>
      </c>
      <c r="I2646" s="298"/>
      <c r="J2646" s="299" t="s">
        <v>4724</v>
      </c>
      <c r="K2646" s="300">
        <v>45336</v>
      </c>
      <c r="L2646" s="298"/>
      <c r="M2646" s="301">
        <v>180</v>
      </c>
      <c r="N2646" s="301">
        <f>MONTH(Tableau13[[#This Row],[Date fin intervention]])</f>
        <v>2</v>
      </c>
      <c r="O2646" s="301">
        <f>YEAR(Tableau13[[#This Row],[Date fin intervention]])</f>
        <v>2024</v>
      </c>
      <c r="P2646" s="298"/>
    </row>
    <row r="2647" spans="1:16">
      <c r="A2647" s="293">
        <v>45337</v>
      </c>
      <c r="B2647" s="294">
        <v>609</v>
      </c>
      <c r="C2647" s="295" t="str">
        <f>IF(ISNA(VLOOKUP(Tableau13[[#This Row],[Code machine]],'CODE mchn'!$A$4:$C$170,2,0)),"",VLOOKUP(Tableau13[[#This Row],[Code machine]],'CODE mchn'!$A$4:$C$170,2,0))</f>
        <v>Acier</v>
      </c>
      <c r="D2647" s="296" t="str">
        <f>IF(ISNA(VLOOKUP(Tableau13[[#This Row],[Code machine]],'CODE mchn'!$A$4:$C$170,3,0)),"",VLOOKUP(Tableau13[[#This Row],[Code machine]],'CODE mchn'!$A$4:$C$170,3,0))</f>
        <v>Vitari 4</v>
      </c>
      <c r="E2647" s="297">
        <v>30732</v>
      </c>
      <c r="F2647" s="296"/>
      <c r="G2647" s="298"/>
      <c r="H2647" s="298" t="s">
        <v>4747</v>
      </c>
      <c r="I2647" s="298"/>
      <c r="J2647" s="299" t="s">
        <v>4748</v>
      </c>
      <c r="K2647" s="300">
        <v>45337</v>
      </c>
      <c r="L2647" s="298"/>
      <c r="M2647" s="301">
        <v>30</v>
      </c>
      <c r="N2647" s="301">
        <f>MONTH(Tableau13[[#This Row],[Date fin intervention]])</f>
        <v>2</v>
      </c>
      <c r="O2647" s="301">
        <f>YEAR(Tableau13[[#This Row],[Date fin intervention]])</f>
        <v>2024</v>
      </c>
      <c r="P2647" s="298"/>
    </row>
    <row r="2648" spans="1:16">
      <c r="A2648" s="293">
        <v>45337</v>
      </c>
      <c r="B2648" s="294">
        <v>582</v>
      </c>
      <c r="C2648" s="295" t="str">
        <f>IF(ISNA(VLOOKUP(Tableau13[[#This Row],[Code machine]],'CODE mchn'!$A$4:$C$170,2,0)),"",VLOOKUP(Tableau13[[#This Row],[Code machine]],'CODE mchn'!$A$4:$C$170,2,0))</f>
        <v>Acier</v>
      </c>
      <c r="D2648" s="296" t="str">
        <f>IF(ISNA(VLOOKUP(Tableau13[[#This Row],[Code machine]],'CODE mchn'!$A$4:$C$170,3,0)),"",VLOOKUP(Tableau13[[#This Row],[Code machine]],'CODE mchn'!$A$4:$C$170,3,0))</f>
        <v>Teurema 2</v>
      </c>
      <c r="E2648" s="297">
        <v>30733</v>
      </c>
      <c r="F2648" s="296"/>
      <c r="G2648" s="298"/>
      <c r="H2648" s="298" t="s">
        <v>4616</v>
      </c>
      <c r="I2648" s="298"/>
      <c r="J2648" s="299" t="s">
        <v>4749</v>
      </c>
      <c r="K2648" s="300">
        <v>45337</v>
      </c>
      <c r="L2648" s="298"/>
      <c r="M2648" s="301">
        <v>180</v>
      </c>
      <c r="N2648" s="301">
        <f>MONTH(Tableau13[[#This Row],[Date fin intervention]])</f>
        <v>2</v>
      </c>
      <c r="O2648" s="301">
        <f>YEAR(Tableau13[[#This Row],[Date fin intervention]])</f>
        <v>2024</v>
      </c>
      <c r="P2648" s="298"/>
    </row>
    <row r="2649" spans="1:16">
      <c r="A2649" s="293">
        <v>45338</v>
      </c>
      <c r="B2649" s="294">
        <v>582</v>
      </c>
      <c r="C2649" s="295" t="str">
        <f>IF(ISNA(VLOOKUP(Tableau13[[#This Row],[Code machine]],'CODE mchn'!$A$4:$C$170,2,0)),"",VLOOKUP(Tableau13[[#This Row],[Code machine]],'CODE mchn'!$A$4:$C$170,2,0))</f>
        <v>Acier</v>
      </c>
      <c r="D2649" s="296" t="str">
        <f>IF(ISNA(VLOOKUP(Tableau13[[#This Row],[Code machine]],'CODE mchn'!$A$4:$C$170,3,0)),"",VLOOKUP(Tableau13[[#This Row],[Code machine]],'CODE mchn'!$A$4:$C$170,3,0))</f>
        <v>Teurema 2</v>
      </c>
      <c r="E2649" s="297">
        <v>30734</v>
      </c>
      <c r="F2649" s="296"/>
      <c r="G2649" s="298"/>
      <c r="H2649" s="298" t="s">
        <v>3450</v>
      </c>
      <c r="I2649" s="298"/>
      <c r="J2649" s="299" t="s">
        <v>4750</v>
      </c>
      <c r="K2649" s="300">
        <v>45338</v>
      </c>
      <c r="L2649" s="298"/>
      <c r="M2649" s="301">
        <v>60</v>
      </c>
      <c r="N2649" s="301">
        <f>MONTH(Tableau13[[#This Row],[Date fin intervention]])</f>
        <v>2</v>
      </c>
      <c r="O2649" s="301">
        <f>YEAR(Tableau13[[#This Row],[Date fin intervention]])</f>
        <v>2024</v>
      </c>
      <c r="P2649" s="298"/>
    </row>
    <row r="2650" spans="1:16">
      <c r="A2650" s="293">
        <v>45338</v>
      </c>
      <c r="B2650" s="294">
        <v>800</v>
      </c>
      <c r="C2650" s="295" t="str">
        <f>IF(ISNA(VLOOKUP(Tableau13[[#This Row],[Code machine]],'CODE mchn'!$A$4:$C$170,2,0)),"",VLOOKUP(Tableau13[[#This Row],[Code machine]],'CODE mchn'!$A$4:$C$170,2,0))</f>
        <v>Béton</v>
      </c>
      <c r="D2650" s="296" t="str">
        <f>IF(ISNA(VLOOKUP(Tableau13[[#This Row],[Code machine]],'CODE mchn'!$A$4:$C$170,3,0)),"",VLOOKUP(Tableau13[[#This Row],[Code machine]],'CODE mchn'!$A$4:$C$170,3,0))</f>
        <v>Poyatos 2</v>
      </c>
      <c r="E2650" s="297">
        <v>30735</v>
      </c>
      <c r="F2650" s="296"/>
      <c r="G2650" s="298"/>
      <c r="H2650" s="298" t="s">
        <v>4709</v>
      </c>
      <c r="I2650" s="298"/>
      <c r="J2650" s="299" t="s">
        <v>4751</v>
      </c>
      <c r="K2650" s="300">
        <v>45338</v>
      </c>
      <c r="L2650" s="298"/>
      <c r="M2650" s="301">
        <v>120</v>
      </c>
      <c r="N2650" s="301">
        <f>MONTH(Tableau13[[#This Row],[Date fin intervention]])</f>
        <v>2</v>
      </c>
      <c r="O2650" s="301">
        <f>YEAR(Tableau13[[#This Row],[Date fin intervention]])</f>
        <v>2024</v>
      </c>
      <c r="P2650" s="298"/>
    </row>
    <row r="2651" spans="1:16">
      <c r="A2651" s="293">
        <v>45339</v>
      </c>
      <c r="B2651" s="294">
        <v>800</v>
      </c>
      <c r="C2651" s="295" t="str">
        <f>IF(ISNA(VLOOKUP(Tableau13[[#This Row],[Code machine]],'CODE mchn'!$A$4:$C$170,2,0)),"",VLOOKUP(Tableau13[[#This Row],[Code machine]],'CODE mchn'!$A$4:$C$170,2,0))</f>
        <v>Béton</v>
      </c>
      <c r="D2651" s="296" t="str">
        <f>IF(ISNA(VLOOKUP(Tableau13[[#This Row],[Code machine]],'CODE mchn'!$A$4:$C$170,3,0)),"",VLOOKUP(Tableau13[[#This Row],[Code machine]],'CODE mchn'!$A$4:$C$170,3,0))</f>
        <v>Poyatos 2</v>
      </c>
      <c r="E2651" s="297">
        <v>30736</v>
      </c>
      <c r="F2651" s="296"/>
      <c r="G2651" s="298"/>
      <c r="H2651" s="298" t="s">
        <v>3540</v>
      </c>
      <c r="I2651" s="298"/>
      <c r="J2651" s="299" t="s">
        <v>4752</v>
      </c>
      <c r="K2651" s="300">
        <v>45339</v>
      </c>
      <c r="L2651" s="298"/>
      <c r="M2651" s="301">
        <v>60</v>
      </c>
      <c r="N2651" s="301">
        <f>MONTH(Tableau13[[#This Row],[Date fin intervention]])</f>
        <v>2</v>
      </c>
      <c r="O2651" s="301">
        <f>YEAR(Tableau13[[#This Row],[Date fin intervention]])</f>
        <v>2024</v>
      </c>
      <c r="P2651" s="298"/>
    </row>
    <row r="2652" spans="1:16">
      <c r="A2652" s="293">
        <v>45341</v>
      </c>
      <c r="B2652" s="294">
        <v>582</v>
      </c>
      <c r="C2652" s="295" t="str">
        <f>IF(ISNA(VLOOKUP(Tableau13[[#This Row],[Code machine]],'CODE mchn'!$A$4:$C$170,2,0)),"",VLOOKUP(Tableau13[[#This Row],[Code machine]],'CODE mchn'!$A$4:$C$170,2,0))</f>
        <v>Acier</v>
      </c>
      <c r="D2652" s="296" t="str">
        <f>IF(ISNA(VLOOKUP(Tableau13[[#This Row],[Code machine]],'CODE mchn'!$A$4:$C$170,3,0)),"",VLOOKUP(Tableau13[[#This Row],[Code machine]],'CODE mchn'!$A$4:$C$170,3,0))</f>
        <v>Teurema 2</v>
      </c>
      <c r="E2652" s="297">
        <v>30502</v>
      </c>
      <c r="F2652" s="296"/>
      <c r="G2652" s="298"/>
      <c r="H2652" s="298" t="s">
        <v>4267</v>
      </c>
      <c r="I2652" s="298"/>
      <c r="J2652" s="299" t="s">
        <v>4725</v>
      </c>
      <c r="K2652" s="300">
        <v>45341</v>
      </c>
      <c r="L2652" s="298"/>
      <c r="M2652" s="301">
        <v>60</v>
      </c>
      <c r="N2652" s="301">
        <f>MONTH(Tableau13[[#This Row],[Date fin intervention]])</f>
        <v>2</v>
      </c>
      <c r="O2652" s="301">
        <f>YEAR(Tableau13[[#This Row],[Date fin intervention]])</f>
        <v>2024</v>
      </c>
      <c r="P2652" s="298"/>
    </row>
    <row r="2653" spans="1:16">
      <c r="A2653" s="293">
        <v>45341</v>
      </c>
      <c r="B2653" s="294">
        <v>571</v>
      </c>
      <c r="C2653" s="295" t="str">
        <f>IF(ISNA(VLOOKUP(Tableau13[[#This Row],[Code machine]],'CODE mchn'!$A$4:$C$170,2,0)),"",VLOOKUP(Tableau13[[#This Row],[Code machine]],'CODE mchn'!$A$4:$C$170,2,0))</f>
        <v>Acier</v>
      </c>
      <c r="D2653" s="296" t="str">
        <f>IF(ISNA(VLOOKUP(Tableau13[[#This Row],[Code machine]],'CODE mchn'!$A$4:$C$170,3,0)),"",VLOOKUP(Tableau13[[#This Row],[Code machine]],'CODE mchn'!$A$4:$C$170,3,0))</f>
        <v>EVG PN 1</v>
      </c>
      <c r="E2653" s="297">
        <v>30503</v>
      </c>
      <c r="F2653" s="296"/>
      <c r="G2653" s="298"/>
      <c r="H2653" s="298" t="s">
        <v>4726</v>
      </c>
      <c r="I2653" s="298"/>
      <c r="J2653" s="299" t="s">
        <v>4727</v>
      </c>
      <c r="K2653" s="300">
        <v>45341</v>
      </c>
      <c r="L2653" s="298"/>
      <c r="M2653" s="301">
        <v>120</v>
      </c>
      <c r="N2653" s="301">
        <f>MONTH(Tableau13[[#This Row],[Date fin intervention]])</f>
        <v>2</v>
      </c>
      <c r="O2653" s="301">
        <f>YEAR(Tableau13[[#This Row],[Date fin intervention]])</f>
        <v>2024</v>
      </c>
      <c r="P2653" s="298"/>
    </row>
    <row r="2654" spans="1:16">
      <c r="A2654" s="293">
        <v>45341</v>
      </c>
      <c r="B2654" s="294">
        <v>571</v>
      </c>
      <c r="C2654" s="295" t="str">
        <f>IF(ISNA(VLOOKUP(Tableau13[[#This Row],[Code machine]],'CODE mchn'!$A$4:$C$170,2,0)),"",VLOOKUP(Tableau13[[#This Row],[Code machine]],'CODE mchn'!$A$4:$C$170,2,0))</f>
        <v>Acier</v>
      </c>
      <c r="D2654" s="296" t="str">
        <f>IF(ISNA(VLOOKUP(Tableau13[[#This Row],[Code machine]],'CODE mchn'!$A$4:$C$170,3,0)),"",VLOOKUP(Tableau13[[#This Row],[Code machine]],'CODE mchn'!$A$4:$C$170,3,0))</f>
        <v>EVG PN 1</v>
      </c>
      <c r="E2654" s="297">
        <v>30504</v>
      </c>
      <c r="F2654" s="296"/>
      <c r="G2654" s="298"/>
      <c r="H2654" s="298" t="s">
        <v>3610</v>
      </c>
      <c r="I2654" s="298"/>
      <c r="J2654" s="299" t="s">
        <v>4426</v>
      </c>
      <c r="K2654" s="300">
        <v>45341</v>
      </c>
      <c r="L2654" s="298"/>
      <c r="M2654" s="301">
        <v>60</v>
      </c>
      <c r="N2654" s="301">
        <f>MONTH(Tableau13[[#This Row],[Date fin intervention]])</f>
        <v>2</v>
      </c>
      <c r="O2654" s="301">
        <f>YEAR(Tableau13[[#This Row],[Date fin intervention]])</f>
        <v>2024</v>
      </c>
      <c r="P2654" s="298"/>
    </row>
    <row r="2655" spans="1:16">
      <c r="A2655" s="300">
        <v>45341</v>
      </c>
      <c r="B2655" s="294">
        <v>700</v>
      </c>
      <c r="C2655" s="295" t="str">
        <f>IF(ISNA(VLOOKUP(Tableau13[[#This Row],[Code machine]],'CODE mchn'!$A$4:$C$170,2,0)),"",VLOOKUP(Tableau13[[#This Row],[Code machine]],'CODE mchn'!$A$4:$C$170,2,0))</f>
        <v>Béton</v>
      </c>
      <c r="D2655" s="296" t="str">
        <f>IF(ISNA(VLOOKUP(Tableau13[[#This Row],[Code machine]],'CODE mchn'!$A$4:$C$170,3,0)),"",VLOOKUP(Tableau13[[#This Row],[Code machine]],'CODE mchn'!$A$4:$C$170,3,0))</f>
        <v>Poyatos 1</v>
      </c>
      <c r="E2655" s="297">
        <v>30737</v>
      </c>
      <c r="F2655" s="296"/>
      <c r="G2655" s="298"/>
      <c r="H2655" s="300" t="s">
        <v>4753</v>
      </c>
      <c r="I2655" s="298"/>
      <c r="J2655" s="299" t="s">
        <v>4754</v>
      </c>
      <c r="K2655" s="300">
        <v>45341</v>
      </c>
      <c r="L2655" s="298"/>
      <c r="M2655" s="301">
        <v>180</v>
      </c>
      <c r="N2655" s="301">
        <f>MONTH(Tableau13[[#This Row],[Date fin intervention]])</f>
        <v>2</v>
      </c>
      <c r="O2655" s="301">
        <f>YEAR(Tableau13[[#This Row],[Date fin intervention]])</f>
        <v>2024</v>
      </c>
      <c r="P2655" s="298"/>
    </row>
    <row r="2656" spans="1:16">
      <c r="A2656" s="293">
        <v>45342</v>
      </c>
      <c r="B2656" s="294">
        <v>620</v>
      </c>
      <c r="C2656" s="295" t="str">
        <f>IF(ISNA(VLOOKUP(Tableau13[[#This Row],[Code machine]],'CODE mchn'!$A$4:$C$170,2,0)),"",VLOOKUP(Tableau13[[#This Row],[Code machine]],'CODE mchn'!$A$4:$C$170,2,0))</f>
        <v>Acier</v>
      </c>
      <c r="D2656" s="296" t="str">
        <f>IF(ISNA(VLOOKUP(Tableau13[[#This Row],[Code machine]],'CODE mchn'!$A$4:$C$170,3,0)),"",VLOOKUP(Tableau13[[#This Row],[Code machine]],'CODE mchn'!$A$4:$C$170,3,0))</f>
        <v>EVG PN 2</v>
      </c>
      <c r="E2656" s="297">
        <v>30505</v>
      </c>
      <c r="F2656" s="296"/>
      <c r="G2656" s="298"/>
      <c r="H2656" s="298" t="s">
        <v>4728</v>
      </c>
      <c r="I2656" s="298"/>
      <c r="J2656" s="299" t="s">
        <v>4729</v>
      </c>
      <c r="K2656" s="300">
        <v>45342</v>
      </c>
      <c r="L2656" s="298"/>
      <c r="M2656" s="301">
        <v>120</v>
      </c>
      <c r="N2656" s="301">
        <f>MONTH(Tableau13[[#This Row],[Date fin intervention]])</f>
        <v>2</v>
      </c>
      <c r="O2656" s="301">
        <f>YEAR(Tableau13[[#This Row],[Date fin intervention]])</f>
        <v>2024</v>
      </c>
      <c r="P2656" s="298"/>
    </row>
    <row r="2657" spans="1:16">
      <c r="A2657" s="293">
        <v>45342</v>
      </c>
      <c r="B2657" s="294">
        <v>700</v>
      </c>
      <c r="C2657" s="295" t="str">
        <f>IF(ISNA(VLOOKUP(Tableau13[[#This Row],[Code machine]],'CODE mchn'!$A$4:$C$170,2,0)),"",VLOOKUP(Tableau13[[#This Row],[Code machine]],'CODE mchn'!$A$4:$C$170,2,0))</f>
        <v>Béton</v>
      </c>
      <c r="D2657" s="296" t="str">
        <f>IF(ISNA(VLOOKUP(Tableau13[[#This Row],[Code machine]],'CODE mchn'!$A$4:$C$170,3,0)),"",VLOOKUP(Tableau13[[#This Row],[Code machine]],'CODE mchn'!$A$4:$C$170,3,0))</f>
        <v>Poyatos 1</v>
      </c>
      <c r="E2657" s="297">
        <v>30738</v>
      </c>
      <c r="F2657" s="296"/>
      <c r="G2657" s="298"/>
      <c r="H2657" s="300" t="s">
        <v>3450</v>
      </c>
      <c r="I2657" s="298"/>
      <c r="J2657" s="299" t="s">
        <v>4755</v>
      </c>
      <c r="K2657" s="300">
        <v>45342</v>
      </c>
      <c r="L2657" s="298"/>
      <c r="M2657" s="301">
        <v>60</v>
      </c>
      <c r="N2657" s="301">
        <f>MONTH(Tableau13[[#This Row],[Date fin intervention]])</f>
        <v>2</v>
      </c>
      <c r="O2657" s="301">
        <f>YEAR(Tableau13[[#This Row],[Date fin intervention]])</f>
        <v>2024</v>
      </c>
      <c r="P2657" s="298"/>
    </row>
    <row r="2658" spans="1:16">
      <c r="A2658" s="293">
        <v>45343</v>
      </c>
      <c r="B2658" s="294">
        <v>565</v>
      </c>
      <c r="C2658" s="295" t="str">
        <f>IF(ISNA(VLOOKUP(Tableau13[[#This Row],[Code machine]],'CODE mchn'!$A$4:$C$170,2,0)),"",VLOOKUP(Tableau13[[#This Row],[Code machine]],'CODE mchn'!$A$4:$C$170,2,0))</f>
        <v>Acier</v>
      </c>
      <c r="D2658" s="296" t="str">
        <f>IF(ISNA(VLOOKUP(Tableau13[[#This Row],[Code machine]],'CODE mchn'!$A$4:$C$170,3,0)),"",VLOOKUP(Tableau13[[#This Row],[Code machine]],'CODE mchn'!$A$4:$C$170,3,0))</f>
        <v>EVG GE12</v>
      </c>
      <c r="E2658" s="297">
        <v>30507</v>
      </c>
      <c r="F2658" s="296"/>
      <c r="G2658" s="298"/>
      <c r="H2658" s="298" t="s">
        <v>4719</v>
      </c>
      <c r="I2658" s="298"/>
      <c r="J2658" s="299" t="s">
        <v>4732</v>
      </c>
      <c r="K2658" s="300">
        <v>45343</v>
      </c>
      <c r="L2658" s="298"/>
      <c r="M2658" s="301">
        <v>180</v>
      </c>
      <c r="N2658" s="301">
        <f>MONTH(Tableau13[[#This Row],[Date fin intervention]])</f>
        <v>2</v>
      </c>
      <c r="O2658" s="301">
        <f>YEAR(Tableau13[[#This Row],[Date fin intervention]])</f>
        <v>2024</v>
      </c>
      <c r="P2658" s="298"/>
    </row>
    <row r="2659" spans="1:16">
      <c r="A2659" s="303">
        <v>45344</v>
      </c>
      <c r="B2659" s="294">
        <v>800</v>
      </c>
      <c r="C2659" s="295" t="str">
        <f>IF(ISNA(VLOOKUP(Tableau13[[#This Row],[Code machine]],'CODE mchn'!$A$4:$C$170,2,0)),"",VLOOKUP(Tableau13[[#This Row],[Code machine]],'CODE mchn'!$A$4:$C$170,2,0))</f>
        <v>Béton</v>
      </c>
      <c r="D2659" s="296" t="str">
        <f>IF(ISNA(VLOOKUP(Tableau13[[#This Row],[Code machine]],'CODE mchn'!$A$4:$C$170,3,0)),"",VLOOKUP(Tableau13[[#This Row],[Code machine]],'CODE mchn'!$A$4:$C$170,3,0))</f>
        <v>Poyatos 2</v>
      </c>
      <c r="E2659" s="297">
        <v>30739</v>
      </c>
      <c r="F2659" s="296"/>
      <c r="G2659" s="298"/>
      <c r="H2659" s="300" t="s">
        <v>4756</v>
      </c>
      <c r="I2659" s="298"/>
      <c r="J2659" s="299" t="s">
        <v>4757</v>
      </c>
      <c r="K2659" s="300">
        <v>45344</v>
      </c>
      <c r="L2659" s="298"/>
      <c r="M2659" s="301">
        <v>180</v>
      </c>
      <c r="N2659" s="301">
        <f>MONTH(Tableau13[[#This Row],[Date fin intervention]])</f>
        <v>2</v>
      </c>
      <c r="O2659" s="301">
        <f>YEAR(Tableau13[[#This Row],[Date fin intervention]])</f>
        <v>2024</v>
      </c>
      <c r="P2659" s="298"/>
    </row>
    <row r="2660" spans="1:16">
      <c r="A2660" s="293">
        <v>45345</v>
      </c>
      <c r="B2660" s="294">
        <v>560</v>
      </c>
      <c r="C2660" s="295" t="str">
        <f>IF(ISNA(VLOOKUP(Tableau13[[#This Row],[Code machine]],'CODE mchn'!$A$4:$C$170,2,0)),"",VLOOKUP(Tableau13[[#This Row],[Code machine]],'CODE mchn'!$A$4:$C$170,2,0))</f>
        <v>Acier</v>
      </c>
      <c r="D2660" s="296" t="str">
        <f>IF(ISNA(VLOOKUP(Tableau13[[#This Row],[Code machine]],'CODE mchn'!$A$4:$C$170,3,0)),"",VLOOKUP(Tableau13[[#This Row],[Code machine]],'CODE mchn'!$A$4:$C$170,3,0))</f>
        <v>Schlatter</v>
      </c>
      <c r="E2660" s="297">
        <v>30508</v>
      </c>
      <c r="F2660" s="296"/>
      <c r="G2660" s="298"/>
      <c r="H2660" s="298" t="s">
        <v>4719</v>
      </c>
      <c r="I2660" s="298"/>
      <c r="J2660" s="299" t="s">
        <v>4733</v>
      </c>
      <c r="K2660" s="300">
        <v>45345</v>
      </c>
      <c r="L2660" s="298"/>
      <c r="M2660" s="301">
        <v>60</v>
      </c>
      <c r="N2660" s="301">
        <f>MONTH(Tableau13[[#This Row],[Date fin intervention]])</f>
        <v>2</v>
      </c>
      <c r="O2660" s="301">
        <f>YEAR(Tableau13[[#This Row],[Date fin intervention]])</f>
        <v>2024</v>
      </c>
      <c r="P2660" s="298"/>
    </row>
    <row r="2661" spans="1:16">
      <c r="A2661" s="293">
        <v>45345</v>
      </c>
      <c r="B2661" s="294">
        <v>582</v>
      </c>
      <c r="C2661" s="295" t="str">
        <f>IF(ISNA(VLOOKUP(Tableau13[[#This Row],[Code machine]],'CODE mchn'!$A$4:$C$170,2,0)),"",VLOOKUP(Tableau13[[#This Row],[Code machine]],'CODE mchn'!$A$4:$C$170,2,0))</f>
        <v>Acier</v>
      </c>
      <c r="D2661" s="296" t="str">
        <f>IF(ISNA(VLOOKUP(Tableau13[[#This Row],[Code machine]],'CODE mchn'!$A$4:$C$170,3,0)),"",VLOOKUP(Tableau13[[#This Row],[Code machine]],'CODE mchn'!$A$4:$C$170,3,0))</f>
        <v>Teurema 2</v>
      </c>
      <c r="E2661" s="297">
        <v>30509</v>
      </c>
      <c r="F2661" s="296"/>
      <c r="G2661" s="298"/>
      <c r="H2661" s="298" t="s">
        <v>4734</v>
      </c>
      <c r="I2661" s="298"/>
      <c r="J2661" s="299" t="s">
        <v>4693</v>
      </c>
      <c r="K2661" s="300">
        <v>45345</v>
      </c>
      <c r="L2661" s="298"/>
      <c r="M2661" s="301">
        <v>60</v>
      </c>
      <c r="N2661" s="301">
        <f>MONTH(Tableau13[[#This Row],[Date fin intervention]])</f>
        <v>2</v>
      </c>
      <c r="O2661" s="301">
        <f>YEAR(Tableau13[[#This Row],[Date fin intervention]])</f>
        <v>2024</v>
      </c>
      <c r="P2661" s="298"/>
    </row>
    <row r="2662" spans="1:16">
      <c r="A2662" s="293">
        <v>45346</v>
      </c>
      <c r="B2662" s="294">
        <v>620</v>
      </c>
      <c r="C2662" s="295" t="str">
        <f>IF(ISNA(VLOOKUP(Tableau13[[#This Row],[Code machine]],'CODE mchn'!$A$4:$C$170,2,0)),"",VLOOKUP(Tableau13[[#This Row],[Code machine]],'CODE mchn'!$A$4:$C$170,2,0))</f>
        <v>Acier</v>
      </c>
      <c r="D2662" s="296" t="str">
        <f>IF(ISNA(VLOOKUP(Tableau13[[#This Row],[Code machine]],'CODE mchn'!$A$4:$C$170,3,0)),"",VLOOKUP(Tableau13[[#This Row],[Code machine]],'CODE mchn'!$A$4:$C$170,3,0))</f>
        <v>EVG PN 2</v>
      </c>
      <c r="E2662" s="297">
        <v>30510</v>
      </c>
      <c r="F2662" s="296"/>
      <c r="G2662" s="298"/>
      <c r="H2662" s="298" t="s">
        <v>4735</v>
      </c>
      <c r="I2662" s="298"/>
      <c r="J2662" s="299" t="s">
        <v>4736</v>
      </c>
      <c r="K2662" s="300">
        <v>45346</v>
      </c>
      <c r="L2662" s="298"/>
      <c r="M2662" s="301">
        <v>60</v>
      </c>
      <c r="N2662" s="301">
        <f>MONTH(Tableau13[[#This Row],[Date fin intervention]])</f>
        <v>2</v>
      </c>
      <c r="O2662" s="301">
        <f>YEAR(Tableau13[[#This Row],[Date fin intervention]])</f>
        <v>2024</v>
      </c>
      <c r="P2662" s="298"/>
    </row>
    <row r="2663" spans="1:16">
      <c r="A2663" s="293">
        <v>45348</v>
      </c>
      <c r="B2663" s="294">
        <v>609</v>
      </c>
      <c r="C2663" s="295" t="str">
        <f>IF(ISNA(VLOOKUP(Tableau13[[#This Row],[Code machine]],'CODE mchn'!$A$4:$C$170,2,0)),"",VLOOKUP(Tableau13[[#This Row],[Code machine]],'CODE mchn'!$A$4:$C$170,2,0))</f>
        <v>Acier</v>
      </c>
      <c r="D2663" s="296" t="str">
        <f>IF(ISNA(VLOOKUP(Tableau13[[#This Row],[Code machine]],'CODE mchn'!$A$4:$C$170,3,0)),"",VLOOKUP(Tableau13[[#This Row],[Code machine]],'CODE mchn'!$A$4:$C$170,3,0))</f>
        <v>Vitari 4</v>
      </c>
      <c r="E2663" s="297">
        <v>30511</v>
      </c>
      <c r="F2663" s="296"/>
      <c r="G2663" s="298"/>
      <c r="H2663" s="298" t="s">
        <v>4726</v>
      </c>
      <c r="I2663" s="298"/>
      <c r="J2663" s="299" t="s">
        <v>4737</v>
      </c>
      <c r="K2663" s="300">
        <v>45348</v>
      </c>
      <c r="L2663" s="298"/>
      <c r="M2663" s="301">
        <v>60</v>
      </c>
      <c r="N2663" s="301">
        <f>MONTH(Tableau13[[#This Row],[Date fin intervention]])</f>
        <v>2</v>
      </c>
      <c r="O2663" s="301">
        <f>YEAR(Tableau13[[#This Row],[Date fin intervention]])</f>
        <v>2024</v>
      </c>
      <c r="P2663" s="298"/>
    </row>
    <row r="2664" spans="1:16">
      <c r="A2664" s="293">
        <v>45348</v>
      </c>
      <c r="B2664" s="294">
        <v>609</v>
      </c>
      <c r="C2664" s="295" t="str">
        <f>IF(ISNA(VLOOKUP(Tableau13[[#This Row],[Code machine]],'CODE mchn'!$A$4:$C$170,2,0)),"",VLOOKUP(Tableau13[[#This Row],[Code machine]],'CODE mchn'!$A$4:$C$170,2,0))</f>
        <v>Acier</v>
      </c>
      <c r="D2664" s="296" t="str">
        <f>IF(ISNA(VLOOKUP(Tableau13[[#This Row],[Code machine]],'CODE mchn'!$A$4:$C$170,3,0)),"",VLOOKUP(Tableau13[[#This Row],[Code machine]],'CODE mchn'!$A$4:$C$170,3,0))</f>
        <v>Vitari 4</v>
      </c>
      <c r="E2664" s="297">
        <v>30512</v>
      </c>
      <c r="F2664" s="296"/>
      <c r="G2664" s="298"/>
      <c r="H2664" s="298" t="s">
        <v>4738</v>
      </c>
      <c r="I2664" s="298"/>
      <c r="J2664" s="299" t="s">
        <v>4739</v>
      </c>
      <c r="K2664" s="300">
        <v>45348</v>
      </c>
      <c r="L2664" s="298"/>
      <c r="M2664" s="301">
        <v>30</v>
      </c>
      <c r="N2664" s="301">
        <f>MONTH(Tableau13[[#This Row],[Date fin intervention]])</f>
        <v>2</v>
      </c>
      <c r="O2664" s="301">
        <f>YEAR(Tableau13[[#This Row],[Date fin intervention]])</f>
        <v>2024</v>
      </c>
      <c r="P2664" s="298"/>
    </row>
    <row r="2665" spans="1:16">
      <c r="A2665" s="302">
        <v>45348</v>
      </c>
      <c r="B2665" s="294">
        <v>700</v>
      </c>
      <c r="C2665" s="295" t="str">
        <f>IF(ISNA(VLOOKUP(Tableau13[[#This Row],[Code machine]],'CODE mchn'!$A$4:$C$170,2,0)),"",VLOOKUP(Tableau13[[#This Row],[Code machine]],'CODE mchn'!$A$4:$C$170,2,0))</f>
        <v>Béton</v>
      </c>
      <c r="D2665" s="296" t="str">
        <f>IF(ISNA(VLOOKUP(Tableau13[[#This Row],[Code machine]],'CODE mchn'!$A$4:$C$170,3,0)),"",VLOOKUP(Tableau13[[#This Row],[Code machine]],'CODE mchn'!$A$4:$C$170,3,0))</f>
        <v>Poyatos 1</v>
      </c>
      <c r="E2665" s="297">
        <v>30741</v>
      </c>
      <c r="F2665" s="296"/>
      <c r="G2665" s="298"/>
      <c r="H2665" s="298" t="s">
        <v>4758</v>
      </c>
      <c r="I2665" s="298"/>
      <c r="J2665" s="299" t="s">
        <v>4760</v>
      </c>
      <c r="K2665" s="300">
        <v>45348</v>
      </c>
      <c r="L2665" s="298"/>
      <c r="M2665" s="301">
        <v>180</v>
      </c>
      <c r="N2665" s="301">
        <f>MONTH(Tableau13[[#This Row],[Date fin intervention]])</f>
        <v>2</v>
      </c>
      <c r="O2665" s="301">
        <f>YEAR(Tableau13[[#This Row],[Date fin intervention]])</f>
        <v>2024</v>
      </c>
      <c r="P2665" s="298"/>
    </row>
    <row r="2666" spans="1:16">
      <c r="A2666" s="293">
        <v>45349</v>
      </c>
      <c r="B2666" s="294">
        <v>700</v>
      </c>
      <c r="C2666" s="295" t="str">
        <f>IF(ISNA(VLOOKUP(Tableau13[[#This Row],[Code machine]],'CODE mchn'!$A$4:$C$170,2,0)),"",VLOOKUP(Tableau13[[#This Row],[Code machine]],'CODE mchn'!$A$4:$C$170,2,0))</f>
        <v>Béton</v>
      </c>
      <c r="D2666" s="296" t="str">
        <f>IF(ISNA(VLOOKUP(Tableau13[[#This Row],[Code machine]],'CODE mchn'!$A$4:$C$170,3,0)),"",VLOOKUP(Tableau13[[#This Row],[Code machine]],'CODE mchn'!$A$4:$C$170,3,0))</f>
        <v>Poyatos 1</v>
      </c>
      <c r="E2666" s="297">
        <v>30742</v>
      </c>
      <c r="F2666" s="296"/>
      <c r="G2666" s="298"/>
      <c r="H2666" s="298" t="s">
        <v>4759</v>
      </c>
      <c r="I2666" s="298"/>
      <c r="J2666" s="299" t="s">
        <v>4761</v>
      </c>
      <c r="K2666" s="300">
        <v>45349</v>
      </c>
      <c r="L2666" s="298"/>
      <c r="M2666" s="301">
        <v>180</v>
      </c>
      <c r="N2666" s="301">
        <f>MONTH(Tableau13[[#This Row],[Date fin intervention]])</f>
        <v>2</v>
      </c>
      <c r="O2666" s="301">
        <f>YEAR(Tableau13[[#This Row],[Date fin intervention]])</f>
        <v>2024</v>
      </c>
      <c r="P2666" s="298"/>
    </row>
    <row r="2667" spans="1:16">
      <c r="A2667" s="293">
        <v>45349</v>
      </c>
      <c r="B2667" s="294">
        <v>800</v>
      </c>
      <c r="C2667" s="295" t="str">
        <f>IF(ISNA(VLOOKUP(Tableau13[[#This Row],[Code machine]],'CODE mchn'!$A$4:$C$170,2,0)),"",VLOOKUP(Tableau13[[#This Row],[Code machine]],'CODE mchn'!$A$4:$C$170,2,0))</f>
        <v>Béton</v>
      </c>
      <c r="D2667" s="296" t="str">
        <f>IF(ISNA(VLOOKUP(Tableau13[[#This Row],[Code machine]],'CODE mchn'!$A$4:$C$170,3,0)),"",VLOOKUP(Tableau13[[#This Row],[Code machine]],'CODE mchn'!$A$4:$C$170,3,0))</f>
        <v>Poyatos 2</v>
      </c>
      <c r="E2667" s="297">
        <v>30743</v>
      </c>
      <c r="F2667" s="296"/>
      <c r="G2667" s="298"/>
      <c r="H2667" s="298" t="s">
        <v>3450</v>
      </c>
      <c r="I2667" s="298"/>
      <c r="J2667" s="299" t="s">
        <v>4762</v>
      </c>
      <c r="K2667" s="300">
        <v>45349</v>
      </c>
      <c r="L2667" s="298"/>
      <c r="M2667" s="301">
        <v>60</v>
      </c>
      <c r="N2667" s="301">
        <f>MONTH(Tableau13[[#This Row],[Date fin intervention]])</f>
        <v>2</v>
      </c>
      <c r="O2667" s="301">
        <f>YEAR(Tableau13[[#This Row],[Date fin intervention]])</f>
        <v>2024</v>
      </c>
      <c r="P2667" s="298"/>
    </row>
    <row r="2668" spans="1:16">
      <c r="A2668" s="293">
        <v>45350</v>
      </c>
      <c r="B2668" s="294">
        <v>580</v>
      </c>
      <c r="C2668" s="295" t="str">
        <f>IF(ISNA(VLOOKUP(Tableau13[[#This Row],[Code machine]],'CODE mchn'!$A$4:$C$170,2,0)),"",VLOOKUP(Tableau13[[#This Row],[Code machine]],'CODE mchn'!$A$4:$C$170,2,0))</f>
        <v>Acier</v>
      </c>
      <c r="D2668" s="296" t="str">
        <f>IF(ISNA(VLOOKUP(Tableau13[[#This Row],[Code machine]],'CODE mchn'!$A$4:$C$170,3,0)),"",VLOOKUP(Tableau13[[#This Row],[Code machine]],'CODE mchn'!$A$4:$C$170,3,0))</f>
        <v>Techno Impiante</v>
      </c>
      <c r="E2668" s="297">
        <v>30513</v>
      </c>
      <c r="F2668" s="296"/>
      <c r="G2668" s="298"/>
      <c r="H2668" s="298" t="s">
        <v>4740</v>
      </c>
      <c r="I2668" s="298"/>
      <c r="J2668" s="299" t="s">
        <v>4741</v>
      </c>
      <c r="K2668" s="300">
        <v>45350</v>
      </c>
      <c r="L2668" s="298"/>
      <c r="M2668" s="301">
        <v>120</v>
      </c>
      <c r="N2668" s="301">
        <f>MONTH(Tableau13[[#This Row],[Date fin intervention]])</f>
        <v>2</v>
      </c>
      <c r="O2668" s="301">
        <f>YEAR(Tableau13[[#This Row],[Date fin intervention]])</f>
        <v>2024</v>
      </c>
      <c r="P2668" s="298"/>
    </row>
    <row r="2669" spans="1:16">
      <c r="A2669" s="293">
        <v>45350</v>
      </c>
      <c r="B2669" s="294">
        <v>571</v>
      </c>
      <c r="C2669" s="295" t="str">
        <f>IF(ISNA(VLOOKUP(Tableau13[[#This Row],[Code machine]],'CODE mchn'!$A$4:$C$170,2,0)),"",VLOOKUP(Tableau13[[#This Row],[Code machine]],'CODE mchn'!$A$4:$C$170,2,0))</f>
        <v>Acier</v>
      </c>
      <c r="D2669" s="296" t="str">
        <f>IF(ISNA(VLOOKUP(Tableau13[[#This Row],[Code machine]],'CODE mchn'!$A$4:$C$170,3,0)),"",VLOOKUP(Tableau13[[#This Row],[Code machine]],'CODE mchn'!$A$4:$C$170,3,0))</f>
        <v>EVG PN 1</v>
      </c>
      <c r="E2669" s="297">
        <v>30514</v>
      </c>
      <c r="F2669" s="296"/>
      <c r="G2669" s="298"/>
      <c r="H2669" s="298" t="s">
        <v>4742</v>
      </c>
      <c r="I2669" s="298"/>
      <c r="J2669" s="299" t="s">
        <v>4743</v>
      </c>
      <c r="K2669" s="300">
        <v>45350</v>
      </c>
      <c r="L2669" s="298"/>
      <c r="M2669" s="301">
        <v>120</v>
      </c>
      <c r="N2669" s="301">
        <f>MONTH(Tableau13[[#This Row],[Date fin intervention]])</f>
        <v>2</v>
      </c>
      <c r="O2669" s="301">
        <f>YEAR(Tableau13[[#This Row],[Date fin intervention]])</f>
        <v>2024</v>
      </c>
      <c r="P2669" s="298"/>
    </row>
    <row r="2670" spans="1:16">
      <c r="A2670" s="293">
        <v>45351</v>
      </c>
      <c r="B2670" s="294">
        <v>560</v>
      </c>
      <c r="C2670" s="295" t="str">
        <f>IF(ISNA(VLOOKUP(Tableau13[[#This Row],[Code machine]],'CODE mchn'!$A$4:$C$170,2,0)),"",VLOOKUP(Tableau13[[#This Row],[Code machine]],'CODE mchn'!$A$4:$C$170,2,0))</f>
        <v>Acier</v>
      </c>
      <c r="D2670" s="296" t="str">
        <f>IF(ISNA(VLOOKUP(Tableau13[[#This Row],[Code machine]],'CODE mchn'!$A$4:$C$170,3,0)),"",VLOOKUP(Tableau13[[#This Row],[Code machine]],'CODE mchn'!$A$4:$C$170,3,0))</f>
        <v>Schlatter</v>
      </c>
      <c r="E2670" s="297">
        <v>30515</v>
      </c>
      <c r="F2670" s="296"/>
      <c r="G2670" s="298"/>
      <c r="H2670" s="298" t="s">
        <v>4744</v>
      </c>
      <c r="I2670" s="298"/>
      <c r="J2670" s="299" t="s">
        <v>4745</v>
      </c>
      <c r="K2670" s="300">
        <v>45351</v>
      </c>
      <c r="L2670" s="298"/>
      <c r="M2670" s="301">
        <v>30</v>
      </c>
      <c r="N2670" s="301">
        <f>MONTH(Tableau13[[#This Row],[Date fin intervention]])</f>
        <v>2</v>
      </c>
      <c r="O2670" s="301">
        <f>YEAR(Tableau13[[#This Row],[Date fin intervention]])</f>
        <v>2024</v>
      </c>
      <c r="P2670" s="298"/>
    </row>
    <row r="2671" spans="1:16">
      <c r="A2671" s="293">
        <v>45351</v>
      </c>
      <c r="B2671" s="294">
        <v>565</v>
      </c>
      <c r="C2671" s="295" t="str">
        <f>IF(ISNA(VLOOKUP(Tableau13[[#This Row],[Code machine]],'CODE mchn'!$A$4:$C$170,2,0)),"",VLOOKUP(Tableau13[[#This Row],[Code machine]],'CODE mchn'!$A$4:$C$170,2,0))</f>
        <v>Acier</v>
      </c>
      <c r="D2671" s="296" t="str">
        <f>IF(ISNA(VLOOKUP(Tableau13[[#This Row],[Code machine]],'CODE mchn'!$A$4:$C$170,3,0)),"",VLOOKUP(Tableau13[[#This Row],[Code machine]],'CODE mchn'!$A$4:$C$170,3,0))</f>
        <v>EVG GE12</v>
      </c>
      <c r="E2671" s="297">
        <v>30516</v>
      </c>
      <c r="F2671" s="296"/>
      <c r="G2671" s="298"/>
      <c r="H2671" s="298" t="s">
        <v>4730</v>
      </c>
      <c r="I2671" s="298"/>
      <c r="J2671" s="299" t="s">
        <v>4746</v>
      </c>
      <c r="K2671" s="300">
        <v>45351</v>
      </c>
      <c r="L2671" s="298"/>
      <c r="M2671" s="301">
        <v>60</v>
      </c>
      <c r="N2671" s="301">
        <f>MONTH(Tableau13[[#This Row],[Date fin intervention]])</f>
        <v>2</v>
      </c>
      <c r="O2671" s="301">
        <f>YEAR(Tableau13[[#This Row],[Date fin intervention]])</f>
        <v>2024</v>
      </c>
      <c r="P2671" s="298"/>
    </row>
    <row r="2672" spans="1:16">
      <c r="A2672" s="293">
        <v>45351</v>
      </c>
      <c r="B2672" s="294">
        <v>700</v>
      </c>
      <c r="C2672" s="295" t="str">
        <f>IF(ISNA(VLOOKUP(Tableau13[[#This Row],[Code machine]],'CODE mchn'!$A$4:$C$170,2,0)),"",VLOOKUP(Tableau13[[#This Row],[Code machine]],'CODE mchn'!$A$4:$C$170,2,0))</f>
        <v>Béton</v>
      </c>
      <c r="D2672" s="296" t="str">
        <f>IF(ISNA(VLOOKUP(Tableau13[[#This Row],[Code machine]],'CODE mchn'!$A$4:$C$170,3,0)),"",VLOOKUP(Tableau13[[#This Row],[Code machine]],'CODE mchn'!$A$4:$C$170,3,0))</f>
        <v>Poyatos 1</v>
      </c>
      <c r="E2672" s="297">
        <v>30744</v>
      </c>
      <c r="F2672" s="296"/>
      <c r="G2672" s="298"/>
      <c r="H2672" s="298" t="s">
        <v>4763</v>
      </c>
      <c r="I2672" s="298"/>
      <c r="J2672" s="299" t="s">
        <v>4764</v>
      </c>
      <c r="K2672" s="300">
        <v>45351</v>
      </c>
      <c r="L2672" s="298"/>
      <c r="M2672" s="301">
        <v>60</v>
      </c>
      <c r="N2672" s="301">
        <f>MONTH(Tableau13[[#This Row],[Date fin intervention]])</f>
        <v>2</v>
      </c>
      <c r="O2672" s="301">
        <f>YEAR(Tableau13[[#This Row],[Date fin intervention]])</f>
        <v>2024</v>
      </c>
      <c r="P2672" s="298"/>
    </row>
    <row r="2673" spans="1:16">
      <c r="A2673" s="293">
        <v>45352</v>
      </c>
      <c r="B2673" s="294">
        <v>700</v>
      </c>
      <c r="C2673" s="295" t="str">
        <f>IF(ISNA(VLOOKUP(Tableau13[[#This Row],[Code machine]],'CODE mchn'!$A$4:$C$170,2,0)),"",VLOOKUP(Tableau13[[#This Row],[Code machine]],'CODE mchn'!$A$4:$C$170,2,0))</f>
        <v>Béton</v>
      </c>
      <c r="D2673" s="296" t="str">
        <f>IF(ISNA(VLOOKUP(Tableau13[[#This Row],[Code machine]],'CODE mchn'!$A$4:$C$170,3,0)),"",VLOOKUP(Tableau13[[#This Row],[Code machine]],'CODE mchn'!$A$4:$C$170,3,0))</f>
        <v>Poyatos 1</v>
      </c>
      <c r="E2673" s="297">
        <v>30745</v>
      </c>
      <c r="F2673" s="296"/>
      <c r="G2673" s="298"/>
      <c r="H2673" s="298" t="s">
        <v>4765</v>
      </c>
      <c r="I2673" s="298"/>
      <c r="J2673" s="299" t="s">
        <v>4766</v>
      </c>
      <c r="K2673" s="300">
        <v>45352</v>
      </c>
      <c r="L2673" s="298"/>
      <c r="M2673" s="301">
        <v>180</v>
      </c>
      <c r="N2673" s="301">
        <f>MONTH(Tableau13[[#This Row],[Date fin intervention]])</f>
        <v>3</v>
      </c>
      <c r="O2673" s="301">
        <f>YEAR(Tableau13[[#This Row],[Date fin intervention]])</f>
        <v>2024</v>
      </c>
      <c r="P2673" s="298"/>
    </row>
    <row r="2674" spans="1:16">
      <c r="A2674" s="293">
        <v>45352</v>
      </c>
      <c r="B2674" s="294">
        <v>561</v>
      </c>
      <c r="C2674" s="295" t="str">
        <f>IF(ISNA(VLOOKUP(Tableau13[[#This Row],[Code machine]],'CODE mchn'!$A$4:$C$170,2,0)),"",VLOOKUP(Tableau13[[#This Row],[Code machine]],'CODE mchn'!$A$4:$C$170,2,0))</f>
        <v>Ponts roulants</v>
      </c>
      <c r="D2674" s="296" t="str">
        <f>IF(ISNA(VLOOKUP(Tableau13[[#This Row],[Code machine]],'CODE mchn'!$A$4:$C$170,3,0)),"",VLOOKUP(Tableau13[[#This Row],[Code machine]],'CODE mchn'!$A$4:$C$170,3,0))</f>
        <v>Pont roulant Demag 5T TS</v>
      </c>
      <c r="E2674" s="297">
        <v>30517</v>
      </c>
      <c r="F2674" s="296"/>
      <c r="G2674" s="298"/>
      <c r="H2674" s="298" t="s">
        <v>3450</v>
      </c>
      <c r="I2674" s="298"/>
      <c r="J2674" s="299" t="s">
        <v>4769</v>
      </c>
      <c r="K2674" s="300">
        <v>45352</v>
      </c>
      <c r="L2674" s="298"/>
      <c r="M2674" s="301">
        <v>120</v>
      </c>
      <c r="N2674" s="301">
        <f>MONTH(Tableau13[[#This Row],[Date fin intervention]])</f>
        <v>3</v>
      </c>
      <c r="O2674" s="301">
        <f>YEAR(Tableau13[[#This Row],[Date fin intervention]])</f>
        <v>2024</v>
      </c>
      <c r="P2674" s="298"/>
    </row>
    <row r="2675" spans="1:16">
      <c r="A2675" s="293">
        <v>45353</v>
      </c>
      <c r="B2675" s="294">
        <v>700</v>
      </c>
      <c r="C2675" s="295" t="str">
        <f>IF(ISNA(VLOOKUP(Tableau13[[#This Row],[Code machine]],'CODE mchn'!$A$4:$C$170,2,0)),"",VLOOKUP(Tableau13[[#This Row],[Code machine]],'CODE mchn'!$A$4:$C$170,2,0))</f>
        <v>Béton</v>
      </c>
      <c r="D2675" s="296" t="str">
        <f>IF(ISNA(VLOOKUP(Tableau13[[#This Row],[Code machine]],'CODE mchn'!$A$4:$C$170,3,0)),"",VLOOKUP(Tableau13[[#This Row],[Code machine]],'CODE mchn'!$A$4:$C$170,3,0))</f>
        <v>Poyatos 1</v>
      </c>
      <c r="E2675" s="297">
        <v>30746</v>
      </c>
      <c r="F2675" s="296"/>
      <c r="G2675" s="298"/>
      <c r="H2675" s="298" t="s">
        <v>3450</v>
      </c>
      <c r="I2675" s="298"/>
      <c r="J2675" s="299" t="s">
        <v>4767</v>
      </c>
      <c r="K2675" s="300">
        <v>45353</v>
      </c>
      <c r="L2675" s="298"/>
      <c r="M2675" s="301">
        <v>60</v>
      </c>
      <c r="N2675" s="301">
        <f>MONTH(Tableau13[[#This Row],[Date fin intervention]])</f>
        <v>3</v>
      </c>
      <c r="O2675" s="301">
        <f>YEAR(Tableau13[[#This Row],[Date fin intervention]])</f>
        <v>2024</v>
      </c>
      <c r="P2675" s="298"/>
    </row>
    <row r="2676" spans="1:16">
      <c r="A2676" s="293">
        <v>45353</v>
      </c>
      <c r="B2676" s="294">
        <v>700</v>
      </c>
      <c r="C2676" s="295" t="str">
        <f>IF(ISNA(VLOOKUP(Tableau13[[#This Row],[Code machine]],'CODE mchn'!$A$4:$C$170,2,0)),"",VLOOKUP(Tableau13[[#This Row],[Code machine]],'CODE mchn'!$A$4:$C$170,2,0))</f>
        <v>Béton</v>
      </c>
      <c r="D2676" s="296" t="str">
        <f>IF(ISNA(VLOOKUP(Tableau13[[#This Row],[Code machine]],'CODE mchn'!$A$4:$C$170,3,0)),"",VLOOKUP(Tableau13[[#This Row],[Code machine]],'CODE mchn'!$A$4:$C$170,3,0))</f>
        <v>Poyatos 1</v>
      </c>
      <c r="E2676" s="297">
        <v>30747</v>
      </c>
      <c r="F2676" s="296"/>
      <c r="G2676" s="298"/>
      <c r="H2676" s="298" t="s">
        <v>3450</v>
      </c>
      <c r="I2676" s="298"/>
      <c r="J2676" s="299" t="s">
        <v>4768</v>
      </c>
      <c r="K2676" s="300">
        <v>45353</v>
      </c>
      <c r="L2676" s="298"/>
      <c r="M2676" s="301">
        <v>60</v>
      </c>
      <c r="N2676" s="301">
        <f>MONTH(Tableau13[[#This Row],[Date fin intervention]])</f>
        <v>3</v>
      </c>
      <c r="O2676" s="301">
        <f>YEAR(Tableau13[[#This Row],[Date fin intervention]])</f>
        <v>2024</v>
      </c>
      <c r="P2676" s="298"/>
    </row>
    <row r="2677" spans="1:16">
      <c r="A2677" s="293">
        <v>45353</v>
      </c>
      <c r="B2677" s="294">
        <v>700</v>
      </c>
      <c r="C2677" s="295" t="str">
        <f>IF(ISNA(VLOOKUP(Tableau13[[#This Row],[Code machine]],'CODE mchn'!$A$4:$C$170,2,0)),"",VLOOKUP(Tableau13[[#This Row],[Code machine]],'CODE mchn'!$A$4:$C$170,2,0))</f>
        <v>Béton</v>
      </c>
      <c r="D2677" s="296" t="str">
        <f>IF(ISNA(VLOOKUP(Tableau13[[#This Row],[Code machine]],'CODE mchn'!$A$4:$C$170,3,0)),"",VLOOKUP(Tableau13[[#This Row],[Code machine]],'CODE mchn'!$A$4:$C$170,3,0))</f>
        <v>Poyatos 1</v>
      </c>
      <c r="E2677" s="297">
        <v>30748</v>
      </c>
      <c r="F2677" s="296"/>
      <c r="G2677" s="298"/>
      <c r="H2677" s="298" t="s">
        <v>3450</v>
      </c>
      <c r="I2677" s="298"/>
      <c r="J2677" s="299" t="s">
        <v>4770</v>
      </c>
      <c r="K2677" s="300">
        <v>45353</v>
      </c>
      <c r="L2677" s="298"/>
      <c r="M2677" s="301">
        <v>120</v>
      </c>
      <c r="N2677" s="301">
        <f>MONTH(Tableau13[[#This Row],[Date fin intervention]])</f>
        <v>3</v>
      </c>
      <c r="O2677" s="301">
        <f>YEAR(Tableau13[[#This Row],[Date fin intervention]])</f>
        <v>2024</v>
      </c>
      <c r="P2677" s="298"/>
    </row>
    <row r="2678" spans="1:16">
      <c r="A2678" s="293">
        <v>45353</v>
      </c>
      <c r="B2678" s="294">
        <v>582</v>
      </c>
      <c r="C2678" s="295" t="str">
        <f>IF(ISNA(VLOOKUP(Tableau13[[#This Row],[Code machine]],'CODE mchn'!$A$4:$C$170,2,0)),"",VLOOKUP(Tableau13[[#This Row],[Code machine]],'CODE mchn'!$A$4:$C$170,2,0))</f>
        <v>Acier</v>
      </c>
      <c r="D2678" s="296" t="str">
        <f>IF(ISNA(VLOOKUP(Tableau13[[#This Row],[Code machine]],'CODE mchn'!$A$4:$C$170,3,0)),"",VLOOKUP(Tableau13[[#This Row],[Code machine]],'CODE mchn'!$A$4:$C$170,3,0))</f>
        <v>Teurema 2</v>
      </c>
      <c r="E2678" s="297">
        <v>30518</v>
      </c>
      <c r="F2678" s="296"/>
      <c r="G2678" s="298"/>
      <c r="H2678" s="298" t="s">
        <v>3610</v>
      </c>
      <c r="I2678" s="298"/>
      <c r="J2678" s="299" t="s">
        <v>4771</v>
      </c>
      <c r="K2678" s="300">
        <v>45353</v>
      </c>
      <c r="L2678" s="298"/>
      <c r="M2678" s="301">
        <v>60</v>
      </c>
      <c r="N2678" s="301">
        <f>MONTH(Tableau13[[#This Row],[Date fin intervention]])</f>
        <v>3</v>
      </c>
      <c r="O2678" s="301">
        <f>YEAR(Tableau13[[#This Row],[Date fin intervention]])</f>
        <v>2024</v>
      </c>
      <c r="P2678" s="298"/>
    </row>
    <row r="2679" spans="1:16">
      <c r="A2679" s="302">
        <v>45355</v>
      </c>
      <c r="B2679" s="294">
        <v>700</v>
      </c>
      <c r="C2679" s="295" t="str">
        <f>IF(ISNA(VLOOKUP(Tableau13[[#This Row],[Code machine]],'CODE mchn'!$A$4:$C$170,2,0)),"",VLOOKUP(Tableau13[[#This Row],[Code machine]],'CODE mchn'!$A$4:$C$170,2,0))</f>
        <v>Béton</v>
      </c>
      <c r="D2679" s="296" t="str">
        <f>IF(ISNA(VLOOKUP(Tableau13[[#This Row],[Code machine]],'CODE mchn'!$A$4:$C$170,3,0)),"",VLOOKUP(Tableau13[[#This Row],[Code machine]],'CODE mchn'!$A$4:$C$170,3,0))</f>
        <v>Poyatos 1</v>
      </c>
      <c r="E2679" s="297">
        <v>30749</v>
      </c>
      <c r="F2679" s="296"/>
      <c r="G2679" s="298"/>
      <c r="H2679" s="298" t="s">
        <v>4772</v>
      </c>
      <c r="I2679" s="298"/>
      <c r="J2679" s="299" t="s">
        <v>4773</v>
      </c>
      <c r="K2679" s="300">
        <v>45355</v>
      </c>
      <c r="L2679" s="298"/>
      <c r="M2679" s="301">
        <v>180</v>
      </c>
      <c r="N2679" s="301">
        <f>MONTH(Tableau13[[#This Row],[Date fin intervention]])</f>
        <v>3</v>
      </c>
      <c r="O2679" s="301">
        <f>YEAR(Tableau13[[#This Row],[Date fin intervention]])</f>
        <v>2024</v>
      </c>
      <c r="P2679" s="298"/>
    </row>
    <row r="2680" spans="1:16">
      <c r="A2680" s="293">
        <v>45355</v>
      </c>
      <c r="B2680" s="294">
        <v>601</v>
      </c>
      <c r="C2680" s="295" t="str">
        <f>IF(ISNA(VLOOKUP(Tableau13[[#This Row],[Code machine]],'CODE mchn'!$A$4:$C$170,2,0)),"",VLOOKUP(Tableau13[[#This Row],[Code machine]],'CODE mchn'!$A$4:$C$170,2,0))</f>
        <v>Acier</v>
      </c>
      <c r="D2680" s="296" t="str">
        <f>IF(ISNA(VLOOKUP(Tableau13[[#This Row],[Code machine]],'CODE mchn'!$A$4:$C$170,3,0)),"",VLOOKUP(Tableau13[[#This Row],[Code machine]],'CODE mchn'!$A$4:$C$170,3,0))</f>
        <v>TI 9505/9</v>
      </c>
      <c r="E2680" s="297">
        <v>30519</v>
      </c>
      <c r="F2680" s="296"/>
      <c r="G2680" s="298"/>
      <c r="H2680" s="298" t="s">
        <v>4747</v>
      </c>
      <c r="I2680" s="298"/>
      <c r="J2680" s="299" t="s">
        <v>4774</v>
      </c>
      <c r="K2680" s="300">
        <v>45355</v>
      </c>
      <c r="L2680" s="298"/>
      <c r="M2680" s="301">
        <v>60</v>
      </c>
      <c r="N2680" s="301">
        <f>MONTH(Tableau13[[#This Row],[Date fin intervention]])</f>
        <v>3</v>
      </c>
      <c r="O2680" s="301">
        <f>YEAR(Tableau13[[#This Row],[Date fin intervention]])</f>
        <v>2024</v>
      </c>
      <c r="P2680" s="298"/>
    </row>
    <row r="2681" spans="1:16">
      <c r="A2681" s="293">
        <v>45355</v>
      </c>
      <c r="B2681" s="294">
        <v>581</v>
      </c>
      <c r="C2681" s="295" t="str">
        <f>IF(ISNA(VLOOKUP(Tableau13[[#This Row],[Code machine]],'CODE mchn'!$A$4:$C$170,2,0)),"",VLOOKUP(Tableau13[[#This Row],[Code machine]],'CODE mchn'!$A$4:$C$170,2,0))</f>
        <v>Acier</v>
      </c>
      <c r="D2681" s="296" t="str">
        <f>IF(ISNA(VLOOKUP(Tableau13[[#This Row],[Code machine]],'CODE mchn'!$A$4:$C$170,3,0)),"",VLOOKUP(Tableau13[[#This Row],[Code machine]],'CODE mchn'!$A$4:$C$170,3,0))</f>
        <v>Teurema 1</v>
      </c>
      <c r="E2681" s="297">
        <v>30520</v>
      </c>
      <c r="F2681" s="296"/>
      <c r="G2681" s="298"/>
      <c r="H2681" s="298" t="s">
        <v>3450</v>
      </c>
      <c r="I2681" s="298"/>
      <c r="J2681" s="299" t="s">
        <v>4775</v>
      </c>
      <c r="K2681" s="300">
        <v>45355</v>
      </c>
      <c r="L2681" s="298"/>
      <c r="M2681" s="301">
        <v>60</v>
      </c>
      <c r="N2681" s="301">
        <f>MONTH(Tableau13[[#This Row],[Date fin intervention]])</f>
        <v>3</v>
      </c>
      <c r="O2681" s="301">
        <f>YEAR(Tableau13[[#This Row],[Date fin intervention]])</f>
        <v>2024</v>
      </c>
      <c r="P2681" s="298"/>
    </row>
    <row r="2682" spans="1:16">
      <c r="A2682" s="293">
        <v>45355</v>
      </c>
      <c r="B2682" s="294">
        <v>606</v>
      </c>
      <c r="C2682" s="295" t="str">
        <f>IF(ISNA(VLOOKUP(Tableau13[[#This Row],[Code machine]],'CODE mchn'!$A$4:$C$170,2,0)),"",VLOOKUP(Tableau13[[#This Row],[Code machine]],'CODE mchn'!$A$4:$C$170,2,0))</f>
        <v>Acier</v>
      </c>
      <c r="D2682" s="296" t="str">
        <f>IF(ISNA(VLOOKUP(Tableau13[[#This Row],[Code machine]],'CODE mchn'!$A$4:$C$170,3,0)),"",VLOOKUP(Tableau13[[#This Row],[Code machine]],'CODE mchn'!$A$4:$C$170,3,0))</f>
        <v>Vitari 2</v>
      </c>
      <c r="E2682" s="297">
        <v>30521</v>
      </c>
      <c r="F2682" s="296"/>
      <c r="G2682" s="298"/>
      <c r="H2682" s="298" t="s">
        <v>3450</v>
      </c>
      <c r="I2682" s="298"/>
      <c r="J2682" s="299" t="s">
        <v>4776</v>
      </c>
      <c r="K2682" s="300">
        <v>45355</v>
      </c>
      <c r="L2682" s="298"/>
      <c r="M2682" s="301">
        <v>180</v>
      </c>
      <c r="N2682" s="301">
        <f>MONTH(Tableau13[[#This Row],[Date fin intervention]])</f>
        <v>3</v>
      </c>
      <c r="O2682" s="301">
        <f>YEAR(Tableau13[[#This Row],[Date fin intervention]])</f>
        <v>2024</v>
      </c>
      <c r="P2682" s="298"/>
    </row>
    <row r="2683" spans="1:16">
      <c r="A2683" s="293">
        <v>45356</v>
      </c>
      <c r="B2683" s="294">
        <v>571</v>
      </c>
      <c r="C2683" s="295" t="str">
        <f>IF(ISNA(VLOOKUP(Tableau13[[#This Row],[Code machine]],'CODE mchn'!$A$4:$C$170,2,0)),"",VLOOKUP(Tableau13[[#This Row],[Code machine]],'CODE mchn'!$A$4:$C$170,2,0))</f>
        <v>Acier</v>
      </c>
      <c r="D2683" s="296" t="str">
        <f>IF(ISNA(VLOOKUP(Tableau13[[#This Row],[Code machine]],'CODE mchn'!$A$4:$C$170,3,0)),"",VLOOKUP(Tableau13[[#This Row],[Code machine]],'CODE mchn'!$A$4:$C$170,3,0))</f>
        <v>EVG PN 1</v>
      </c>
      <c r="E2683" s="297">
        <v>30522</v>
      </c>
      <c r="F2683" s="296"/>
      <c r="G2683" s="298"/>
      <c r="H2683" s="298" t="s">
        <v>4719</v>
      </c>
      <c r="I2683" s="298"/>
      <c r="J2683" s="299" t="s">
        <v>4777</v>
      </c>
      <c r="K2683" s="300">
        <v>45356</v>
      </c>
      <c r="L2683" s="298"/>
      <c r="M2683" s="301">
        <v>60</v>
      </c>
      <c r="N2683" s="301">
        <f>MONTH(Tableau13[[#This Row],[Date fin intervention]])</f>
        <v>3</v>
      </c>
      <c r="O2683" s="301">
        <f>YEAR(Tableau13[[#This Row],[Date fin intervention]])</f>
        <v>2024</v>
      </c>
      <c r="P2683" s="298"/>
    </row>
    <row r="2684" spans="1:16">
      <c r="A2684" s="293">
        <v>45357</v>
      </c>
      <c r="B2684" s="294">
        <v>581</v>
      </c>
      <c r="C2684" s="295" t="str">
        <f>IF(ISNA(VLOOKUP(Tableau13[[#This Row],[Code machine]],'CODE mchn'!$A$4:$C$170,2,0)),"",VLOOKUP(Tableau13[[#This Row],[Code machine]],'CODE mchn'!$A$4:$C$170,2,0))</f>
        <v>Acier</v>
      </c>
      <c r="D2684" s="296" t="str">
        <f>IF(ISNA(VLOOKUP(Tableau13[[#This Row],[Code machine]],'CODE mchn'!$A$4:$C$170,3,0)),"",VLOOKUP(Tableau13[[#This Row],[Code machine]],'CODE mchn'!$A$4:$C$170,3,0))</f>
        <v>Teurema 1</v>
      </c>
      <c r="E2684" s="297">
        <v>30523</v>
      </c>
      <c r="F2684" s="296"/>
      <c r="G2684" s="298"/>
      <c r="H2684" s="298" t="s">
        <v>4616</v>
      </c>
      <c r="I2684" s="298"/>
      <c r="J2684" s="299" t="s">
        <v>4778</v>
      </c>
      <c r="K2684" s="300">
        <v>45357</v>
      </c>
      <c r="L2684" s="298"/>
      <c r="M2684" s="301">
        <v>120</v>
      </c>
      <c r="N2684" s="301">
        <f>MONTH(Tableau13[[#This Row],[Date fin intervention]])</f>
        <v>3</v>
      </c>
      <c r="O2684" s="301">
        <f>YEAR(Tableau13[[#This Row],[Date fin intervention]])</f>
        <v>2024</v>
      </c>
      <c r="P2684" s="298"/>
    </row>
    <row r="2685" spans="1:16">
      <c r="A2685" s="293">
        <v>45357</v>
      </c>
      <c r="B2685" s="294">
        <v>560</v>
      </c>
      <c r="C2685" s="295" t="str">
        <f>IF(ISNA(VLOOKUP(Tableau13[[#This Row],[Code machine]],'CODE mchn'!$A$4:$C$170,2,0)),"",VLOOKUP(Tableau13[[#This Row],[Code machine]],'CODE mchn'!$A$4:$C$170,2,0))</f>
        <v>Acier</v>
      </c>
      <c r="D2685" s="296" t="str">
        <f>IF(ISNA(VLOOKUP(Tableau13[[#This Row],[Code machine]],'CODE mchn'!$A$4:$C$170,3,0)),"",VLOOKUP(Tableau13[[#This Row],[Code machine]],'CODE mchn'!$A$4:$C$170,3,0))</f>
        <v>Schlatter</v>
      </c>
      <c r="E2685" s="297">
        <v>30524</v>
      </c>
      <c r="F2685" s="296"/>
      <c r="G2685" s="298"/>
      <c r="H2685" s="298" t="s">
        <v>4719</v>
      </c>
      <c r="I2685" s="298"/>
      <c r="J2685" s="299" t="s">
        <v>4779</v>
      </c>
      <c r="K2685" s="300">
        <v>45357</v>
      </c>
      <c r="L2685" s="298"/>
      <c r="M2685" s="301">
        <v>60</v>
      </c>
      <c r="N2685" s="301">
        <f>MONTH(Tableau13[[#This Row],[Date fin intervention]])</f>
        <v>3</v>
      </c>
      <c r="O2685" s="301">
        <f>YEAR(Tableau13[[#This Row],[Date fin intervention]])</f>
        <v>2024</v>
      </c>
      <c r="P2685" s="298"/>
    </row>
    <row r="2686" spans="1:16">
      <c r="A2686" s="293">
        <v>45358</v>
      </c>
      <c r="B2686" s="294">
        <v>571</v>
      </c>
      <c r="C2686" s="295" t="str">
        <f>IF(ISNA(VLOOKUP(Tableau13[[#This Row],[Code machine]],'CODE mchn'!$A$4:$C$170,2,0)),"",VLOOKUP(Tableau13[[#This Row],[Code machine]],'CODE mchn'!$A$4:$C$170,2,0))</f>
        <v>Acier</v>
      </c>
      <c r="D2686" s="296" t="str">
        <f>IF(ISNA(VLOOKUP(Tableau13[[#This Row],[Code machine]],'CODE mchn'!$A$4:$C$170,3,0)),"",VLOOKUP(Tableau13[[#This Row],[Code machine]],'CODE mchn'!$A$4:$C$170,3,0))</f>
        <v>EVG PN 1</v>
      </c>
      <c r="E2686" s="297">
        <v>30525</v>
      </c>
      <c r="F2686" s="296"/>
      <c r="G2686" s="298"/>
      <c r="H2686" s="298" t="s">
        <v>4719</v>
      </c>
      <c r="I2686" s="298"/>
      <c r="J2686" s="299" t="s">
        <v>4780</v>
      </c>
      <c r="K2686" s="300">
        <v>45358</v>
      </c>
      <c r="L2686" s="298"/>
      <c r="M2686" s="301">
        <v>60</v>
      </c>
      <c r="N2686" s="301">
        <f>MONTH(Tableau13[[#This Row],[Date fin intervention]])</f>
        <v>3</v>
      </c>
      <c r="O2686" s="301">
        <f>YEAR(Tableau13[[#This Row],[Date fin intervention]])</f>
        <v>2024</v>
      </c>
      <c r="P2686" s="298"/>
    </row>
    <row r="2687" spans="1:16">
      <c r="A2687" s="293">
        <v>45358</v>
      </c>
      <c r="B2687" s="294">
        <v>582</v>
      </c>
      <c r="C2687" s="295" t="str">
        <f>IF(ISNA(VLOOKUP(Tableau13[[#This Row],[Code machine]],'CODE mchn'!$A$4:$C$170,2,0)),"",VLOOKUP(Tableau13[[#This Row],[Code machine]],'CODE mchn'!$A$4:$C$170,2,0))</f>
        <v>Acier</v>
      </c>
      <c r="D2687" s="296" t="str">
        <f>IF(ISNA(VLOOKUP(Tableau13[[#This Row],[Code machine]],'CODE mchn'!$A$4:$C$170,3,0)),"",VLOOKUP(Tableau13[[#This Row],[Code machine]],'CODE mchn'!$A$4:$C$170,3,0))</f>
        <v>Teurema 2</v>
      </c>
      <c r="E2687" s="297">
        <v>30526</v>
      </c>
      <c r="F2687" s="296"/>
      <c r="G2687" s="298"/>
      <c r="H2687" s="298" t="s">
        <v>3610</v>
      </c>
      <c r="I2687" s="298"/>
      <c r="J2687" s="299" t="s">
        <v>4781</v>
      </c>
      <c r="K2687" s="300">
        <v>45358</v>
      </c>
      <c r="L2687" s="298"/>
      <c r="M2687" s="301">
        <v>120</v>
      </c>
      <c r="N2687" s="301">
        <f>MONTH(Tableau13[[#This Row],[Date fin intervention]])</f>
        <v>3</v>
      </c>
      <c r="O2687" s="301">
        <f>YEAR(Tableau13[[#This Row],[Date fin intervention]])</f>
        <v>2024</v>
      </c>
      <c r="P2687" s="298"/>
    </row>
    <row r="2688" spans="1:16">
      <c r="A2688" s="293">
        <v>45359</v>
      </c>
      <c r="B2688" s="294">
        <v>620</v>
      </c>
      <c r="C2688" s="295" t="str">
        <f>IF(ISNA(VLOOKUP(Tableau13[[#This Row],[Code machine]],'CODE mchn'!$A$4:$C$170,2,0)),"",VLOOKUP(Tableau13[[#This Row],[Code machine]],'CODE mchn'!$A$4:$C$170,2,0))</f>
        <v>Acier</v>
      </c>
      <c r="D2688" s="296" t="str">
        <f>IF(ISNA(VLOOKUP(Tableau13[[#This Row],[Code machine]],'CODE mchn'!$A$4:$C$170,3,0)),"",VLOOKUP(Tableau13[[#This Row],[Code machine]],'CODE mchn'!$A$4:$C$170,3,0))</f>
        <v>EVG PN 2</v>
      </c>
      <c r="E2688" s="297">
        <v>30527</v>
      </c>
      <c r="F2688" s="296"/>
      <c r="G2688" s="298"/>
      <c r="H2688" s="298" t="s">
        <v>3610</v>
      </c>
      <c r="I2688" s="298"/>
      <c r="J2688" s="299" t="s">
        <v>4736</v>
      </c>
      <c r="K2688" s="300">
        <v>45359</v>
      </c>
      <c r="L2688" s="298"/>
      <c r="M2688" s="301">
        <v>60</v>
      </c>
      <c r="N2688" s="301">
        <f>MONTH(Tableau13[[#This Row],[Date fin intervention]])</f>
        <v>3</v>
      </c>
      <c r="O2688" s="301">
        <f>YEAR(Tableau13[[#This Row],[Date fin intervention]])</f>
        <v>2024</v>
      </c>
      <c r="P2688" s="298"/>
    </row>
    <row r="2689" spans="1:16">
      <c r="A2689" s="293">
        <v>45359</v>
      </c>
      <c r="B2689" s="294">
        <v>582</v>
      </c>
      <c r="C2689" s="295" t="str">
        <f>IF(ISNA(VLOOKUP(Tableau13[[#This Row],[Code machine]],'CODE mchn'!$A$4:$C$170,2,0)),"",VLOOKUP(Tableau13[[#This Row],[Code machine]],'CODE mchn'!$A$4:$C$170,2,0))</f>
        <v>Acier</v>
      </c>
      <c r="D2689" s="296" t="str">
        <f>IF(ISNA(VLOOKUP(Tableau13[[#This Row],[Code machine]],'CODE mchn'!$A$4:$C$170,3,0)),"",VLOOKUP(Tableau13[[#This Row],[Code machine]],'CODE mchn'!$A$4:$C$170,3,0))</f>
        <v>Teurema 2</v>
      </c>
      <c r="E2689" s="297">
        <v>30528</v>
      </c>
      <c r="F2689" s="296"/>
      <c r="G2689" s="298"/>
      <c r="H2689" s="298" t="s">
        <v>4785</v>
      </c>
      <c r="I2689" s="298"/>
      <c r="J2689" s="299" t="s">
        <v>4786</v>
      </c>
      <c r="K2689" s="300">
        <v>45359</v>
      </c>
      <c r="L2689" s="298"/>
      <c r="M2689" s="301">
        <v>60</v>
      </c>
      <c r="N2689" s="301">
        <f>MONTH(Tableau13[[#This Row],[Date fin intervention]])</f>
        <v>3</v>
      </c>
      <c r="O2689" s="301">
        <f>YEAR(Tableau13[[#This Row],[Date fin intervention]])</f>
        <v>2024</v>
      </c>
      <c r="P2689" s="298"/>
    </row>
    <row r="2690" spans="1:16">
      <c r="A2690" s="293">
        <v>45359</v>
      </c>
      <c r="B2690" s="294">
        <v>581</v>
      </c>
      <c r="C2690" s="295" t="str">
        <f>IF(ISNA(VLOOKUP(Tableau13[[#This Row],[Code machine]],'CODE mchn'!$A$4:$C$170,2,0)),"",VLOOKUP(Tableau13[[#This Row],[Code machine]],'CODE mchn'!$A$4:$C$170,2,0))</f>
        <v>Acier</v>
      </c>
      <c r="D2690" s="296" t="str">
        <f>IF(ISNA(VLOOKUP(Tableau13[[#This Row],[Code machine]],'CODE mchn'!$A$4:$C$170,3,0)),"",VLOOKUP(Tableau13[[#This Row],[Code machine]],'CODE mchn'!$A$4:$C$170,3,0))</f>
        <v>Teurema 1</v>
      </c>
      <c r="E2690" s="297">
        <v>30529</v>
      </c>
      <c r="F2690" s="296"/>
      <c r="G2690" s="298"/>
      <c r="H2690" s="298" t="s">
        <v>4787</v>
      </c>
      <c r="I2690" s="298"/>
      <c r="J2690" s="299" t="s">
        <v>4788</v>
      </c>
      <c r="K2690" s="300">
        <v>45359</v>
      </c>
      <c r="L2690" s="298"/>
      <c r="M2690" s="301">
        <v>240</v>
      </c>
      <c r="N2690" s="301">
        <f>MONTH(Tableau13[[#This Row],[Date fin intervention]])</f>
        <v>3</v>
      </c>
      <c r="O2690" s="301">
        <f>YEAR(Tableau13[[#This Row],[Date fin intervention]])</f>
        <v>2024</v>
      </c>
      <c r="P2690" s="298"/>
    </row>
    <row r="2691" spans="1:16">
      <c r="A2691" s="293">
        <v>45359</v>
      </c>
      <c r="B2691" s="294">
        <v>800</v>
      </c>
      <c r="C2691" s="295" t="str">
        <f>IF(ISNA(VLOOKUP(Tableau13[[#This Row],[Code machine]],'CODE mchn'!$A$4:$C$170,2,0)),"",VLOOKUP(Tableau13[[#This Row],[Code machine]],'CODE mchn'!$A$4:$C$170,2,0))</f>
        <v>Béton</v>
      </c>
      <c r="D2691" s="296" t="str">
        <f>IF(ISNA(VLOOKUP(Tableau13[[#This Row],[Code machine]],'CODE mchn'!$A$4:$C$170,3,0)),"",VLOOKUP(Tableau13[[#This Row],[Code machine]],'CODE mchn'!$A$4:$C$170,3,0))</f>
        <v>Poyatos 2</v>
      </c>
      <c r="E2691" s="297">
        <v>30551</v>
      </c>
      <c r="F2691" s="296"/>
      <c r="G2691" s="298"/>
      <c r="H2691" s="298" t="s">
        <v>3540</v>
      </c>
      <c r="I2691" s="298"/>
      <c r="J2691" s="299" t="s">
        <v>4784</v>
      </c>
      <c r="K2691" s="300">
        <v>45359</v>
      </c>
      <c r="L2691" s="298"/>
      <c r="M2691" s="301">
        <v>120</v>
      </c>
      <c r="N2691" s="301">
        <f>MONTH(Tableau13[[#This Row],[Date fin intervention]])</f>
        <v>3</v>
      </c>
      <c r="O2691" s="301">
        <f>YEAR(Tableau13[[#This Row],[Date fin intervention]])</f>
        <v>2024</v>
      </c>
      <c r="P2691" s="298"/>
    </row>
    <row r="2692" spans="1:16">
      <c r="A2692" s="293">
        <v>45360</v>
      </c>
      <c r="B2692" s="294">
        <v>700</v>
      </c>
      <c r="C2692" s="295" t="str">
        <f>IF(ISNA(VLOOKUP(Tableau13[[#This Row],[Code machine]],'CODE mchn'!$A$4:$C$170,2,0)),"",VLOOKUP(Tableau13[[#This Row],[Code machine]],'CODE mchn'!$A$4:$C$170,2,0))</f>
        <v>Béton</v>
      </c>
      <c r="D2692" s="296" t="str">
        <f>IF(ISNA(VLOOKUP(Tableau13[[#This Row],[Code machine]],'CODE mchn'!$A$4:$C$170,3,0)),"",VLOOKUP(Tableau13[[#This Row],[Code machine]],'CODE mchn'!$A$4:$C$170,3,0))</f>
        <v>Poyatos 1</v>
      </c>
      <c r="E2692" s="297">
        <v>30552</v>
      </c>
      <c r="F2692" s="296"/>
      <c r="G2692" s="298"/>
      <c r="H2692" s="298" t="s">
        <v>3450</v>
      </c>
      <c r="I2692" s="298"/>
      <c r="J2692" s="299" t="s">
        <v>4750</v>
      </c>
      <c r="K2692" s="300">
        <v>45359</v>
      </c>
      <c r="L2692" s="298"/>
      <c r="M2692" s="301">
        <v>60</v>
      </c>
      <c r="N2692" s="301">
        <f>MONTH(Tableau13[[#This Row],[Date fin intervention]])</f>
        <v>3</v>
      </c>
      <c r="O2692" s="301">
        <f>YEAR(Tableau13[[#This Row],[Date fin intervention]])</f>
        <v>2024</v>
      </c>
      <c r="P2692" s="298"/>
    </row>
    <row r="2693" spans="1:16">
      <c r="A2693" s="293">
        <v>45360</v>
      </c>
      <c r="B2693" s="294">
        <v>607</v>
      </c>
      <c r="C2693" s="295" t="str">
        <f>IF(ISNA(VLOOKUP(Tableau13[[#This Row],[Code machine]],'CODE mchn'!$A$4:$C$170,2,0)),"",VLOOKUP(Tableau13[[#This Row],[Code machine]],'CODE mchn'!$A$4:$C$170,2,0))</f>
        <v>Acier</v>
      </c>
      <c r="D2693" s="296" t="str">
        <f>IF(ISNA(VLOOKUP(Tableau13[[#This Row],[Code machine]],'CODE mchn'!$A$4:$C$170,3,0)),"",VLOOKUP(Tableau13[[#This Row],[Code machine]],'CODE mchn'!$A$4:$C$170,3,0))</f>
        <v>Vitari 3</v>
      </c>
      <c r="E2693" s="297">
        <v>30530</v>
      </c>
      <c r="F2693" s="296"/>
      <c r="G2693" s="298"/>
      <c r="H2693" s="298" t="s">
        <v>3610</v>
      </c>
      <c r="I2693" s="298"/>
      <c r="J2693" s="299" t="s">
        <v>4789</v>
      </c>
      <c r="K2693" s="300">
        <v>45360</v>
      </c>
      <c r="L2693" s="298"/>
      <c r="M2693" s="301">
        <v>60</v>
      </c>
      <c r="N2693" s="301">
        <f>MONTH(Tableau13[[#This Row],[Date fin intervention]])</f>
        <v>3</v>
      </c>
      <c r="O2693" s="301">
        <f>YEAR(Tableau13[[#This Row],[Date fin intervention]])</f>
        <v>2024</v>
      </c>
      <c r="P2693" s="298"/>
    </row>
    <row r="2694" spans="1:16">
      <c r="A2694" s="293">
        <v>45362</v>
      </c>
      <c r="B2694" s="294">
        <v>700</v>
      </c>
      <c r="C2694" s="295" t="str">
        <f>IF(ISNA(VLOOKUP(Tableau13[[#This Row],[Code machine]],'CODE mchn'!$A$4:$C$170,2,0)),"",VLOOKUP(Tableau13[[#This Row],[Code machine]],'CODE mchn'!$A$4:$C$170,2,0))</f>
        <v>Béton</v>
      </c>
      <c r="D2694" s="296" t="str">
        <f>IF(ISNA(VLOOKUP(Tableau13[[#This Row],[Code machine]],'CODE mchn'!$A$4:$C$170,3,0)),"",VLOOKUP(Tableau13[[#This Row],[Code machine]],'CODE mchn'!$A$4:$C$170,3,0))</f>
        <v>Poyatos 1</v>
      </c>
      <c r="E2694" s="297">
        <v>30553</v>
      </c>
      <c r="F2694" s="296"/>
      <c r="G2694" s="298"/>
      <c r="H2694" s="298" t="s">
        <v>4763</v>
      </c>
      <c r="I2694" s="298"/>
      <c r="J2694" s="299" t="s">
        <v>4796</v>
      </c>
      <c r="K2694" s="300">
        <v>45362</v>
      </c>
      <c r="L2694" s="298"/>
      <c r="M2694" s="301">
        <v>60</v>
      </c>
      <c r="N2694" s="301">
        <f>MONTH(Tableau13[[#This Row],[Date fin intervention]])</f>
        <v>3</v>
      </c>
      <c r="O2694" s="301">
        <f>YEAR(Tableau13[[#This Row],[Date fin intervention]])</f>
        <v>2024</v>
      </c>
      <c r="P2694" s="298"/>
    </row>
    <row r="2695" spans="1:16">
      <c r="A2695" s="293">
        <v>45362</v>
      </c>
      <c r="B2695" s="294">
        <v>605</v>
      </c>
      <c r="C2695" s="295" t="str">
        <f>IF(ISNA(VLOOKUP(Tableau13[[#This Row],[Code machine]],'CODE mchn'!$A$4:$C$170,2,0)),"",VLOOKUP(Tableau13[[#This Row],[Code machine]],'CODE mchn'!$A$4:$C$170,2,0))</f>
        <v>Acier</v>
      </c>
      <c r="D2695" s="296" t="str">
        <f>IF(ISNA(VLOOKUP(Tableau13[[#This Row],[Code machine]],'CODE mchn'!$A$4:$C$170,3,0)),"",VLOOKUP(Tableau13[[#This Row],[Code machine]],'CODE mchn'!$A$4:$C$170,3,0))</f>
        <v>Vitari 1</v>
      </c>
      <c r="E2695" s="297">
        <v>30531</v>
      </c>
      <c r="F2695" s="296"/>
      <c r="G2695" s="298"/>
      <c r="H2695" s="298" t="s">
        <v>4747</v>
      </c>
      <c r="I2695" s="298"/>
      <c r="J2695" s="299" t="s">
        <v>4790</v>
      </c>
      <c r="K2695" s="300">
        <v>45362</v>
      </c>
      <c r="L2695" s="298"/>
      <c r="M2695" s="301">
        <v>240</v>
      </c>
      <c r="N2695" s="301">
        <f>MONTH(Tableau13[[#This Row],[Date fin intervention]])</f>
        <v>3</v>
      </c>
      <c r="O2695" s="301">
        <f>YEAR(Tableau13[[#This Row],[Date fin intervention]])</f>
        <v>2024</v>
      </c>
      <c r="P2695" s="298"/>
    </row>
    <row r="2696" spans="1:16">
      <c r="A2696" s="293">
        <v>45363</v>
      </c>
      <c r="B2696" s="294">
        <v>582</v>
      </c>
      <c r="C2696" s="295" t="str">
        <f>IF(ISNA(VLOOKUP(Tableau13[[#This Row],[Code machine]],'CODE mchn'!$A$4:$C$170,2,0)),"",VLOOKUP(Tableau13[[#This Row],[Code machine]],'CODE mchn'!$A$4:$C$170,2,0))</f>
        <v>Acier</v>
      </c>
      <c r="D2696" s="296" t="str">
        <f>IF(ISNA(VLOOKUP(Tableau13[[#This Row],[Code machine]],'CODE mchn'!$A$4:$C$170,3,0)),"",VLOOKUP(Tableau13[[#This Row],[Code machine]],'CODE mchn'!$A$4:$C$170,3,0))</f>
        <v>Teurema 2</v>
      </c>
      <c r="E2696" s="297">
        <v>30532</v>
      </c>
      <c r="F2696" s="296"/>
      <c r="G2696" s="298"/>
      <c r="H2696" s="298" t="s">
        <v>4791</v>
      </c>
      <c r="I2696" s="298"/>
      <c r="J2696" s="299" t="s">
        <v>4695</v>
      </c>
      <c r="K2696" s="300">
        <v>45363</v>
      </c>
      <c r="L2696" s="298"/>
      <c r="M2696" s="301">
        <v>60</v>
      </c>
      <c r="N2696" s="301">
        <f>MONTH(Tableau13[[#This Row],[Date fin intervention]])</f>
        <v>3</v>
      </c>
      <c r="O2696" s="301">
        <f>YEAR(Tableau13[[#This Row],[Date fin intervention]])</f>
        <v>2024</v>
      </c>
      <c r="P2696" s="298"/>
    </row>
    <row r="2697" spans="1:16">
      <c r="A2697" s="293">
        <v>45363</v>
      </c>
      <c r="B2697" s="294">
        <v>565</v>
      </c>
      <c r="C2697" s="295" t="str">
        <f>IF(ISNA(VLOOKUP(Tableau13[[#This Row],[Code machine]],'CODE mchn'!$A$4:$C$170,2,0)),"",VLOOKUP(Tableau13[[#This Row],[Code machine]],'CODE mchn'!$A$4:$C$170,2,0))</f>
        <v>Acier</v>
      </c>
      <c r="D2697" s="296" t="str">
        <f>IF(ISNA(VLOOKUP(Tableau13[[#This Row],[Code machine]],'CODE mchn'!$A$4:$C$170,3,0)),"",VLOOKUP(Tableau13[[#This Row],[Code machine]],'CODE mchn'!$A$4:$C$170,3,0))</f>
        <v>EVG GE12</v>
      </c>
      <c r="E2697" s="297">
        <v>30533</v>
      </c>
      <c r="F2697" s="296"/>
      <c r="G2697" s="298"/>
      <c r="H2697" s="298" t="s">
        <v>4792</v>
      </c>
      <c r="I2697" s="298"/>
      <c r="J2697" s="299" t="s">
        <v>4793</v>
      </c>
      <c r="K2697" s="300">
        <v>45363</v>
      </c>
      <c r="L2697" s="298"/>
      <c r="M2697" s="301">
        <v>30</v>
      </c>
      <c r="N2697" s="301">
        <f>MONTH(Tableau13[[#This Row],[Date fin intervention]])</f>
        <v>3</v>
      </c>
      <c r="O2697" s="301">
        <f>YEAR(Tableau13[[#This Row],[Date fin intervention]])</f>
        <v>2024</v>
      </c>
      <c r="P2697" s="298"/>
    </row>
    <row r="2698" spans="1:16">
      <c r="A2698" s="293">
        <v>45364</v>
      </c>
      <c r="B2698" s="294">
        <v>606</v>
      </c>
      <c r="C2698" s="295" t="str">
        <f>IF(ISNA(VLOOKUP(Tableau13[[#This Row],[Code machine]],'CODE mchn'!$A$4:$C$170,2,0)),"",VLOOKUP(Tableau13[[#This Row],[Code machine]],'CODE mchn'!$A$4:$C$170,2,0))</f>
        <v>Acier</v>
      </c>
      <c r="D2698" s="296" t="str">
        <f>IF(ISNA(VLOOKUP(Tableau13[[#This Row],[Code machine]],'CODE mchn'!$A$4:$C$170,3,0)),"",VLOOKUP(Tableau13[[#This Row],[Code machine]],'CODE mchn'!$A$4:$C$170,3,0))</f>
        <v>Vitari 2</v>
      </c>
      <c r="E2698" s="297">
        <v>30534</v>
      </c>
      <c r="F2698" s="296"/>
      <c r="G2698" s="298"/>
      <c r="H2698" s="298" t="s">
        <v>4614</v>
      </c>
      <c r="I2698" s="298"/>
      <c r="J2698" s="299" t="s">
        <v>4794</v>
      </c>
      <c r="K2698" s="300">
        <v>45364</v>
      </c>
      <c r="L2698" s="298"/>
      <c r="M2698" s="301">
        <v>60</v>
      </c>
      <c r="N2698" s="301">
        <f>MONTH(Tableau13[[#This Row],[Date fin intervention]])</f>
        <v>3</v>
      </c>
      <c r="O2698" s="301">
        <f>YEAR(Tableau13[[#This Row],[Date fin intervention]])</f>
        <v>2024</v>
      </c>
      <c r="P2698" s="298"/>
    </row>
    <row r="2699" spans="1:16">
      <c r="A2699" s="293">
        <v>45364</v>
      </c>
      <c r="B2699" s="294">
        <v>580</v>
      </c>
      <c r="C2699" s="295" t="str">
        <f>IF(ISNA(VLOOKUP(Tableau13[[#This Row],[Code machine]],'CODE mchn'!$A$4:$C$170,2,0)),"",VLOOKUP(Tableau13[[#This Row],[Code machine]],'CODE mchn'!$A$4:$C$170,2,0))</f>
        <v>Acier</v>
      </c>
      <c r="D2699" s="296" t="str">
        <f>IF(ISNA(VLOOKUP(Tableau13[[#This Row],[Code machine]],'CODE mchn'!$A$4:$C$170,3,0)),"",VLOOKUP(Tableau13[[#This Row],[Code machine]],'CODE mchn'!$A$4:$C$170,3,0))</f>
        <v>Techno Impiante</v>
      </c>
      <c r="E2699" s="297">
        <v>30535</v>
      </c>
      <c r="F2699" s="296"/>
      <c r="G2699" s="298"/>
      <c r="H2699" s="298" t="s">
        <v>3610</v>
      </c>
      <c r="I2699" s="298"/>
      <c r="J2699" s="299" t="s">
        <v>4795</v>
      </c>
      <c r="K2699" s="300">
        <v>45364</v>
      </c>
      <c r="L2699" s="298"/>
      <c r="M2699" s="301">
        <v>60</v>
      </c>
      <c r="N2699" s="301">
        <f>MONTH(Tableau13[[#This Row],[Date fin intervention]])</f>
        <v>3</v>
      </c>
      <c r="O2699" s="301">
        <f>YEAR(Tableau13[[#This Row],[Date fin intervention]])</f>
        <v>2024</v>
      </c>
      <c r="P2699" s="298"/>
    </row>
    <row r="2700" spans="1:16">
      <c r="A2700" s="293">
        <v>45364</v>
      </c>
      <c r="B2700" s="294">
        <v>700</v>
      </c>
      <c r="C2700" s="295" t="str">
        <f>IF(ISNA(VLOOKUP(Tableau13[[#This Row],[Code machine]],'CODE mchn'!$A$4:$C$170,2,0)),"",VLOOKUP(Tableau13[[#This Row],[Code machine]],'CODE mchn'!$A$4:$C$170,2,0))</f>
        <v>Béton</v>
      </c>
      <c r="D2700" s="296" t="str">
        <f>IF(ISNA(VLOOKUP(Tableau13[[#This Row],[Code machine]],'CODE mchn'!$A$4:$C$170,3,0)),"",VLOOKUP(Tableau13[[#This Row],[Code machine]],'CODE mchn'!$A$4:$C$170,3,0))</f>
        <v>Poyatos 1</v>
      </c>
      <c r="E2700" s="297">
        <v>30554</v>
      </c>
      <c r="F2700" s="296"/>
      <c r="G2700" s="298"/>
      <c r="H2700" s="298" t="s">
        <v>3610</v>
      </c>
      <c r="I2700" s="298"/>
      <c r="J2700" s="299" t="s">
        <v>4797</v>
      </c>
      <c r="K2700" s="300">
        <v>45364</v>
      </c>
      <c r="L2700" s="298"/>
      <c r="M2700" s="301">
        <v>120</v>
      </c>
      <c r="N2700" s="301">
        <f>MONTH(Tableau13[[#This Row],[Date fin intervention]])</f>
        <v>3</v>
      </c>
      <c r="O2700" s="301">
        <f>YEAR(Tableau13[[#This Row],[Date fin intervention]])</f>
        <v>2024</v>
      </c>
      <c r="P2700" s="298"/>
    </row>
    <row r="2701" spans="1:16">
      <c r="A2701" s="293">
        <v>45365</v>
      </c>
      <c r="B2701" s="294">
        <v>700</v>
      </c>
      <c r="C2701" s="295" t="str">
        <f>IF(ISNA(VLOOKUP(Tableau13[[#This Row],[Code machine]],'CODE mchn'!$A$4:$C$170,2,0)),"",VLOOKUP(Tableau13[[#This Row],[Code machine]],'CODE mchn'!$A$4:$C$170,2,0))</f>
        <v>Béton</v>
      </c>
      <c r="D2701" s="296" t="str">
        <f>IF(ISNA(VLOOKUP(Tableau13[[#This Row],[Code machine]],'CODE mchn'!$A$4:$C$170,3,0)),"",VLOOKUP(Tableau13[[#This Row],[Code machine]],'CODE mchn'!$A$4:$C$170,3,0))</f>
        <v>Poyatos 1</v>
      </c>
      <c r="E2701" s="297">
        <v>30555</v>
      </c>
      <c r="F2701" s="296"/>
      <c r="G2701" s="298"/>
      <c r="H2701" s="298" t="s">
        <v>4798</v>
      </c>
      <c r="I2701" s="298"/>
      <c r="J2701" s="299" t="s">
        <v>4799</v>
      </c>
      <c r="K2701" s="300">
        <v>45365</v>
      </c>
      <c r="L2701" s="298"/>
      <c r="M2701" s="301">
        <v>120</v>
      </c>
      <c r="N2701" s="301">
        <f>MONTH(Tableau13[[#This Row],[Date fin intervention]])</f>
        <v>3</v>
      </c>
      <c r="O2701" s="301">
        <f>YEAR(Tableau13[[#This Row],[Date fin intervention]])</f>
        <v>2024</v>
      </c>
      <c r="P2701" s="298"/>
    </row>
    <row r="2702" spans="1:16">
      <c r="A2702" s="293">
        <v>45366</v>
      </c>
      <c r="B2702" s="294">
        <v>581</v>
      </c>
      <c r="C2702" s="295" t="str">
        <f>IF(ISNA(VLOOKUP(Tableau13[[#This Row],[Code machine]],'CODE mchn'!$A$4:$C$170,2,0)),"",VLOOKUP(Tableau13[[#This Row],[Code machine]],'CODE mchn'!$A$4:$C$170,2,0))</f>
        <v>Acier</v>
      </c>
      <c r="D2702" s="296" t="str">
        <f>IF(ISNA(VLOOKUP(Tableau13[[#This Row],[Code machine]],'CODE mchn'!$A$4:$C$170,3,0)),"",VLOOKUP(Tableau13[[#This Row],[Code machine]],'CODE mchn'!$A$4:$C$170,3,0))</f>
        <v>Teurema 1</v>
      </c>
      <c r="E2702" s="297">
        <v>30536</v>
      </c>
      <c r="F2702" s="296"/>
      <c r="G2702" s="298"/>
      <c r="H2702" s="298" t="s">
        <v>4758</v>
      </c>
      <c r="I2702" s="298"/>
      <c r="J2702" s="316"/>
      <c r="K2702" s="300">
        <v>45366</v>
      </c>
      <c r="L2702" s="298"/>
      <c r="M2702" s="301">
        <v>60</v>
      </c>
      <c r="N2702" s="301">
        <f>MONTH(Tableau13[[#This Row],[Date fin intervention]])</f>
        <v>3</v>
      </c>
      <c r="O2702" s="301">
        <f>YEAR(Tableau13[[#This Row],[Date fin intervention]])</f>
        <v>2024</v>
      </c>
      <c r="P2702" s="298"/>
    </row>
    <row r="2703" spans="1:16">
      <c r="A2703" s="293">
        <v>45366</v>
      </c>
      <c r="B2703" s="294">
        <v>700</v>
      </c>
      <c r="C2703" s="295" t="str">
        <f>IF(ISNA(VLOOKUP(Tableau13[[#This Row],[Code machine]],'CODE mchn'!$A$4:$C$170,2,0)),"",VLOOKUP(Tableau13[[#This Row],[Code machine]],'CODE mchn'!$A$4:$C$170,2,0))</f>
        <v>Béton</v>
      </c>
      <c r="D2703" s="296" t="str">
        <f>IF(ISNA(VLOOKUP(Tableau13[[#This Row],[Code machine]],'CODE mchn'!$A$4:$C$170,3,0)),"",VLOOKUP(Tableau13[[#This Row],[Code machine]],'CODE mchn'!$A$4:$C$170,3,0))</f>
        <v>Poyatos 1</v>
      </c>
      <c r="E2703" s="297">
        <v>30556</v>
      </c>
      <c r="F2703" s="296"/>
      <c r="G2703" s="298"/>
      <c r="H2703" s="298" t="s">
        <v>3548</v>
      </c>
      <c r="I2703" s="298"/>
      <c r="J2703" s="299" t="s">
        <v>4800</v>
      </c>
      <c r="K2703" s="300">
        <v>45366</v>
      </c>
      <c r="L2703" s="298"/>
      <c r="M2703" s="301">
        <v>30</v>
      </c>
      <c r="N2703" s="301">
        <f>MONTH(Tableau13[[#This Row],[Date fin intervention]])</f>
        <v>3</v>
      </c>
      <c r="O2703" s="301">
        <f>YEAR(Tableau13[[#This Row],[Date fin intervention]])</f>
        <v>2024</v>
      </c>
      <c r="P2703" s="298"/>
    </row>
    <row r="2704" spans="1:16">
      <c r="A2704" s="293">
        <v>45367</v>
      </c>
      <c r="B2704" s="294">
        <v>700</v>
      </c>
      <c r="C2704" s="295" t="str">
        <f>IF(ISNA(VLOOKUP(Tableau13[[#This Row],[Code machine]],'CODE mchn'!$A$4:$C$170,2,0)),"",VLOOKUP(Tableau13[[#This Row],[Code machine]],'CODE mchn'!$A$4:$C$170,2,0))</f>
        <v>Béton</v>
      </c>
      <c r="D2704" s="296" t="str">
        <f>IF(ISNA(VLOOKUP(Tableau13[[#This Row],[Code machine]],'CODE mchn'!$A$4:$C$170,3,0)),"",VLOOKUP(Tableau13[[#This Row],[Code machine]],'CODE mchn'!$A$4:$C$170,3,0))</f>
        <v>Poyatos 1</v>
      </c>
      <c r="E2704" s="297">
        <v>30557</v>
      </c>
      <c r="F2704" s="296"/>
      <c r="G2704" s="298"/>
      <c r="H2704" s="298" t="s">
        <v>4803</v>
      </c>
      <c r="I2704" s="298"/>
      <c r="J2704" s="299" t="s">
        <v>4804</v>
      </c>
      <c r="K2704" s="300">
        <v>45367</v>
      </c>
      <c r="L2704" s="298"/>
      <c r="M2704" s="301">
        <v>240</v>
      </c>
      <c r="N2704" s="301">
        <f>MONTH(Tableau13[[#This Row],[Date fin intervention]])</f>
        <v>3</v>
      </c>
      <c r="O2704" s="301">
        <f>YEAR(Tableau13[[#This Row],[Date fin intervention]])</f>
        <v>2024</v>
      </c>
      <c r="P2704" s="298"/>
    </row>
    <row r="2705" spans="1:16">
      <c r="A2705" s="293">
        <v>45367</v>
      </c>
      <c r="B2705" s="294">
        <v>700</v>
      </c>
      <c r="C2705" s="295" t="str">
        <f>IF(ISNA(VLOOKUP(Tableau13[[#This Row],[Code machine]],'CODE mchn'!$A$4:$C$170,2,0)),"",VLOOKUP(Tableau13[[#This Row],[Code machine]],'CODE mchn'!$A$4:$C$170,2,0))</f>
        <v>Béton</v>
      </c>
      <c r="D2705" s="296" t="str">
        <f>IF(ISNA(VLOOKUP(Tableau13[[#This Row],[Code machine]],'CODE mchn'!$A$4:$C$170,3,0)),"",VLOOKUP(Tableau13[[#This Row],[Code machine]],'CODE mchn'!$A$4:$C$170,3,0))</f>
        <v>Poyatos 1</v>
      </c>
      <c r="E2705" s="297">
        <v>30558</v>
      </c>
      <c r="F2705" s="296"/>
      <c r="G2705" s="298"/>
      <c r="H2705" s="298" t="s">
        <v>4709</v>
      </c>
      <c r="I2705" s="298"/>
      <c r="J2705" s="299" t="s">
        <v>4805</v>
      </c>
      <c r="K2705" s="300">
        <v>45367</v>
      </c>
      <c r="L2705" s="298"/>
      <c r="M2705" s="301">
        <v>60</v>
      </c>
      <c r="N2705" s="301">
        <f>MONTH(Tableau13[[#This Row],[Date fin intervention]])</f>
        <v>3</v>
      </c>
      <c r="O2705" s="301">
        <f>YEAR(Tableau13[[#This Row],[Date fin intervention]])</f>
        <v>2024</v>
      </c>
      <c r="P2705" s="298"/>
    </row>
    <row r="2706" spans="1:16">
      <c r="A2706" s="317">
        <v>45369</v>
      </c>
      <c r="B2706" s="318">
        <v>590</v>
      </c>
      <c r="C2706" s="319" t="str">
        <f>IF(ISNA(VLOOKUP(Tableau13[[#This Row],[Code machine]],'CODE mchn'!$A$4:$C$170,2,0)),"",VLOOKUP(Tableau13[[#This Row],[Code machine]],'CODE mchn'!$A$4:$C$170,2,0))</f>
        <v>Acier</v>
      </c>
      <c r="D2706" s="320" t="str">
        <f>IF(ISNA(VLOOKUP(Tableau13[[#This Row],[Code machine]],'CODE mchn'!$A$4:$C$170,3,0)),"",VLOOKUP(Tableau13[[#This Row],[Code machine]],'CODE mchn'!$A$4:$C$170,3,0))</f>
        <v>Teurema 3</v>
      </c>
      <c r="E2706" s="321">
        <v>30537</v>
      </c>
      <c r="F2706" s="320"/>
      <c r="G2706" s="322"/>
      <c r="H2706" s="322" t="s">
        <v>4816</v>
      </c>
      <c r="I2706" s="322"/>
      <c r="J2706" s="323" t="s">
        <v>4817</v>
      </c>
      <c r="K2706" s="324">
        <v>45369</v>
      </c>
      <c r="L2706" s="322"/>
      <c r="M2706" s="325">
        <v>120</v>
      </c>
      <c r="N2706" s="325">
        <f>MONTH(Tableau13[[#This Row],[Date fin intervention]])</f>
        <v>3</v>
      </c>
      <c r="O2706" s="325">
        <f>YEAR(Tableau13[[#This Row],[Date fin intervention]])</f>
        <v>2024</v>
      </c>
      <c r="P2706" s="322"/>
    </row>
    <row r="2707" spans="1:16">
      <c r="A2707" s="293">
        <v>45369</v>
      </c>
      <c r="B2707" s="294">
        <v>800</v>
      </c>
      <c r="C2707" s="295" t="str">
        <f>IF(ISNA(VLOOKUP(Tableau13[[#This Row],[Code machine]],'CODE mchn'!$A$4:$C$170,2,0)),"",VLOOKUP(Tableau13[[#This Row],[Code machine]],'CODE mchn'!$A$4:$C$170,2,0))</f>
        <v>Béton</v>
      </c>
      <c r="D2707" s="296" t="str">
        <f>IF(ISNA(VLOOKUP(Tableau13[[#This Row],[Code machine]],'CODE mchn'!$A$4:$C$170,3,0)),"",VLOOKUP(Tableau13[[#This Row],[Code machine]],'CODE mchn'!$A$4:$C$170,3,0))</f>
        <v>Poyatos 2</v>
      </c>
      <c r="E2707" s="297">
        <v>30559</v>
      </c>
      <c r="F2707" s="296"/>
      <c r="G2707" s="298"/>
      <c r="H2707" s="298" t="s">
        <v>4806</v>
      </c>
      <c r="I2707" s="298"/>
      <c r="J2707" s="299" t="s">
        <v>4615</v>
      </c>
      <c r="K2707" s="300">
        <v>45369</v>
      </c>
      <c r="L2707" s="298"/>
      <c r="M2707" s="301">
        <v>240</v>
      </c>
      <c r="N2707" s="301">
        <f>MONTH(Tableau13[[#This Row],[Date fin intervention]])</f>
        <v>3</v>
      </c>
      <c r="O2707" s="301">
        <f>YEAR(Tableau13[[#This Row],[Date fin intervention]])</f>
        <v>2024</v>
      </c>
      <c r="P2707" s="298"/>
    </row>
    <row r="2708" spans="1:16">
      <c r="A2708" s="317">
        <v>45370</v>
      </c>
      <c r="B2708" s="318">
        <v>590</v>
      </c>
      <c r="C2708" s="319" t="str">
        <f>IF(ISNA(VLOOKUP(Tableau13[[#This Row],[Code machine]],'CODE mchn'!$A$4:$C$170,2,0)),"",VLOOKUP(Tableau13[[#This Row],[Code machine]],'CODE mchn'!$A$4:$C$170,2,0))</f>
        <v>Acier</v>
      </c>
      <c r="D2708" s="320" t="str">
        <f>IF(ISNA(VLOOKUP(Tableau13[[#This Row],[Code machine]],'CODE mchn'!$A$4:$C$170,3,0)),"",VLOOKUP(Tableau13[[#This Row],[Code machine]],'CODE mchn'!$A$4:$C$170,3,0))</f>
        <v>Teurema 3</v>
      </c>
      <c r="E2708" s="321">
        <v>30538</v>
      </c>
      <c r="F2708" s="320"/>
      <c r="G2708" s="322"/>
      <c r="H2708" s="322" t="s">
        <v>4818</v>
      </c>
      <c r="I2708" s="322"/>
      <c r="J2708" s="323" t="s">
        <v>4819</v>
      </c>
      <c r="K2708" s="324">
        <v>45370</v>
      </c>
      <c r="L2708" s="322"/>
      <c r="M2708" s="325">
        <v>60</v>
      </c>
      <c r="N2708" s="325">
        <f>MONTH(Tableau13[[#This Row],[Date fin intervention]])</f>
        <v>3</v>
      </c>
      <c r="O2708" s="325">
        <f>YEAR(Tableau13[[#This Row],[Date fin intervention]])</f>
        <v>2024</v>
      </c>
      <c r="P2708" s="322"/>
    </row>
    <row r="2709" spans="1:16">
      <c r="A2709" s="293">
        <v>45371</v>
      </c>
      <c r="B2709" s="294">
        <v>700</v>
      </c>
      <c r="C2709" s="295" t="str">
        <f>IF(ISNA(VLOOKUP(Tableau13[[#This Row],[Code machine]],'CODE mchn'!$A$4:$C$170,2,0)),"",VLOOKUP(Tableau13[[#This Row],[Code machine]],'CODE mchn'!$A$4:$C$170,2,0))</f>
        <v>Béton</v>
      </c>
      <c r="D2709" s="296" t="str">
        <f>IF(ISNA(VLOOKUP(Tableau13[[#This Row],[Code machine]],'CODE mchn'!$A$4:$C$170,3,0)),"",VLOOKUP(Tableau13[[#This Row],[Code machine]],'CODE mchn'!$A$4:$C$170,3,0))</f>
        <v>Poyatos 1</v>
      </c>
      <c r="E2709" s="297">
        <v>30600</v>
      </c>
      <c r="F2709" s="296"/>
      <c r="G2709" s="298"/>
      <c r="H2709" s="298" t="s">
        <v>4807</v>
      </c>
      <c r="I2709" s="298"/>
      <c r="J2709" s="299" t="s">
        <v>4808</v>
      </c>
      <c r="K2709" s="300">
        <v>45371</v>
      </c>
      <c r="L2709" s="298"/>
      <c r="M2709" s="301">
        <v>180</v>
      </c>
      <c r="N2709" s="301">
        <f>MONTH(Tableau13[[#This Row],[Date fin intervention]])</f>
        <v>3</v>
      </c>
      <c r="O2709" s="301">
        <f>YEAR(Tableau13[[#This Row],[Date fin intervention]])</f>
        <v>2024</v>
      </c>
      <c r="P2709" s="298"/>
    </row>
    <row r="2710" spans="1:16">
      <c r="A2710" s="317">
        <v>45371</v>
      </c>
      <c r="B2710" s="318">
        <v>582</v>
      </c>
      <c r="C2710" s="319" t="str">
        <f>IF(ISNA(VLOOKUP(Tableau13[[#This Row],[Code machine]],'CODE mchn'!$A$4:$C$170,2,0)),"",VLOOKUP(Tableau13[[#This Row],[Code machine]],'CODE mchn'!$A$4:$C$170,2,0))</f>
        <v>Acier</v>
      </c>
      <c r="D2710" s="320" t="str">
        <f>IF(ISNA(VLOOKUP(Tableau13[[#This Row],[Code machine]],'CODE mchn'!$A$4:$C$170,3,0)),"",VLOOKUP(Tableau13[[#This Row],[Code machine]],'CODE mchn'!$A$4:$C$170,3,0))</f>
        <v>Teurema 2</v>
      </c>
      <c r="E2710" s="321">
        <v>30539</v>
      </c>
      <c r="F2710" s="320"/>
      <c r="G2710" s="322"/>
      <c r="H2710" s="322" t="s">
        <v>4820</v>
      </c>
      <c r="I2710" s="322"/>
      <c r="J2710" s="323" t="s">
        <v>4821</v>
      </c>
      <c r="K2710" s="324">
        <v>45371</v>
      </c>
      <c r="L2710" s="322"/>
      <c r="M2710" s="325">
        <v>60</v>
      </c>
      <c r="N2710" s="325">
        <f>MONTH(Tableau13[[#This Row],[Date fin intervention]])</f>
        <v>3</v>
      </c>
      <c r="O2710" s="325">
        <f>YEAR(Tableau13[[#This Row],[Date fin intervention]])</f>
        <v>2024</v>
      </c>
      <c r="P2710" s="322"/>
    </row>
    <row r="2711" spans="1:16">
      <c r="A2711" s="293">
        <v>45372</v>
      </c>
      <c r="B2711" s="294">
        <v>700</v>
      </c>
      <c r="C2711" s="295" t="str">
        <f>IF(ISNA(VLOOKUP(Tableau13[[#This Row],[Code machine]],'CODE mchn'!$A$4:$C$170,2,0)),"",VLOOKUP(Tableau13[[#This Row],[Code machine]],'CODE mchn'!$A$4:$C$170,2,0))</f>
        <v>Béton</v>
      </c>
      <c r="D2711" s="296" t="str">
        <f>IF(ISNA(VLOOKUP(Tableau13[[#This Row],[Code machine]],'CODE mchn'!$A$4:$C$170,3,0)),"",VLOOKUP(Tableau13[[#This Row],[Code machine]],'CODE mchn'!$A$4:$C$170,3,0))</f>
        <v>Poyatos 1</v>
      </c>
      <c r="E2711" s="297">
        <v>30601</v>
      </c>
      <c r="F2711" s="296"/>
      <c r="G2711" s="298"/>
      <c r="H2711" s="298" t="s">
        <v>4809</v>
      </c>
      <c r="I2711" s="298"/>
      <c r="J2711" s="299" t="s">
        <v>4810</v>
      </c>
      <c r="K2711" s="300">
        <v>45372</v>
      </c>
      <c r="L2711" s="298"/>
      <c r="M2711" s="301">
        <v>240</v>
      </c>
      <c r="N2711" s="301">
        <f>MONTH(Tableau13[[#This Row],[Date fin intervention]])</f>
        <v>3</v>
      </c>
      <c r="O2711" s="301">
        <f>YEAR(Tableau13[[#This Row],[Date fin intervention]])</f>
        <v>2024</v>
      </c>
      <c r="P2711" s="298"/>
    </row>
    <row r="2712" spans="1:16">
      <c r="A2712" s="293">
        <v>45372</v>
      </c>
      <c r="B2712" s="294">
        <v>800</v>
      </c>
      <c r="C2712" s="295" t="str">
        <f>IF(ISNA(VLOOKUP(Tableau13[[#This Row],[Code machine]],'CODE mchn'!$A$4:$C$170,2,0)),"",VLOOKUP(Tableau13[[#This Row],[Code machine]],'CODE mchn'!$A$4:$C$170,2,0))</f>
        <v>Béton</v>
      </c>
      <c r="D2712" s="296" t="str">
        <f>IF(ISNA(VLOOKUP(Tableau13[[#This Row],[Code machine]],'CODE mchn'!$A$4:$C$170,3,0)),"",VLOOKUP(Tableau13[[#This Row],[Code machine]],'CODE mchn'!$A$4:$C$170,3,0))</f>
        <v>Poyatos 2</v>
      </c>
      <c r="E2712" s="297">
        <v>30602</v>
      </c>
      <c r="F2712" s="296"/>
      <c r="G2712" s="298"/>
      <c r="H2712" s="298" t="s">
        <v>4811</v>
      </c>
      <c r="I2712" s="298"/>
      <c r="J2712" s="299" t="s">
        <v>4812</v>
      </c>
      <c r="K2712" s="300">
        <v>45372</v>
      </c>
      <c r="L2712" s="298"/>
      <c r="M2712" s="301">
        <v>540</v>
      </c>
      <c r="N2712" s="301">
        <f>MONTH(Tableau13[[#This Row],[Date fin intervention]])</f>
        <v>3</v>
      </c>
      <c r="O2712" s="301">
        <f>YEAR(Tableau13[[#This Row],[Date fin intervention]])</f>
        <v>2024</v>
      </c>
      <c r="P2712" s="298"/>
    </row>
    <row r="2713" spans="1:16" ht="28.5">
      <c r="A2713" s="293">
        <v>45372</v>
      </c>
      <c r="B2713" s="294">
        <v>800</v>
      </c>
      <c r="C2713" s="295" t="str">
        <f>IF(ISNA(VLOOKUP(Tableau13[[#This Row],[Code machine]],'CODE mchn'!$A$4:$C$170,2,0)),"",VLOOKUP(Tableau13[[#This Row],[Code machine]],'CODE mchn'!$A$4:$C$170,2,0))</f>
        <v>Béton</v>
      </c>
      <c r="D2713" s="296" t="str">
        <f>IF(ISNA(VLOOKUP(Tableau13[[#This Row],[Code machine]],'CODE mchn'!$A$4:$C$170,3,0)),"",VLOOKUP(Tableau13[[#This Row],[Code machine]],'CODE mchn'!$A$4:$C$170,3,0))</f>
        <v>Poyatos 2</v>
      </c>
      <c r="E2713" s="297">
        <v>30603</v>
      </c>
      <c r="F2713" s="296"/>
      <c r="G2713" s="298"/>
      <c r="H2713" s="298" t="s">
        <v>4806</v>
      </c>
      <c r="I2713" s="298"/>
      <c r="J2713" s="299" t="s">
        <v>4813</v>
      </c>
      <c r="K2713" s="300">
        <v>45372</v>
      </c>
      <c r="L2713" s="298"/>
      <c r="M2713" s="301">
        <v>240</v>
      </c>
      <c r="N2713" s="301">
        <f>MONTH(Tableau13[[#This Row],[Date fin intervention]])</f>
        <v>3</v>
      </c>
      <c r="O2713" s="301">
        <f>YEAR(Tableau13[[#This Row],[Date fin intervention]])</f>
        <v>2024</v>
      </c>
      <c r="P2713" s="298"/>
    </row>
    <row r="2714" spans="1:16">
      <c r="A2714" s="317">
        <v>45374</v>
      </c>
      <c r="B2714" s="318">
        <v>581</v>
      </c>
      <c r="C2714" s="319" t="str">
        <f>IF(ISNA(VLOOKUP(Tableau13[[#This Row],[Code machine]],'CODE mchn'!$A$4:$C$170,2,0)),"",VLOOKUP(Tableau13[[#This Row],[Code machine]],'CODE mchn'!$A$4:$C$170,2,0))</f>
        <v>Acier</v>
      </c>
      <c r="D2714" s="320" t="str">
        <f>IF(ISNA(VLOOKUP(Tableau13[[#This Row],[Code machine]],'CODE mchn'!$A$4:$C$170,3,0)),"",VLOOKUP(Tableau13[[#This Row],[Code machine]],'CODE mchn'!$A$4:$C$170,3,0))</f>
        <v>Teurema 1</v>
      </c>
      <c r="E2714" s="321">
        <v>30540</v>
      </c>
      <c r="F2714" s="320"/>
      <c r="G2714" s="322"/>
      <c r="H2714" s="322" t="s">
        <v>4267</v>
      </c>
      <c r="I2714" s="322"/>
      <c r="J2714" s="326"/>
      <c r="K2714" s="324">
        <v>45374</v>
      </c>
      <c r="L2714" s="322"/>
      <c r="M2714" s="325">
        <v>120</v>
      </c>
      <c r="N2714" s="325">
        <f>MONTH(Tableau13[[#This Row],[Date fin intervention]])</f>
        <v>3</v>
      </c>
      <c r="O2714" s="325">
        <f>YEAR(Tableau13[[#This Row],[Date fin intervention]])</f>
        <v>2024</v>
      </c>
      <c r="P2714" s="322"/>
    </row>
    <row r="2715" spans="1:16">
      <c r="A2715" s="317">
        <v>45374</v>
      </c>
      <c r="B2715" s="318">
        <v>560</v>
      </c>
      <c r="C2715" s="319" t="str">
        <f>IF(ISNA(VLOOKUP(Tableau13[[#This Row],[Code machine]],'CODE mchn'!$A$4:$C$170,2,0)),"",VLOOKUP(Tableau13[[#This Row],[Code machine]],'CODE mchn'!$A$4:$C$170,2,0))</f>
        <v>Acier</v>
      </c>
      <c r="D2715" s="320" t="str">
        <f>IF(ISNA(VLOOKUP(Tableau13[[#This Row],[Code machine]],'CODE mchn'!$A$4:$C$170,3,0)),"",VLOOKUP(Tableau13[[#This Row],[Code machine]],'CODE mchn'!$A$4:$C$170,3,0))</f>
        <v>Schlatter</v>
      </c>
      <c r="E2715" s="321">
        <v>30541</v>
      </c>
      <c r="F2715" s="320"/>
      <c r="G2715" s="322"/>
      <c r="H2715" s="322" t="s">
        <v>4822</v>
      </c>
      <c r="I2715" s="322"/>
      <c r="J2715" s="323" t="s">
        <v>4733</v>
      </c>
      <c r="K2715" s="324">
        <v>45374</v>
      </c>
      <c r="L2715" s="322"/>
      <c r="M2715" s="325">
        <v>30</v>
      </c>
      <c r="N2715" s="325">
        <f>MONTH(Tableau13[[#This Row],[Date fin intervention]])</f>
        <v>3</v>
      </c>
      <c r="O2715" s="325">
        <f>YEAR(Tableau13[[#This Row],[Date fin intervention]])</f>
        <v>2024</v>
      </c>
      <c r="P2715" s="322"/>
    </row>
    <row r="2716" spans="1:16">
      <c r="A2716" s="317">
        <v>45374</v>
      </c>
      <c r="B2716" s="318">
        <v>581</v>
      </c>
      <c r="C2716" s="319" t="str">
        <f>IF(ISNA(VLOOKUP(Tableau13[[#This Row],[Code machine]],'CODE mchn'!$A$4:$C$170,2,0)),"",VLOOKUP(Tableau13[[#This Row],[Code machine]],'CODE mchn'!$A$4:$C$170,2,0))</f>
        <v>Acier</v>
      </c>
      <c r="D2716" s="320" t="str">
        <f>IF(ISNA(VLOOKUP(Tableau13[[#This Row],[Code machine]],'CODE mchn'!$A$4:$C$170,3,0)),"",VLOOKUP(Tableau13[[#This Row],[Code machine]],'CODE mchn'!$A$4:$C$170,3,0))</f>
        <v>Teurema 1</v>
      </c>
      <c r="E2716" s="321">
        <v>30542</v>
      </c>
      <c r="F2716" s="320"/>
      <c r="G2716" s="322"/>
      <c r="H2716" s="322" t="s">
        <v>4823</v>
      </c>
      <c r="I2716" s="322"/>
      <c r="J2716" s="323" t="s">
        <v>4824</v>
      </c>
      <c r="K2716" s="324">
        <v>45374</v>
      </c>
      <c r="L2716" s="322"/>
      <c r="M2716" s="325">
        <v>240</v>
      </c>
      <c r="N2716" s="325">
        <f>MONTH(Tableau13[[#This Row],[Date fin intervention]])</f>
        <v>3</v>
      </c>
      <c r="O2716" s="325">
        <f>YEAR(Tableau13[[#This Row],[Date fin intervention]])</f>
        <v>2024</v>
      </c>
      <c r="P2716" s="322"/>
    </row>
    <row r="2717" spans="1:16">
      <c r="A2717" s="293">
        <v>45377</v>
      </c>
      <c r="B2717" s="294">
        <v>700</v>
      </c>
      <c r="C2717" s="295" t="str">
        <f>IF(ISNA(VLOOKUP(Tableau13[[#This Row],[Code machine]],'CODE mchn'!$A$4:$C$170,2,0)),"",VLOOKUP(Tableau13[[#This Row],[Code machine]],'CODE mchn'!$A$4:$C$170,2,0))</f>
        <v>Béton</v>
      </c>
      <c r="D2717" s="296" t="str">
        <f>IF(ISNA(VLOOKUP(Tableau13[[#This Row],[Code machine]],'CODE mchn'!$A$4:$C$170,3,0)),"",VLOOKUP(Tableau13[[#This Row],[Code machine]],'CODE mchn'!$A$4:$C$170,3,0))</f>
        <v>Poyatos 1</v>
      </c>
      <c r="E2717" s="297">
        <v>30604</v>
      </c>
      <c r="F2717" s="296"/>
      <c r="G2717" s="298"/>
      <c r="H2717" s="298" t="s">
        <v>4814</v>
      </c>
      <c r="I2717" s="298"/>
      <c r="J2717" s="299" t="s">
        <v>4815</v>
      </c>
      <c r="K2717" s="300">
        <v>45377</v>
      </c>
      <c r="L2717" s="298"/>
      <c r="M2717" s="301">
        <v>240</v>
      </c>
      <c r="N2717" s="301">
        <f>MONTH(Tableau13[[#This Row],[Date fin intervention]])</f>
        <v>3</v>
      </c>
      <c r="O2717" s="301">
        <f>YEAR(Tableau13[[#This Row],[Date fin intervention]])</f>
        <v>2024</v>
      </c>
      <c r="P2717" s="298"/>
    </row>
    <row r="2718" spans="1:16">
      <c r="A2718" s="317">
        <v>45377</v>
      </c>
      <c r="B2718" s="318">
        <v>560</v>
      </c>
      <c r="C2718" s="319" t="str">
        <f>IF(ISNA(VLOOKUP(Tableau13[[#This Row],[Code machine]],'CODE mchn'!$A$4:$C$170,2,0)),"",VLOOKUP(Tableau13[[#This Row],[Code machine]],'CODE mchn'!$A$4:$C$170,2,0))</f>
        <v>Acier</v>
      </c>
      <c r="D2718" s="320" t="str">
        <f>IF(ISNA(VLOOKUP(Tableau13[[#This Row],[Code machine]],'CODE mchn'!$A$4:$C$170,3,0)),"",VLOOKUP(Tableau13[[#This Row],[Code machine]],'CODE mchn'!$A$4:$C$170,3,0))</f>
        <v>Schlatter</v>
      </c>
      <c r="E2718" s="321">
        <v>30543</v>
      </c>
      <c r="F2718" s="320"/>
      <c r="G2718" s="322"/>
      <c r="H2718" s="322" t="s">
        <v>4822</v>
      </c>
      <c r="I2718" s="322"/>
      <c r="J2718" s="323" t="s">
        <v>4697</v>
      </c>
      <c r="K2718" s="324">
        <v>45377</v>
      </c>
      <c r="L2718" s="322"/>
      <c r="M2718" s="325">
        <v>30</v>
      </c>
      <c r="N2718" s="325">
        <f>MONTH(Tableau13[[#This Row],[Date fin intervention]])</f>
        <v>3</v>
      </c>
      <c r="O2718" s="325">
        <f>YEAR(Tableau13[[#This Row],[Date fin intervention]])</f>
        <v>2024</v>
      </c>
      <c r="P2718" s="322"/>
    </row>
    <row r="2719" spans="1:16">
      <c r="A2719" s="317">
        <v>45377</v>
      </c>
      <c r="B2719" s="318">
        <v>581</v>
      </c>
      <c r="C2719" s="319" t="str">
        <f>IF(ISNA(VLOOKUP(Tableau13[[#This Row],[Code machine]],'CODE mchn'!$A$4:$C$170,2,0)),"",VLOOKUP(Tableau13[[#This Row],[Code machine]],'CODE mchn'!$A$4:$C$170,2,0))</f>
        <v>Acier</v>
      </c>
      <c r="D2719" s="320" t="str">
        <f>IF(ISNA(VLOOKUP(Tableau13[[#This Row],[Code machine]],'CODE mchn'!$A$4:$C$170,3,0)),"",VLOOKUP(Tableau13[[#This Row],[Code machine]],'CODE mchn'!$A$4:$C$170,3,0))</f>
        <v>Teurema 1</v>
      </c>
      <c r="E2719" s="321">
        <v>30544</v>
      </c>
      <c r="F2719" s="320"/>
      <c r="G2719" s="322"/>
      <c r="H2719" s="322" t="s">
        <v>4825</v>
      </c>
      <c r="I2719" s="322"/>
      <c r="J2719" s="323" t="s">
        <v>4826</v>
      </c>
      <c r="K2719" s="324">
        <v>45377</v>
      </c>
      <c r="L2719" s="322"/>
      <c r="M2719" s="325">
        <v>60</v>
      </c>
      <c r="N2719" s="325">
        <f>MONTH(Tableau13[[#This Row],[Date fin intervention]])</f>
        <v>3</v>
      </c>
      <c r="O2719" s="325">
        <f>YEAR(Tableau13[[#This Row],[Date fin intervention]])</f>
        <v>2024</v>
      </c>
      <c r="P2719" s="322"/>
    </row>
    <row r="2720" spans="1:16">
      <c r="A2720" s="317">
        <v>45377</v>
      </c>
      <c r="B2720" s="318">
        <v>561</v>
      </c>
      <c r="C2720" s="319" t="str">
        <f>IF(ISNA(VLOOKUP(Tableau13[[#This Row],[Code machine]],'CODE mchn'!$A$4:$C$170,2,0)),"",VLOOKUP(Tableau13[[#This Row],[Code machine]],'CODE mchn'!$A$4:$C$170,2,0))</f>
        <v>Ponts roulants</v>
      </c>
      <c r="D2720" s="320" t="str">
        <f>IF(ISNA(VLOOKUP(Tableau13[[#This Row],[Code machine]],'CODE mchn'!$A$4:$C$170,3,0)),"",VLOOKUP(Tableau13[[#This Row],[Code machine]],'CODE mchn'!$A$4:$C$170,3,0))</f>
        <v>Pont roulant Demag 5T TS</v>
      </c>
      <c r="E2720" s="321">
        <v>30545</v>
      </c>
      <c r="F2720" s="320"/>
      <c r="G2720" s="322"/>
      <c r="H2720" s="322" t="s">
        <v>4827</v>
      </c>
      <c r="I2720" s="322"/>
      <c r="J2720" s="323" t="s">
        <v>4617</v>
      </c>
      <c r="K2720" s="324">
        <v>45377</v>
      </c>
      <c r="L2720" s="322"/>
      <c r="M2720" s="325">
        <v>240</v>
      </c>
      <c r="N2720" s="325">
        <f>MONTH(Tableau13[[#This Row],[Date fin intervention]])</f>
        <v>3</v>
      </c>
      <c r="O2720" s="325">
        <f>YEAR(Tableau13[[#This Row],[Date fin intervention]])</f>
        <v>2024</v>
      </c>
      <c r="P2720" s="322"/>
    </row>
    <row r="2721" spans="1:16" ht="28.5">
      <c r="A2721" s="317">
        <v>45378</v>
      </c>
      <c r="B2721" s="318">
        <v>584</v>
      </c>
      <c r="C2721" s="319" t="str">
        <f>IF(ISNA(VLOOKUP(Tableau13[[#This Row],[Code machine]],'CODE mchn'!$A$4:$C$170,2,0)),"",VLOOKUP(Tableau13[[#This Row],[Code machine]],'CODE mchn'!$A$4:$C$170,2,0))</f>
        <v>Ponts roulants</v>
      </c>
      <c r="D2721" s="320" t="str">
        <f>IF(ISNA(VLOOKUP(Tableau13[[#This Row],[Code machine]],'CODE mchn'!$A$4:$C$170,3,0)),"",VLOOKUP(Tableau13[[#This Row],[Code machine]],'CODE mchn'!$A$4:$C$170,3,0))</f>
        <v>Pont roulant Demag 3,2T (teurema2)</v>
      </c>
      <c r="E2721" s="321">
        <v>30546</v>
      </c>
      <c r="F2721" s="320"/>
      <c r="G2721" s="322"/>
      <c r="H2721" s="322" t="s">
        <v>4828</v>
      </c>
      <c r="I2721" s="322"/>
      <c r="J2721" s="323" t="s">
        <v>4829</v>
      </c>
      <c r="K2721" s="324">
        <v>45378</v>
      </c>
      <c r="L2721" s="322"/>
      <c r="M2721" s="325">
        <v>240</v>
      </c>
      <c r="N2721" s="325">
        <f>MONTH(Tableau13[[#This Row],[Date fin intervention]])</f>
        <v>3</v>
      </c>
      <c r="O2721" s="325">
        <f>YEAR(Tableau13[[#This Row],[Date fin intervention]])</f>
        <v>2024</v>
      </c>
      <c r="P2721" s="322"/>
    </row>
    <row r="2722" spans="1:16">
      <c r="A2722" s="317">
        <v>45378</v>
      </c>
      <c r="B2722" s="318">
        <v>582</v>
      </c>
      <c r="C2722" s="319" t="str">
        <f>IF(ISNA(VLOOKUP(Tableau13[[#This Row],[Code machine]],'CODE mchn'!$A$4:$C$170,2,0)),"",VLOOKUP(Tableau13[[#This Row],[Code machine]],'CODE mchn'!$A$4:$C$170,2,0))</f>
        <v>Acier</v>
      </c>
      <c r="D2722" s="320" t="str">
        <f>IF(ISNA(VLOOKUP(Tableau13[[#This Row],[Code machine]],'CODE mchn'!$A$4:$C$170,3,0)),"",VLOOKUP(Tableau13[[#This Row],[Code machine]],'CODE mchn'!$A$4:$C$170,3,0))</f>
        <v>Teurema 2</v>
      </c>
      <c r="E2722" s="321">
        <v>30548</v>
      </c>
      <c r="F2722" s="320"/>
      <c r="G2722" s="322"/>
      <c r="H2722" s="322" t="s">
        <v>4830</v>
      </c>
      <c r="I2722" s="322"/>
      <c r="J2722" s="323" t="s">
        <v>4831</v>
      </c>
      <c r="K2722" s="324">
        <v>45378</v>
      </c>
      <c r="L2722" s="322"/>
      <c r="M2722" s="325">
        <v>60</v>
      </c>
      <c r="N2722" s="325">
        <f>MONTH(Tableau13[[#This Row],[Date fin intervention]])</f>
        <v>3</v>
      </c>
      <c r="O2722" s="325">
        <f>YEAR(Tableau13[[#This Row],[Date fin intervention]])</f>
        <v>2024</v>
      </c>
      <c r="P2722" s="322"/>
    </row>
  </sheetData>
  <mergeCells count="1">
    <mergeCell ref="E3:H4"/>
  </mergeCells>
  <phoneticPr fontId="24" type="noConversion"/>
  <conditionalFormatting sqref="L139">
    <cfRule type="cellIs" dxfId="223" priority="53" operator="equal">
      <formula>"RAS"</formula>
    </cfRule>
  </conditionalFormatting>
  <conditionalFormatting sqref="L140:L319">
    <cfRule type="cellIs" dxfId="222" priority="44" operator="equal">
      <formula>"RAS"</formula>
    </cfRule>
  </conditionalFormatting>
  <dataValidations disablePrompts="1" count="1">
    <dataValidation type="list" allowBlank="1" showInputMessage="1" showErrorMessage="1" sqref="IZ1583:IZ1606 SV1583:SV1606 ACR1583:ACR1606 AMN1583:AMN1606 AWJ1583:AWJ1606 BGF1583:BGF1606 BQB1583:BQB1606 BZX1583:BZX1606 CJT1583:CJT1606 CTP1583:CTP1606 DDL1583:DDL1606 DNH1583:DNH1606 DXD1583:DXD1606 EGZ1583:EGZ1606 EQV1583:EQV1606 FAR1583:FAR1606 FKN1583:FKN1606 FUJ1583:FUJ1606 GEF1583:GEF1606 GOB1583:GOB1606 GXX1583:GXX1606 HHT1583:HHT1606 HRP1583:HRP1606 IBL1583:IBL1606 ILH1583:ILH1606 IVD1583:IVD1606 JEZ1583:JEZ1606 JOV1583:JOV1606 JYR1583:JYR1606 KIN1583:KIN1606 KSJ1583:KSJ1606 LCF1583:LCF1606 LMB1583:LMB1606 LVX1583:LVX1606 MFT1583:MFT1606 MPP1583:MPP1606 MZL1583:MZL1606 NJH1583:NJH1606 NTD1583:NTD1606 OCZ1583:OCZ1606 OMV1583:OMV1606 OWR1583:OWR1606 PGN1583:PGN1606 PQJ1583:PQJ1606 QAF1583:QAF1606 QKB1583:QKB1606 QTX1583:QTX1606 RDT1583:RDT1606 RNP1583:RNP1606 RXL1583:RXL1606 SHH1583:SHH1606 SRD1583:SRD1606 TAZ1583:TAZ1606 TKV1583:TKV1606 TUR1583:TUR1606 UEN1583:UEN1606 UOJ1583:UOJ1606 UYF1583:UYF1606 VIB1583:VIB1606 VRX1583:VRX1606 WBT1583:WBT1606 WLP1583:WLP1606 WVL1583:WVL1606 F8:F1606">
      <formula1>"préventif,Correctif"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>
    <tabColor rgb="FF92D050"/>
  </sheetPr>
  <dimension ref="A1:AO187"/>
  <sheetViews>
    <sheetView showGridLines="0" topLeftCell="A25" zoomScale="60" zoomScaleNormal="60" workbookViewId="0"/>
  </sheetViews>
  <sheetFormatPr baseColWidth="10" defaultColWidth="11.42578125" defaultRowHeight="15"/>
  <cols>
    <col min="1" max="1" width="29.42578125" customWidth="1"/>
    <col min="2" max="2" width="25.85546875" customWidth="1"/>
    <col min="3" max="3" width="34" customWidth="1"/>
    <col min="4" max="4" width="41.5703125" customWidth="1"/>
    <col min="5" max="5" width="11.140625" customWidth="1"/>
    <col min="6" max="6" width="18.42578125" customWidth="1"/>
    <col min="7" max="7" width="12.85546875" customWidth="1"/>
    <col min="8" max="8" width="13.42578125" customWidth="1"/>
    <col min="9" max="9" width="14.7109375" customWidth="1"/>
    <col min="10" max="10" width="17.28515625" customWidth="1"/>
    <col min="11" max="11" width="8.85546875" customWidth="1"/>
    <col min="12" max="12" width="13.42578125" customWidth="1"/>
    <col min="18" max="18" width="18.140625" customWidth="1"/>
  </cols>
  <sheetData>
    <row r="1" spans="1:12" hidden="1">
      <c r="A1" s="22" t="s">
        <v>641</v>
      </c>
      <c r="B1" s="41">
        <v>1900</v>
      </c>
      <c r="K1" t="s">
        <v>2273</v>
      </c>
      <c r="L1" t="s">
        <v>2274</v>
      </c>
    </row>
    <row r="2" spans="1:12" hidden="1">
      <c r="A2" s="22" t="s">
        <v>642</v>
      </c>
      <c r="B2" s="41">
        <v>12</v>
      </c>
      <c r="K2" t="s">
        <v>2270</v>
      </c>
      <c r="L2">
        <v>26</v>
      </c>
    </row>
    <row r="3" spans="1:12" hidden="1">
      <c r="A3" s="22" t="s">
        <v>1</v>
      </c>
      <c r="B3" t="s">
        <v>2287</v>
      </c>
      <c r="K3" t="s">
        <v>2271</v>
      </c>
      <c r="L3">
        <v>95</v>
      </c>
    </row>
    <row r="4" spans="1:12" hidden="1">
      <c r="K4" t="s">
        <v>2272</v>
      </c>
      <c r="L4">
        <v>95</v>
      </c>
    </row>
    <row r="5" spans="1:12" hidden="1">
      <c r="A5" s="22" t="s">
        <v>293</v>
      </c>
      <c r="B5" s="22" t="s">
        <v>3</v>
      </c>
      <c r="C5" t="s">
        <v>2266</v>
      </c>
      <c r="D5" t="s">
        <v>2267</v>
      </c>
      <c r="E5" s="45" t="s">
        <v>2285</v>
      </c>
      <c r="F5" s="42" t="s">
        <v>2265</v>
      </c>
      <c r="G5" s="42" t="s">
        <v>2268</v>
      </c>
      <c r="H5" s="42" t="s">
        <v>2269</v>
      </c>
      <c r="I5" s="44" t="s">
        <v>2275</v>
      </c>
    </row>
    <row r="6" spans="1:12" hidden="1">
      <c r="E6">
        <v>2</v>
      </c>
      <c r="F6" s="43" t="str">
        <f>IF(ISBLANK(B6),"",(8*E6*60*26-C6)/D6)</f>
        <v/>
      </c>
      <c r="G6" s="43" t="str">
        <f>IF(ISBLANK(B6),"",(C6/D6))</f>
        <v/>
      </c>
      <c r="H6" s="43" t="str">
        <f t="shared" ref="H6:H28" si="0">IF(ISBLANK(B6),"",((F6/(F6+G6))*100))</f>
        <v/>
      </c>
      <c r="I6" t="str">
        <f>IF(ISBLANK(B6),"",90)</f>
        <v/>
      </c>
    </row>
    <row r="7" spans="1:12" hidden="1">
      <c r="E7">
        <v>1</v>
      </c>
      <c r="F7" s="43" t="str">
        <f t="shared" ref="F7:F20" si="1">IF(ISBLANK(B7),"",(8*E7*60*26-C7)/D7)</f>
        <v/>
      </c>
      <c r="G7" s="43" t="str">
        <f t="shared" ref="G7:G28" si="2">IF(ISBLANK(B7),"",(C7/D7))</f>
        <v/>
      </c>
      <c r="H7" s="43" t="str">
        <f t="shared" si="0"/>
        <v/>
      </c>
      <c r="I7" t="str">
        <f t="shared" ref="I7:I36" si="3">IF(ISBLANK(B7),"",90)</f>
        <v/>
      </c>
    </row>
    <row r="8" spans="1:12" hidden="1">
      <c r="E8">
        <v>1</v>
      </c>
      <c r="F8" s="43" t="str">
        <f t="shared" si="1"/>
        <v/>
      </c>
      <c r="G8" t="str">
        <f t="shared" si="2"/>
        <v/>
      </c>
      <c r="H8" t="str">
        <f t="shared" si="0"/>
        <v/>
      </c>
      <c r="I8" t="str">
        <f t="shared" si="3"/>
        <v/>
      </c>
    </row>
    <row r="9" spans="1:12" hidden="1">
      <c r="E9">
        <v>1</v>
      </c>
      <c r="F9" s="43" t="str">
        <f t="shared" si="1"/>
        <v/>
      </c>
      <c r="G9" t="str">
        <f t="shared" si="2"/>
        <v/>
      </c>
      <c r="H9" t="str">
        <f t="shared" si="0"/>
        <v/>
      </c>
      <c r="I9" t="str">
        <f t="shared" si="3"/>
        <v/>
      </c>
    </row>
    <row r="10" spans="1:12" hidden="1">
      <c r="E10">
        <v>1</v>
      </c>
      <c r="F10" s="43" t="str">
        <f t="shared" si="1"/>
        <v/>
      </c>
      <c r="G10" t="str">
        <f t="shared" si="2"/>
        <v/>
      </c>
      <c r="H10" t="str">
        <f t="shared" si="0"/>
        <v/>
      </c>
      <c r="I10" t="str">
        <f t="shared" si="3"/>
        <v/>
      </c>
    </row>
    <row r="11" spans="1:12" hidden="1">
      <c r="E11">
        <v>1</v>
      </c>
      <c r="F11" s="43" t="str">
        <f t="shared" si="1"/>
        <v/>
      </c>
      <c r="G11" t="str">
        <f t="shared" si="2"/>
        <v/>
      </c>
      <c r="H11" t="str">
        <f t="shared" si="0"/>
        <v/>
      </c>
      <c r="I11" t="str">
        <f t="shared" si="3"/>
        <v/>
      </c>
    </row>
    <row r="12" spans="1:12" hidden="1">
      <c r="E12">
        <v>2</v>
      </c>
      <c r="F12" s="43" t="str">
        <f t="shared" si="1"/>
        <v/>
      </c>
      <c r="G12" t="str">
        <f t="shared" si="2"/>
        <v/>
      </c>
      <c r="H12" t="str">
        <f t="shared" si="0"/>
        <v/>
      </c>
      <c r="I12" t="str">
        <f t="shared" si="3"/>
        <v/>
      </c>
    </row>
    <row r="13" spans="1:12" hidden="1">
      <c r="E13">
        <v>2</v>
      </c>
      <c r="F13" s="43" t="str">
        <f t="shared" si="1"/>
        <v/>
      </c>
      <c r="G13" t="str">
        <f t="shared" si="2"/>
        <v/>
      </c>
      <c r="H13" t="str">
        <f t="shared" si="0"/>
        <v/>
      </c>
      <c r="I13" t="str">
        <f t="shared" si="3"/>
        <v/>
      </c>
    </row>
    <row r="14" spans="1:12" hidden="1">
      <c r="E14">
        <v>2</v>
      </c>
      <c r="F14" s="43" t="str">
        <f t="shared" si="1"/>
        <v/>
      </c>
      <c r="G14" t="str">
        <f t="shared" si="2"/>
        <v/>
      </c>
      <c r="H14" t="str">
        <f t="shared" si="0"/>
        <v/>
      </c>
      <c r="I14" t="str">
        <f t="shared" si="3"/>
        <v/>
      </c>
    </row>
    <row r="15" spans="1:12" hidden="1">
      <c r="E15">
        <v>1</v>
      </c>
      <c r="F15" s="43" t="str">
        <f t="shared" si="1"/>
        <v/>
      </c>
      <c r="G15" t="str">
        <f t="shared" si="2"/>
        <v/>
      </c>
      <c r="H15" t="str">
        <f t="shared" si="0"/>
        <v/>
      </c>
      <c r="I15" t="str">
        <f t="shared" si="3"/>
        <v/>
      </c>
    </row>
    <row r="16" spans="1:12" hidden="1">
      <c r="E16">
        <v>2</v>
      </c>
      <c r="F16" s="43" t="str">
        <f t="shared" si="1"/>
        <v/>
      </c>
      <c r="G16" t="str">
        <f t="shared" si="2"/>
        <v/>
      </c>
      <c r="H16" t="str">
        <f t="shared" si="0"/>
        <v/>
      </c>
      <c r="I16" t="str">
        <f t="shared" si="3"/>
        <v/>
      </c>
    </row>
    <row r="17" spans="5:9" hidden="1">
      <c r="E17">
        <v>2</v>
      </c>
      <c r="F17" s="43" t="str">
        <f t="shared" si="1"/>
        <v/>
      </c>
      <c r="G17" t="str">
        <f t="shared" si="2"/>
        <v/>
      </c>
      <c r="H17" t="str">
        <f t="shared" si="0"/>
        <v/>
      </c>
      <c r="I17" t="str">
        <f t="shared" si="3"/>
        <v/>
      </c>
    </row>
    <row r="18" spans="5:9" hidden="1">
      <c r="E18">
        <v>2</v>
      </c>
      <c r="F18" s="43" t="str">
        <f t="shared" si="1"/>
        <v/>
      </c>
      <c r="G18" t="str">
        <f t="shared" si="2"/>
        <v/>
      </c>
      <c r="H18" t="str">
        <f t="shared" si="0"/>
        <v/>
      </c>
      <c r="I18" t="str">
        <f t="shared" si="3"/>
        <v/>
      </c>
    </row>
    <row r="19" spans="5:9" hidden="1">
      <c r="E19">
        <v>2</v>
      </c>
      <c r="F19" s="43" t="str">
        <f t="shared" si="1"/>
        <v/>
      </c>
      <c r="G19" t="str">
        <f t="shared" si="2"/>
        <v/>
      </c>
      <c r="H19" t="str">
        <f t="shared" si="0"/>
        <v/>
      </c>
      <c r="I19" t="str">
        <f t="shared" si="3"/>
        <v/>
      </c>
    </row>
    <row r="20" spans="5:9" hidden="1">
      <c r="E20">
        <v>2</v>
      </c>
      <c r="F20" s="43" t="str">
        <f t="shared" si="1"/>
        <v/>
      </c>
      <c r="G20" t="str">
        <f t="shared" si="2"/>
        <v/>
      </c>
      <c r="H20" t="str">
        <f t="shared" si="0"/>
        <v/>
      </c>
      <c r="I20" t="str">
        <f>IF(ISBLANK(B20),"",90)</f>
        <v/>
      </c>
    </row>
    <row r="21" spans="5:9" hidden="1">
      <c r="E21">
        <v>2</v>
      </c>
      <c r="F21" t="str">
        <f t="shared" ref="F21:F28" si="4">IF(ISBLANK(B21),"",(8*60*26-C21)/D21)</f>
        <v/>
      </c>
      <c r="G21" t="str">
        <f t="shared" si="2"/>
        <v/>
      </c>
      <c r="H21" t="str">
        <f t="shared" si="0"/>
        <v/>
      </c>
      <c r="I21" t="str">
        <f t="shared" si="3"/>
        <v/>
      </c>
    </row>
    <row r="22" spans="5:9" hidden="1">
      <c r="F22" t="str">
        <f t="shared" si="4"/>
        <v/>
      </c>
      <c r="G22" t="str">
        <f t="shared" si="2"/>
        <v/>
      </c>
      <c r="H22" t="str">
        <f t="shared" si="0"/>
        <v/>
      </c>
      <c r="I22" t="str">
        <f t="shared" si="3"/>
        <v/>
      </c>
    </row>
    <row r="23" spans="5:9" hidden="1">
      <c r="F23" t="str">
        <f t="shared" si="4"/>
        <v/>
      </c>
      <c r="G23" t="str">
        <f t="shared" si="2"/>
        <v/>
      </c>
      <c r="H23" t="str">
        <f t="shared" si="0"/>
        <v/>
      </c>
      <c r="I23" t="str">
        <f t="shared" si="3"/>
        <v/>
      </c>
    </row>
    <row r="24" spans="5:9" hidden="1">
      <c r="F24" t="str">
        <f t="shared" si="4"/>
        <v/>
      </c>
      <c r="G24" t="str">
        <f t="shared" si="2"/>
        <v/>
      </c>
      <c r="H24" t="str">
        <f t="shared" si="0"/>
        <v/>
      </c>
      <c r="I24" t="str">
        <f t="shared" si="3"/>
        <v/>
      </c>
    </row>
    <row r="25" spans="5:9">
      <c r="F25" t="str">
        <f t="shared" si="4"/>
        <v/>
      </c>
      <c r="G25" t="str">
        <f t="shared" si="2"/>
        <v/>
      </c>
      <c r="H25" t="str">
        <f t="shared" si="0"/>
        <v/>
      </c>
      <c r="I25" t="str">
        <f t="shared" si="3"/>
        <v/>
      </c>
    </row>
    <row r="26" spans="5:9">
      <c r="F26" t="str">
        <f t="shared" si="4"/>
        <v/>
      </c>
      <c r="G26" t="str">
        <f t="shared" si="2"/>
        <v/>
      </c>
      <c r="H26" t="str">
        <f t="shared" si="0"/>
        <v/>
      </c>
      <c r="I26" t="str">
        <f t="shared" si="3"/>
        <v/>
      </c>
    </row>
    <row r="27" spans="5:9">
      <c r="F27" t="str">
        <f t="shared" si="4"/>
        <v/>
      </c>
      <c r="G27" t="str">
        <f t="shared" si="2"/>
        <v/>
      </c>
      <c r="H27" t="str">
        <f t="shared" si="0"/>
        <v/>
      </c>
      <c r="I27" t="str">
        <f t="shared" si="3"/>
        <v/>
      </c>
    </row>
    <row r="28" spans="5:9">
      <c r="F28" t="str">
        <f t="shared" si="4"/>
        <v/>
      </c>
      <c r="G28" t="str">
        <f t="shared" si="2"/>
        <v/>
      </c>
      <c r="H28" t="str">
        <f t="shared" si="0"/>
        <v/>
      </c>
      <c r="I28" t="str">
        <f t="shared" si="3"/>
        <v/>
      </c>
    </row>
    <row r="29" spans="5:9">
      <c r="F29" t="str">
        <f t="shared" ref="F29:F35" si="5">IF(ISBLANK(C29),"",(8*60*26-C29)/D29)</f>
        <v/>
      </c>
      <c r="I29" t="str">
        <f t="shared" si="3"/>
        <v/>
      </c>
    </row>
    <row r="33" spans="1:18">
      <c r="F33" t="str">
        <f t="shared" si="5"/>
        <v/>
      </c>
      <c r="I33" t="str">
        <f t="shared" si="3"/>
        <v/>
      </c>
    </row>
    <row r="34" spans="1:18">
      <c r="F34" t="str">
        <f t="shared" si="5"/>
        <v/>
      </c>
      <c r="I34" t="str">
        <f t="shared" si="3"/>
        <v/>
      </c>
    </row>
    <row r="35" spans="1:18">
      <c r="F35" t="str">
        <f t="shared" si="5"/>
        <v/>
      </c>
      <c r="I35" t="str">
        <f t="shared" si="3"/>
        <v/>
      </c>
    </row>
    <row r="36" spans="1:18">
      <c r="I36" t="str">
        <f t="shared" si="3"/>
        <v/>
      </c>
    </row>
    <row r="38" spans="1:18">
      <c r="A38" s="55"/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</row>
    <row r="39" spans="1:18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</row>
    <row r="40" spans="1:18">
      <c r="A40" s="55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</row>
    <row r="41" spans="1:18">
      <c r="A41" s="55"/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</row>
    <row r="42" spans="1:18">
      <c r="A42" s="55"/>
      <c r="B42" s="55"/>
      <c r="C42" s="55"/>
      <c r="D42" s="55"/>
      <c r="E42" s="337"/>
      <c r="F42" s="337"/>
      <c r="G42" s="337"/>
      <c r="H42" s="337"/>
      <c r="I42" s="337"/>
      <c r="J42" s="337"/>
      <c r="K42" s="337"/>
      <c r="L42" s="55"/>
      <c r="M42" s="55"/>
      <c r="N42" s="55"/>
      <c r="O42" s="55"/>
      <c r="P42" s="55"/>
      <c r="Q42" s="55"/>
      <c r="R42" s="55"/>
    </row>
    <row r="43" spans="1:18">
      <c r="A43" s="55"/>
      <c r="B43" s="55"/>
      <c r="C43" s="55"/>
      <c r="D43" s="55"/>
      <c r="E43" s="337"/>
      <c r="F43" s="337"/>
      <c r="G43" s="337"/>
      <c r="H43" s="337"/>
      <c r="I43" s="337"/>
      <c r="J43" s="337"/>
      <c r="K43" s="337"/>
      <c r="L43" s="55"/>
      <c r="M43" s="55"/>
      <c r="N43" s="55"/>
      <c r="O43" s="55"/>
      <c r="P43" s="55"/>
      <c r="Q43" s="55"/>
      <c r="R43" s="55"/>
    </row>
    <row r="44" spans="1:18" ht="52.5" customHeight="1">
      <c r="A44" s="55"/>
      <c r="B44" s="55"/>
      <c r="C44" s="55"/>
      <c r="D44" s="55"/>
      <c r="E44" s="337"/>
      <c r="F44" s="337"/>
      <c r="G44" s="337"/>
      <c r="H44" s="337"/>
      <c r="I44" s="337"/>
      <c r="J44" s="337"/>
      <c r="K44" s="337"/>
      <c r="L44" s="55"/>
      <c r="M44" s="55"/>
      <c r="N44" s="55"/>
      <c r="O44" s="55"/>
      <c r="P44" s="55"/>
      <c r="Q44" s="55"/>
      <c r="R44" s="55"/>
    </row>
    <row r="45" spans="1:18" ht="193.5" customHeight="1">
      <c r="A45" s="55"/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</row>
    <row r="46" spans="1:18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</row>
    <row r="47" spans="1:18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</row>
    <row r="48" spans="1:18">
      <c r="A48" s="55"/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</row>
    <row r="49" spans="1:18">
      <c r="A49" s="55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</row>
    <row r="50" spans="1:18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</row>
    <row r="51" spans="1:18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</row>
    <row r="52" spans="1:18" ht="33.75" customHeight="1">
      <c r="A52" s="55"/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</row>
    <row r="53" spans="1:18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</row>
    <row r="54" spans="1:18">
      <c r="A54" s="55"/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</row>
    <row r="55" spans="1:18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</row>
    <row r="56" spans="1:18">
      <c r="A56" s="55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</row>
    <row r="63" spans="1:18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</row>
    <row r="64" spans="1:18">
      <c r="A64" s="56"/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</row>
    <row r="65" spans="1:18">
      <c r="A65" s="56"/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</row>
    <row r="66" spans="1:18">
      <c r="A66" s="56"/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</row>
    <row r="67" spans="1:18">
      <c r="A67" s="56"/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</row>
    <row r="68" spans="1:18">
      <c r="A68" s="56"/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</row>
    <row r="69" spans="1:18">
      <c r="A69" s="56"/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</row>
    <row r="70" spans="1:18">
      <c r="A70" s="56"/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</row>
    <row r="71" spans="1:18">
      <c r="A71" s="56"/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</row>
    <row r="72" spans="1:18">
      <c r="A72" s="56"/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</row>
    <row r="73" spans="1:18">
      <c r="A73" s="56"/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</row>
    <row r="74" spans="1:18">
      <c r="A74" s="56"/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</row>
    <row r="75" spans="1:18">
      <c r="A75" s="56"/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</row>
    <row r="76" spans="1:18">
      <c r="A76" s="56"/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</row>
    <row r="77" spans="1:18">
      <c r="A77" s="56"/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</row>
    <row r="78" spans="1:18">
      <c r="A78" s="56"/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</row>
    <row r="79" spans="1:18">
      <c r="A79" s="56"/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</row>
    <row r="80" spans="1:18">
      <c r="A80" s="56"/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</row>
    <row r="81" spans="1:18">
      <c r="A81" s="56"/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</row>
    <row r="82" spans="1:18">
      <c r="A82" s="56"/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</row>
    <row r="83" spans="1:18">
      <c r="A83" s="56"/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</row>
    <row r="84" spans="1:18">
      <c r="A84" s="56"/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</row>
    <row r="85" spans="1:18">
      <c r="A85" s="56"/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</row>
    <row r="86" spans="1:18">
      <c r="A86" s="56"/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</row>
    <row r="87" spans="1:18">
      <c r="A87" s="56"/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</row>
    <row r="88" spans="1:18">
      <c r="A88" s="56"/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</row>
    <row r="89" spans="1:18">
      <c r="A89" s="56"/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</row>
    <row r="90" spans="1:18">
      <c r="A90" s="56"/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</row>
    <row r="91" spans="1:18">
      <c r="A91" s="56"/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</row>
    <row r="92" spans="1:18">
      <c r="A92" s="56"/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</row>
    <row r="93" spans="1:18">
      <c r="A93" s="56"/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</row>
    <row r="94" spans="1:18">
      <c r="A94" s="56"/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</row>
    <row r="95" spans="1:18">
      <c r="A95" s="56"/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</row>
    <row r="102" spans="1:18">
      <c r="A102" s="57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</row>
    <row r="103" spans="1:18">
      <c r="A103" s="57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</row>
    <row r="104" spans="1:18">
      <c r="A104" s="57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</row>
    <row r="105" spans="1:18">
      <c r="A105" s="57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</row>
    <row r="106" spans="1:18">
      <c r="A106" s="57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</row>
    <row r="107" spans="1:18">
      <c r="A107" s="57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</row>
    <row r="108" spans="1:18">
      <c r="A108" s="57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</row>
    <row r="109" spans="1:18">
      <c r="A109" s="57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</row>
    <row r="110" spans="1:18">
      <c r="A110" s="57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</row>
    <row r="111" spans="1:18">
      <c r="A111" s="57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</row>
    <row r="112" spans="1:18">
      <c r="A112" s="57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</row>
    <row r="113" spans="1:18">
      <c r="A113" s="57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</row>
    <row r="114" spans="1:18">
      <c r="A114" s="57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</row>
    <row r="115" spans="1:18">
      <c r="A115" s="57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</row>
    <row r="116" spans="1:18">
      <c r="A116" s="57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</row>
    <row r="117" spans="1:18">
      <c r="A117" s="57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</row>
    <row r="118" spans="1:18">
      <c r="A118" s="57"/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</row>
    <row r="119" spans="1:18">
      <c r="A119" s="57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</row>
    <row r="120" spans="1:18">
      <c r="A120" s="57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</row>
    <row r="121" spans="1:18">
      <c r="A121" s="57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</row>
    <row r="122" spans="1:18">
      <c r="A122" s="57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</row>
    <row r="123" spans="1:18">
      <c r="A123" s="57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</row>
    <row r="124" spans="1:18">
      <c r="A124" s="57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</row>
    <row r="125" spans="1:18">
      <c r="A125" s="57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</row>
    <row r="126" spans="1:18">
      <c r="A126" s="57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</row>
    <row r="127" spans="1:18">
      <c r="A127" s="57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</row>
    <row r="128" spans="1:18">
      <c r="A128" s="57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</row>
    <row r="129" spans="1:18">
      <c r="A129" s="57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</row>
    <row r="130" spans="1:18">
      <c r="A130" s="57"/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</row>
    <row r="140" spans="1:18" ht="15.75" thickBot="1"/>
    <row r="141" spans="1:18" ht="15.75" thickTop="1">
      <c r="A141" s="328" t="s">
        <v>234</v>
      </c>
      <c r="B141" s="329"/>
      <c r="C141" s="330"/>
    </row>
    <row r="142" spans="1:18" ht="15.75" thickBot="1">
      <c r="A142" s="331"/>
      <c r="B142" s="332"/>
      <c r="C142" s="333"/>
    </row>
    <row r="143" spans="1:18" ht="16.5" thickTop="1" thickBot="1">
      <c r="A143" s="46" t="s">
        <v>635</v>
      </c>
      <c r="B143" s="46" t="s">
        <v>637</v>
      </c>
      <c r="C143" s="50" t="s">
        <v>2508</v>
      </c>
      <c r="D143" s="47" t="s">
        <v>2509</v>
      </c>
      <c r="E143" s="47" t="s">
        <v>2510</v>
      </c>
      <c r="F143" s="47" t="s">
        <v>2265</v>
      </c>
      <c r="G143" s="47" t="s">
        <v>2268</v>
      </c>
      <c r="H143" s="47" t="s">
        <v>2269</v>
      </c>
      <c r="I143" s="47" t="s">
        <v>2507</v>
      </c>
      <c r="J143" s="263" t="s">
        <v>4318</v>
      </c>
      <c r="K143" s="263" t="s">
        <v>4319</v>
      </c>
    </row>
    <row r="144" spans="1:18">
      <c r="A144" s="25">
        <v>560</v>
      </c>
      <c r="B144" s="27" t="s">
        <v>9</v>
      </c>
      <c r="C144" s="52" t="str">
        <f>IF(ISERR(GETPIVOTDATA("Somme de Temps d'arrêts",$A$5,"Code machine",Tableau14[[#This Row],[CODE MACHINE]])),"0",(GETPIVOTDATA("Somme de Temps d'arrêts",$A$5,"Code machine",Tableau14[[#This Row],[CODE MACHINE]])))</f>
        <v>0</v>
      </c>
      <c r="D144" s="52" t="str">
        <f>IF(ISERR(GETPIVOTDATA("Nombre de date fin intervention",$D$5,"Code machine",Tableau14[[#This Row],[CODE MACHINE]])),"0",(GETPIVOTDATA("Nombre de date fin intervention",$D$5,"Code machine",Tableau14[[#This Row],[CODE MACHINE]])))</f>
        <v>0</v>
      </c>
      <c r="E144" s="52">
        <v>2</v>
      </c>
      <c r="F144" s="53">
        <f>(8*Tableau14[[#This Row],[Nbre de poste]]*60*26-Tableau14[[#This Row],[∑ temps d''arrêts]])/(Tableau14[[#This Row],[Nb d''arrêt]]+1)</f>
        <v>24960</v>
      </c>
      <c r="G144" s="53">
        <f>Tableau14[[#This Row],[∑ temps d''arrêts]]/(Tableau14[[#This Row],[Nb d''arrêt]]+1)</f>
        <v>0</v>
      </c>
      <c r="H144" s="53">
        <f>(Tableau14[[#This Row],[MTBF]]/(Tableau14[[#This Row],[MTBF]]+Tableau14[[#This Row],[MTTR]]))*100</f>
        <v>100</v>
      </c>
      <c r="I144">
        <v>95</v>
      </c>
      <c r="J144" s="53">
        <v>5760</v>
      </c>
      <c r="K144" s="53">
        <v>120</v>
      </c>
    </row>
    <row r="145" spans="1:18">
      <c r="A145" s="25">
        <v>565</v>
      </c>
      <c r="B145" s="27" t="s">
        <v>240</v>
      </c>
      <c r="C145" s="52" t="str">
        <f>IF(ISERR(GETPIVOTDATA("Somme de Temps d'arrêts",$A$5,"Code machine",Tableau14[[#This Row],[CODE MACHINE]])),"0",(GETPIVOTDATA("Somme de Temps d'arrêts",$A$5,"Code machine",Tableau14[[#This Row],[CODE MACHINE]])))</f>
        <v>0</v>
      </c>
      <c r="D145" s="52" t="str">
        <f>IF(ISERR(GETPIVOTDATA("Nombre de date fin intervention",$D$5,"Code machine",Tableau14[[#This Row],[CODE MACHINE]])),"0",(GETPIVOTDATA("Nombre de date fin intervention",$D$5,"Code machine",Tableau14[[#This Row],[CODE MACHINE]])))</f>
        <v>0</v>
      </c>
      <c r="E145" s="52">
        <v>1</v>
      </c>
      <c r="F145" s="53">
        <f>(8*Tableau14[[#This Row],[Nbre de poste]]*60*26-Tableau14[[#This Row],[∑ temps d''arrêts]])/(Tableau14[[#This Row],[Nb d''arrêt]]+1)</f>
        <v>12480</v>
      </c>
      <c r="G145" s="53">
        <f>Tableau14[[#This Row],[∑ temps d''arrêts]]/(Tableau14[[#This Row],[Nb d''arrêt]]+1)</f>
        <v>0</v>
      </c>
      <c r="H145" s="53">
        <f>(Tableau14[[#This Row],[MTBF]]/(Tableau14[[#This Row],[MTBF]]+Tableau14[[#This Row],[MTTR]]))*100</f>
        <v>100</v>
      </c>
      <c r="I145">
        <v>95</v>
      </c>
      <c r="J145" s="53">
        <v>5760</v>
      </c>
      <c r="K145" s="53">
        <v>120</v>
      </c>
      <c r="M145" t="s">
        <v>4351</v>
      </c>
      <c r="N145" t="s">
        <v>234</v>
      </c>
      <c r="O145" t="s">
        <v>18</v>
      </c>
      <c r="P145" t="s">
        <v>296</v>
      </c>
      <c r="Q145" t="s">
        <v>4352</v>
      </c>
      <c r="R145" s="255" t="s">
        <v>3963</v>
      </c>
    </row>
    <row r="146" spans="1:18">
      <c r="A146" s="25">
        <v>570</v>
      </c>
      <c r="B146" s="27" t="s">
        <v>135</v>
      </c>
      <c r="C146" s="52" t="str">
        <f>IF(ISERR(GETPIVOTDATA("Somme de Temps d'arrêts",$A$5,"Code machine",Tableau14[[#This Row],[CODE MACHINE]])),"0",(GETPIVOTDATA("Somme de Temps d'arrêts",$A$5,"Code machine",Tableau14[[#This Row],[CODE MACHINE]])))</f>
        <v>0</v>
      </c>
      <c r="D146" s="52" t="str">
        <f>IF(ISERR(GETPIVOTDATA("Nombre de date fin intervention",$D$5,"Code machine",Tableau14[[#This Row],[CODE MACHINE]])),"0",(GETPIVOTDATA("Nombre de date fin intervention",$D$5,"Code machine",Tableau14[[#This Row],[CODE MACHINE]])))</f>
        <v>0</v>
      </c>
      <c r="E146" s="52">
        <v>1</v>
      </c>
      <c r="F146" s="53">
        <f>(8*Tableau14[[#This Row],[Nbre de poste]]*60*26-Tableau14[[#This Row],[∑ temps d''arrêts]])/(Tableau14[[#This Row],[Nb d''arrêt]]+1)</f>
        <v>12480</v>
      </c>
      <c r="G146" s="53">
        <f>Tableau14[[#This Row],[∑ temps d''arrêts]]/(Tableau14[[#This Row],[Nb d''arrêt]]+1)</f>
        <v>0</v>
      </c>
      <c r="H146" s="53">
        <f>(Tableau14[[#This Row],[MTBF]]/(Tableau14[[#This Row],[MTBF]]+Tableau14[[#This Row],[MTTR]]))*100</f>
        <v>100</v>
      </c>
      <c r="I146">
        <v>95</v>
      </c>
      <c r="J146" s="53">
        <v>5760</v>
      </c>
      <c r="K146" s="53">
        <v>120</v>
      </c>
      <c r="M146" t="s">
        <v>2265</v>
      </c>
      <c r="N146">
        <f>AVERAGE(Tableau14[MTBF])</f>
        <v>15946.666666666666</v>
      </c>
      <c r="O146">
        <f>AVERAGE(Tableau10[MTBF])</f>
        <v>24960</v>
      </c>
      <c r="P146">
        <f>AVERAGE(Tableau12[MTBF])</f>
        <v>12480</v>
      </c>
      <c r="R146" s="43">
        <f>AVERAGE(N146:P146)</f>
        <v>17795.555555555555</v>
      </c>
    </row>
    <row r="147" spans="1:18">
      <c r="A147" s="25">
        <v>571</v>
      </c>
      <c r="B147" s="27" t="s">
        <v>245</v>
      </c>
      <c r="C147" s="52" t="str">
        <f>IF(ISERR(GETPIVOTDATA("Somme de Temps d'arrêts",$A$5,"Code machine",Tableau14[[#This Row],[CODE MACHINE]])),"0",(GETPIVOTDATA("Somme de Temps d'arrêts",$A$5,"Code machine",Tableau14[[#This Row],[CODE MACHINE]])))</f>
        <v>0</v>
      </c>
      <c r="D147" s="52" t="str">
        <f>IF(ISERR(GETPIVOTDATA("Nombre de date fin intervention",$D$5,"Code machine",Tableau14[[#This Row],[CODE MACHINE]])),"0",(GETPIVOTDATA("Nombre de date fin intervention",$D$5,"Code machine",Tableau14[[#This Row],[CODE MACHINE]])))</f>
        <v>0</v>
      </c>
      <c r="E147" s="52">
        <v>1</v>
      </c>
      <c r="F147" s="53">
        <f>(8*Tableau14[[#This Row],[Nbre de poste]]*60*26-Tableau14[[#This Row],[∑ temps d''arrêts]])/(Tableau14[[#This Row],[Nb d''arrêt]]+1)</f>
        <v>12480</v>
      </c>
      <c r="G147" s="53">
        <f>Tableau14[[#This Row],[∑ temps d''arrêts]]/(Tableau14[[#This Row],[Nb d''arrêt]]+1)</f>
        <v>0</v>
      </c>
      <c r="H147" s="53">
        <f>(Tableau14[[#This Row],[MTBF]]/(Tableau14[[#This Row],[MTBF]]+Tableau14[[#This Row],[MTTR]]))*100</f>
        <v>100</v>
      </c>
      <c r="I147">
        <v>95</v>
      </c>
      <c r="J147" s="53">
        <v>5760</v>
      </c>
      <c r="K147" s="53">
        <v>120</v>
      </c>
      <c r="M147" t="s">
        <v>2268</v>
      </c>
      <c r="N147">
        <f>AVERAGE(Tableau14[MTTR])</f>
        <v>0</v>
      </c>
      <c r="O147">
        <f>AVERAGE(Tableau10[MTTR])</f>
        <v>0</v>
      </c>
      <c r="P147">
        <f>AVERAGE(Tableau12[MTTR])</f>
        <v>0</v>
      </c>
      <c r="R147" s="269">
        <f>AVERAGE(N147:P147)</f>
        <v>0</v>
      </c>
    </row>
    <row r="148" spans="1:18">
      <c r="A148" s="25">
        <v>580</v>
      </c>
      <c r="B148" s="27" t="s">
        <v>256</v>
      </c>
      <c r="C148" s="52" t="str">
        <f>IF(ISERR(GETPIVOTDATA("Somme de Temps d'arrêts",$A$5,"Code machine",Tableau14[[#This Row],[CODE MACHINE]])),"0",(GETPIVOTDATA("Somme de Temps d'arrêts",$A$5,"Code machine",Tableau14[[#This Row],[CODE MACHINE]])))</f>
        <v>0</v>
      </c>
      <c r="D148" s="52" t="str">
        <f>IF(ISERR(GETPIVOTDATA("Nombre de date fin intervention",$D$5,"Code machine",Tableau14[[#This Row],[CODE MACHINE]])),"0",(GETPIVOTDATA("Nombre de date fin intervention",$D$5,"Code machine",Tableau14[[#This Row],[CODE MACHINE]])))</f>
        <v>0</v>
      </c>
      <c r="E148" s="52">
        <v>1</v>
      </c>
      <c r="F148" s="53">
        <f>(8*Tableau14[[#This Row],[Nbre de poste]]*60*26-Tableau14[[#This Row],[∑ temps d''arrêts]])/(Tableau14[[#This Row],[Nb d''arrêt]]+1)</f>
        <v>12480</v>
      </c>
      <c r="G148" s="53">
        <f>Tableau14[[#This Row],[∑ temps d''arrêts]]/(Tableau14[[#This Row],[Nb d''arrêt]]+1)</f>
        <v>0</v>
      </c>
      <c r="H148" s="53">
        <f>(Tableau14[[#This Row],[MTBF]]/(Tableau14[[#This Row],[MTBF]]+Tableau14[[#This Row],[MTTR]]))*100</f>
        <v>100</v>
      </c>
      <c r="I148">
        <v>95</v>
      </c>
      <c r="J148" s="53">
        <v>5760</v>
      </c>
      <c r="K148" s="53">
        <v>120</v>
      </c>
      <c r="M148" t="s">
        <v>2269</v>
      </c>
      <c r="N148">
        <f>AVERAGE(Tableau14[Disponibilité])</f>
        <v>100</v>
      </c>
      <c r="O148">
        <f>AVERAGE(Tableau10[Disponibilité])</f>
        <v>100</v>
      </c>
      <c r="P148">
        <f>AVERAGE(Tableau12[Disponibilité])</f>
        <v>100</v>
      </c>
      <c r="R148" s="269">
        <f>AVERAGE(N148:P148)</f>
        <v>100</v>
      </c>
    </row>
    <row r="149" spans="1:18">
      <c r="A149" s="25">
        <v>581</v>
      </c>
      <c r="B149" s="27" t="s">
        <v>66</v>
      </c>
      <c r="C149" s="52" t="str">
        <f>IF(ISERR(GETPIVOTDATA("Somme de Temps d'arrêts",$A$5,"Code machine",Tableau14[[#This Row],[CODE MACHINE]])),"0",(GETPIVOTDATA("Somme de Temps d'arrêts",$A$5,"Code machine",Tableau14[[#This Row],[CODE MACHINE]])))</f>
        <v>0</v>
      </c>
      <c r="D149" s="52" t="str">
        <f>IF(ISERR(GETPIVOTDATA("Nombre de date fin intervention",$D$5,"Code machine",Tableau14[[#This Row],[CODE MACHINE]])),"0",(GETPIVOTDATA("Nombre de date fin intervention",$D$5,"Code machine",Tableau14[[#This Row],[CODE MACHINE]])))</f>
        <v>0</v>
      </c>
      <c r="E149" s="52">
        <v>1</v>
      </c>
      <c r="F149" s="53">
        <f>(8*Tableau14[[#This Row],[Nbre de poste]]*60*26-Tableau14[[#This Row],[∑ temps d''arrêts]])/(Tableau14[[#This Row],[Nb d''arrêt]]+1)</f>
        <v>12480</v>
      </c>
      <c r="G149" s="53">
        <f>Tableau14[[#This Row],[∑ temps d''arrêts]]/(Tableau14[[#This Row],[Nb d''arrêt]]+1)</f>
        <v>0</v>
      </c>
      <c r="H149" s="53">
        <f>(Tableau14[[#This Row],[MTBF]]/(Tableau14[[#This Row],[MTBF]]+Tableau14[[#This Row],[MTTR]]))*100</f>
        <v>100</v>
      </c>
      <c r="I149">
        <v>95</v>
      </c>
      <c r="J149" s="53">
        <v>5760</v>
      </c>
      <c r="K149" s="53">
        <v>120</v>
      </c>
    </row>
    <row r="150" spans="1:18">
      <c r="A150" s="25">
        <v>582</v>
      </c>
      <c r="B150" s="27" t="s">
        <v>14</v>
      </c>
      <c r="C150" s="52" t="str">
        <f>IF(ISERR(GETPIVOTDATA("Somme de Temps d'arrêts",$A$5,"Code machine",Tableau14[[#This Row],[CODE MACHINE]])),"0",(GETPIVOTDATA("Somme de Temps d'arrêts",$A$5,"Code machine",Tableau14[[#This Row],[CODE MACHINE]])))</f>
        <v>0</v>
      </c>
      <c r="D150" s="52" t="str">
        <f>IF(ISERR(GETPIVOTDATA("Nombre de date fin intervention",$D$5,"Code machine",Tableau14[[#This Row],[CODE MACHINE]])),"0",(GETPIVOTDATA("Nombre de date fin intervention",$D$5,"Code machine",Tableau14[[#This Row],[CODE MACHINE]])))</f>
        <v>0</v>
      </c>
      <c r="E150" s="52">
        <v>1</v>
      </c>
      <c r="F150" s="53">
        <f>(8*Tableau14[[#This Row],[Nbre de poste]]*60*26-Tableau14[[#This Row],[∑ temps d''arrêts]])/(Tableau14[[#This Row],[Nb d''arrêt]]+1)</f>
        <v>12480</v>
      </c>
      <c r="G150" s="53">
        <f>Tableau14[[#This Row],[∑ temps d''arrêts]]/(Tableau14[[#This Row],[Nb d''arrêt]]+1)</f>
        <v>0</v>
      </c>
      <c r="H150" s="53">
        <f>(Tableau14[[#This Row],[MTBF]]/(Tableau14[[#This Row],[MTBF]]+Tableau14[[#This Row],[MTTR]]))*100</f>
        <v>100</v>
      </c>
      <c r="I150">
        <v>95</v>
      </c>
      <c r="J150" s="53">
        <v>5760</v>
      </c>
      <c r="K150" s="53">
        <v>120</v>
      </c>
    </row>
    <row r="151" spans="1:18">
      <c r="A151" s="25">
        <v>590</v>
      </c>
      <c r="B151" s="27" t="s">
        <v>160</v>
      </c>
      <c r="C151" s="52" t="str">
        <f>IF(ISERR(GETPIVOTDATA("Somme de Temps d'arrêts",$A$5,"Code machine",Tableau14[[#This Row],[CODE MACHINE]])),"0",(GETPIVOTDATA("Somme de Temps d'arrêts",$A$5,"Code machine",Tableau14[[#This Row],[CODE MACHINE]])))</f>
        <v>0</v>
      </c>
      <c r="D151" s="52" t="str">
        <f>IF(ISERR(GETPIVOTDATA("Nombre de date fin intervention",$D$5,"Code machine",Tableau14[[#This Row],[CODE MACHINE]])),"0",(GETPIVOTDATA("Nombre de date fin intervention",$D$5,"Code machine",Tableau14[[#This Row],[CODE MACHINE]])))</f>
        <v>0</v>
      </c>
      <c r="E151" s="52">
        <v>2</v>
      </c>
      <c r="F151" s="53">
        <f>(8*Tableau14[[#This Row],[Nbre de poste]]*60*26-Tableau14[[#This Row],[∑ temps d''arrêts]])/(Tableau14[[#This Row],[Nb d''arrêt]]+1)</f>
        <v>24960</v>
      </c>
      <c r="G151" s="53">
        <f>Tableau14[[#This Row],[∑ temps d''arrêts]]/(Tableau14[[#This Row],[Nb d''arrêt]]+1)</f>
        <v>0</v>
      </c>
      <c r="H151" s="53">
        <f>(Tableau14[[#This Row],[MTBF]]/(Tableau14[[#This Row],[MTBF]]+Tableau14[[#This Row],[MTTR]]))*100</f>
        <v>100</v>
      </c>
      <c r="I151">
        <v>95</v>
      </c>
      <c r="J151" s="53">
        <v>5760</v>
      </c>
      <c r="K151" s="53">
        <v>120</v>
      </c>
    </row>
    <row r="152" spans="1:18" hidden="1">
      <c r="A152" s="25">
        <v>600</v>
      </c>
      <c r="B152" s="27" t="s">
        <v>262</v>
      </c>
      <c r="C152" s="52" t="str">
        <f>IF(ISERR(GETPIVOTDATA("Somme de Temps d'arrêts",$A$5,"Code machine",Tableau14[[#This Row],[CODE MACHINE]])),"0",(GETPIVOTDATA("Somme de Temps d'arrêts",$A$5,"Code machine",Tableau14[[#This Row],[CODE MACHINE]])))</f>
        <v>0</v>
      </c>
      <c r="D152" s="52" t="str">
        <f>IF(ISERR(GETPIVOTDATA("Nombre de date fin intervention",$D$5,"Code machine",Tableau14[[#This Row],[CODE MACHINE]])),"0",(GETPIVOTDATA("Nombre de date fin intervention",$D$5,"Code machine",Tableau14[[#This Row],[CODE MACHINE]])))</f>
        <v>0</v>
      </c>
      <c r="E152" s="52">
        <v>1</v>
      </c>
      <c r="F152" s="53">
        <f>(8*Tableau14[[#This Row],[Nbre de poste]]*60*26-Tableau14[[#This Row],[∑ temps d''arrêts]])/(Tableau14[[#This Row],[Nb d''arrêt]]+1)</f>
        <v>12480</v>
      </c>
      <c r="G152" s="53">
        <f>Tableau14[[#This Row],[∑ temps d''arrêts]]/(Tableau14[[#This Row],[Nb d''arrêt]]+1)</f>
        <v>0</v>
      </c>
      <c r="H152" s="53">
        <f>(Tableau14[[#This Row],[MTBF]]/(Tableau14[[#This Row],[MTBF]]+Tableau14[[#This Row],[MTTR]]))*100</f>
        <v>100</v>
      </c>
      <c r="I152">
        <v>95</v>
      </c>
      <c r="J152" s="53">
        <v>5760</v>
      </c>
      <c r="K152" s="53">
        <v>120</v>
      </c>
    </row>
    <row r="153" spans="1:18" hidden="1">
      <c r="A153" s="25">
        <v>601</v>
      </c>
      <c r="B153" s="27" t="s">
        <v>263</v>
      </c>
      <c r="C153" s="52" t="str">
        <f>IF(ISERR(GETPIVOTDATA("Somme de Temps d'arrêts",$A$5,"Code machine",Tableau14[[#This Row],[CODE MACHINE]])),"0",(GETPIVOTDATA("Somme de Temps d'arrêts",$A$5,"Code machine",Tableau14[[#This Row],[CODE MACHINE]])))</f>
        <v>0</v>
      </c>
      <c r="D153" s="52" t="str">
        <f>IF(ISERR(GETPIVOTDATA("Nombre de date fin intervention",$D$5,"Code machine",Tableau14[[#This Row],[CODE MACHINE]])),"0",(GETPIVOTDATA("Nombre de date fin intervention",$D$5,"Code machine",Tableau14[[#This Row],[CODE MACHINE]])))</f>
        <v>0</v>
      </c>
      <c r="E153" s="52">
        <v>1</v>
      </c>
      <c r="F153" s="53">
        <f>(8*Tableau14[[#This Row],[Nbre de poste]]*60*26-Tableau14[[#This Row],[∑ temps d''arrêts]])/(Tableau14[[#This Row],[Nb d''arrêt]]+1)</f>
        <v>12480</v>
      </c>
      <c r="G153" s="53">
        <f>Tableau14[[#This Row],[∑ temps d''arrêts]]/(Tableau14[[#This Row],[Nb d''arrêt]]+1)</f>
        <v>0</v>
      </c>
      <c r="H153" s="53">
        <f>(Tableau14[[#This Row],[MTBF]]/(Tableau14[[#This Row],[MTBF]]+Tableau14[[#This Row],[MTTR]]))*100</f>
        <v>100</v>
      </c>
      <c r="I153">
        <v>95</v>
      </c>
      <c r="J153" s="53">
        <v>5760</v>
      </c>
      <c r="K153" s="53">
        <v>120</v>
      </c>
    </row>
    <row r="154" spans="1:18" hidden="1">
      <c r="A154" s="25">
        <v>602</v>
      </c>
      <c r="B154" s="27" t="s">
        <v>157</v>
      </c>
      <c r="C154" s="52" t="str">
        <f>IF(ISERR(GETPIVOTDATA("Somme de Temps d'arrêts",$A$5,"Code machine",Tableau14[[#This Row],[CODE MACHINE]])),"0",(GETPIVOTDATA("Somme de Temps d'arrêts",$A$5,"Code machine",Tableau14[[#This Row],[CODE MACHINE]])))</f>
        <v>0</v>
      </c>
      <c r="D154" s="52" t="str">
        <f>IF(ISERR(GETPIVOTDATA("Nombre de date fin intervention",$D$5,"Code machine",Tableau14[[#This Row],[CODE MACHINE]])),"0",(GETPIVOTDATA("Nombre de date fin intervention",$D$5,"Code machine",Tableau14[[#This Row],[CODE MACHINE]])))</f>
        <v>0</v>
      </c>
      <c r="E154" s="52">
        <v>1</v>
      </c>
      <c r="F154" s="53">
        <f>(8*Tableau14[[#This Row],[Nbre de poste]]*60*26-Tableau14[[#This Row],[∑ temps d''arrêts]])/(Tableau14[[#This Row],[Nb d''arrêt]]+1)</f>
        <v>12480</v>
      </c>
      <c r="G154" s="53">
        <f>Tableau14[[#This Row],[∑ temps d''arrêts]]/(Tableau14[[#This Row],[Nb d''arrêt]]+1)</f>
        <v>0</v>
      </c>
      <c r="H154" s="53">
        <f>(Tableau14[[#This Row],[MTBF]]/(Tableau14[[#This Row],[MTBF]]+Tableau14[[#This Row],[MTTR]]))*100</f>
        <v>100</v>
      </c>
      <c r="I154">
        <v>95</v>
      </c>
      <c r="J154" s="53">
        <v>5760</v>
      </c>
      <c r="K154" s="53">
        <v>120</v>
      </c>
    </row>
    <row r="155" spans="1:18" hidden="1">
      <c r="A155" s="25">
        <v>603</v>
      </c>
      <c r="B155" s="27" t="s">
        <v>264</v>
      </c>
      <c r="C155" s="52" t="str">
        <f>IF(ISERR(GETPIVOTDATA("Somme de Temps d'arrêts",$A$5,"Code machine",Tableau14[[#This Row],[CODE MACHINE]])),"0",(GETPIVOTDATA("Somme de Temps d'arrêts",$A$5,"Code machine",Tableau14[[#This Row],[CODE MACHINE]])))</f>
        <v>0</v>
      </c>
      <c r="D155" s="52" t="str">
        <f>IF(ISERR(GETPIVOTDATA("Nombre de date fin intervention",$D$5,"Code machine",Tableau14[[#This Row],[CODE MACHINE]])),"0",(GETPIVOTDATA("Nombre de date fin intervention",$D$5,"Code machine",Tableau14[[#This Row],[CODE MACHINE]])))</f>
        <v>0</v>
      </c>
      <c r="E155" s="52">
        <v>1</v>
      </c>
      <c r="F155" s="53">
        <f>(8*Tableau14[[#This Row],[Nbre de poste]]*60*26-Tableau14[[#This Row],[∑ temps d''arrêts]])/(Tableau14[[#This Row],[Nb d''arrêt]]+1)</f>
        <v>12480</v>
      </c>
      <c r="G155" s="53">
        <f>Tableau14[[#This Row],[∑ temps d''arrêts]]/(Tableau14[[#This Row],[Nb d''arrêt]]+1)</f>
        <v>0</v>
      </c>
      <c r="H155" s="53">
        <f>(Tableau14[[#This Row],[MTBF]]/(Tableau14[[#This Row],[MTBF]]+Tableau14[[#This Row],[MTTR]]))*100</f>
        <v>100</v>
      </c>
      <c r="I155">
        <v>95</v>
      </c>
      <c r="J155" s="53">
        <v>5760</v>
      </c>
      <c r="K155" s="53">
        <v>120</v>
      </c>
    </row>
    <row r="156" spans="1:18" hidden="1">
      <c r="A156" s="25">
        <v>604</v>
      </c>
      <c r="B156" s="27" t="s">
        <v>265</v>
      </c>
      <c r="C156" s="52" t="str">
        <f>IF(ISERR(GETPIVOTDATA("Somme de Temps d'arrêts",$A$5,"Code machine",Tableau14[[#This Row],[CODE MACHINE]])),"0",(GETPIVOTDATA("Somme de Temps d'arrêts",$A$5,"Code machine",Tableau14[[#This Row],[CODE MACHINE]])))</f>
        <v>0</v>
      </c>
      <c r="D156" s="52" t="str">
        <f>IF(ISERR(GETPIVOTDATA("Nombre de date fin intervention",$D$5,"Code machine",Tableau14[[#This Row],[CODE MACHINE]])),"0",(GETPIVOTDATA("Nombre de date fin intervention",$D$5,"Code machine",Tableau14[[#This Row],[CODE MACHINE]])))</f>
        <v>0</v>
      </c>
      <c r="E156" s="52">
        <v>1</v>
      </c>
      <c r="F156" s="53">
        <f>(8*Tableau14[[#This Row],[Nbre de poste]]*60*26-Tableau14[[#This Row],[∑ temps d''arrêts]])/(Tableau14[[#This Row],[Nb d''arrêt]]+1)</f>
        <v>12480</v>
      </c>
      <c r="G156" s="53">
        <f>Tableau14[[#This Row],[∑ temps d''arrêts]]/(Tableau14[[#This Row],[Nb d''arrêt]]+1)</f>
        <v>0</v>
      </c>
      <c r="H156" s="53">
        <f>(Tableau14[[#This Row],[MTBF]]/(Tableau14[[#This Row],[MTBF]]+Tableau14[[#This Row],[MTTR]]))*100</f>
        <v>100</v>
      </c>
      <c r="I156">
        <v>95</v>
      </c>
      <c r="J156" s="53">
        <v>5760</v>
      </c>
      <c r="K156" s="53">
        <v>120</v>
      </c>
    </row>
    <row r="157" spans="1:18" hidden="1">
      <c r="A157" s="25">
        <v>605</v>
      </c>
      <c r="B157" s="27" t="s">
        <v>2503</v>
      </c>
      <c r="C157" s="52" t="str">
        <f>IF(ISERR(GETPIVOTDATA("Somme de Temps d'arrêts",$A$5,"Code machine",Tableau14[[#This Row],[CODE MACHINE]])),"0",(GETPIVOTDATA("Somme de Temps d'arrêts",$A$5,"Code machine",Tableau14[[#This Row],[CODE MACHINE]])))</f>
        <v>0</v>
      </c>
      <c r="D157" s="52" t="str">
        <f>IF(ISERR(GETPIVOTDATA("Nombre de date fin intervention",$D$5,"Code machine",Tableau14[[#This Row],[CODE MACHINE]])),"0",(GETPIVOTDATA("Nombre de date fin intervention",$D$5,"Code machine",Tableau14[[#This Row],[CODE MACHINE]])))</f>
        <v>0</v>
      </c>
      <c r="E157" s="52">
        <v>2</v>
      </c>
      <c r="F157" s="53">
        <f>(8*Tableau14[[#This Row],[Nbre de poste]]*60*26-Tableau14[[#This Row],[∑ temps d''arrêts]])/(Tableau14[[#This Row],[Nb d''arrêt]]+1)</f>
        <v>24960</v>
      </c>
      <c r="G157" s="53">
        <f>Tableau14[[#This Row],[∑ temps d''arrêts]]/(Tableau14[[#This Row],[Nb d''arrêt]]+1)</f>
        <v>0</v>
      </c>
      <c r="H157" s="53">
        <f>(Tableau14[[#This Row],[MTBF]]/(Tableau14[[#This Row],[MTBF]]+Tableau14[[#This Row],[MTTR]]))*100</f>
        <v>100</v>
      </c>
      <c r="I157">
        <v>95</v>
      </c>
      <c r="J157" s="53">
        <v>5760</v>
      </c>
      <c r="K157" s="53">
        <v>120</v>
      </c>
    </row>
    <row r="158" spans="1:18" hidden="1">
      <c r="A158" s="25">
        <v>606</v>
      </c>
      <c r="B158" s="27" t="s">
        <v>2504</v>
      </c>
      <c r="C158" s="52" t="str">
        <f>IF(ISERR(GETPIVOTDATA("Somme de Temps d'arrêts",$A$5,"Code machine",Tableau14[[#This Row],[CODE MACHINE]])),"0",(GETPIVOTDATA("Somme de Temps d'arrêts",$A$5,"Code machine",Tableau14[[#This Row],[CODE MACHINE]])))</f>
        <v>0</v>
      </c>
      <c r="D158" s="52" t="str">
        <f>IF(ISERR(GETPIVOTDATA("Nombre de date fin intervention",$D$5,"Code machine",Tableau14[[#This Row],[CODE MACHINE]])),"0",(GETPIVOTDATA("Nombre de date fin intervention",$D$5,"Code machine",Tableau14[[#This Row],[CODE MACHINE]])))</f>
        <v>0</v>
      </c>
      <c r="E158" s="52">
        <v>2</v>
      </c>
      <c r="F158" s="53">
        <f>(8*Tableau14[[#This Row],[Nbre de poste]]*60*26-Tableau14[[#This Row],[∑ temps d''arrêts]])/(Tableau14[[#This Row],[Nb d''arrêt]]+1)</f>
        <v>24960</v>
      </c>
      <c r="G158" s="53">
        <f>Tableau14[[#This Row],[∑ temps d''arrêts]]/(Tableau14[[#This Row],[Nb d''arrêt]]+1)</f>
        <v>0</v>
      </c>
      <c r="H158" s="53">
        <f>(Tableau14[[#This Row],[MTBF]]/(Tableau14[[#This Row],[MTBF]]+Tableau14[[#This Row],[MTTR]]))*100</f>
        <v>100</v>
      </c>
      <c r="I158">
        <v>95</v>
      </c>
      <c r="J158" s="53">
        <v>5760</v>
      </c>
      <c r="K158" s="53">
        <v>120</v>
      </c>
    </row>
    <row r="159" spans="1:18" hidden="1">
      <c r="A159" s="25">
        <v>607</v>
      </c>
      <c r="B159" s="27" t="s">
        <v>2505</v>
      </c>
      <c r="C159" s="52" t="str">
        <f>IF(ISERR(GETPIVOTDATA("Somme de Temps d'arrêts",$A$5,"Code machine",Tableau14[[#This Row],[CODE MACHINE]])),"0",(GETPIVOTDATA("Somme de Temps d'arrêts",$A$5,"Code machine",Tableau14[[#This Row],[CODE MACHINE]])))</f>
        <v>0</v>
      </c>
      <c r="D159" s="52" t="str">
        <f>IF(ISERR(GETPIVOTDATA("Nombre de date fin intervention",$D$5,"Code machine",Tableau14[[#This Row],[CODE MACHINE]])),"0",(GETPIVOTDATA("Nombre de date fin intervention",$D$5,"Code machine",Tableau14[[#This Row],[CODE MACHINE]])))</f>
        <v>0</v>
      </c>
      <c r="E159" s="52">
        <v>2</v>
      </c>
      <c r="F159" s="53">
        <f>(8*Tableau14[[#This Row],[Nbre de poste]]*60*26-Tableau14[[#This Row],[∑ temps d''arrêts]])/(Tableau14[[#This Row],[Nb d''arrêt]]+1)</f>
        <v>24960</v>
      </c>
      <c r="G159" s="53">
        <f>Tableau14[[#This Row],[∑ temps d''arrêts]]/(Tableau14[[#This Row],[Nb d''arrêt]]+1)</f>
        <v>0</v>
      </c>
      <c r="H159" s="53">
        <f>(Tableau14[[#This Row],[MTBF]]/(Tableau14[[#This Row],[MTBF]]+Tableau14[[#This Row],[MTTR]]))*100</f>
        <v>100</v>
      </c>
      <c r="I159">
        <v>95</v>
      </c>
      <c r="J159" s="53">
        <v>5760</v>
      </c>
      <c r="K159" s="53">
        <v>120</v>
      </c>
    </row>
    <row r="160" spans="1:18" hidden="1">
      <c r="A160" s="25">
        <v>610</v>
      </c>
      <c r="B160" s="27" t="s">
        <v>266</v>
      </c>
      <c r="C160" s="52" t="str">
        <f>IF(ISERR(GETPIVOTDATA("Somme de Temps d'arrêts",$A$5,"Code machine",Tableau14[[#This Row],[CODE MACHINE]])),"0",(GETPIVOTDATA("Somme de Temps d'arrêts",$A$5,"Code machine",Tableau14[[#This Row],[CODE MACHINE]])))</f>
        <v>0</v>
      </c>
      <c r="D160" s="52" t="str">
        <f>IF(ISERR(GETPIVOTDATA("Nombre de date fin intervention",$D$5,"Code machine",Tableau14[[#This Row],[CODE MACHINE]])),"0",(GETPIVOTDATA("Nombre de date fin intervention",$D$5,"Code machine",Tableau14[[#This Row],[CODE MACHINE]])))</f>
        <v>0</v>
      </c>
      <c r="E160" s="52">
        <v>1</v>
      </c>
      <c r="F160" s="53">
        <f>(8*Tableau14[[#This Row],[Nbre de poste]]*60*26-Tableau14[[#This Row],[∑ temps d''arrêts]])/(Tableau14[[#This Row],[Nb d''arrêt]]+1)</f>
        <v>12480</v>
      </c>
      <c r="G160" s="53">
        <f>Tableau14[[#This Row],[∑ temps d''arrêts]]/(Tableau14[[#This Row],[Nb d''arrêt]]+1)</f>
        <v>0</v>
      </c>
      <c r="H160" s="53">
        <f>(Tableau14[[#This Row],[MTBF]]/(Tableau14[[#This Row],[MTBF]]+Tableau14[[#This Row],[MTTR]]))*100</f>
        <v>100</v>
      </c>
      <c r="I160">
        <v>95</v>
      </c>
      <c r="J160" s="53">
        <v>5760</v>
      </c>
      <c r="K160" s="53">
        <v>120</v>
      </c>
    </row>
    <row r="161" spans="1:41" ht="15.75" thickBot="1">
      <c r="A161" s="48">
        <v>620</v>
      </c>
      <c r="B161" s="49" t="s">
        <v>252</v>
      </c>
      <c r="C161" s="52" t="str">
        <f>IF(ISERR(GETPIVOTDATA("Somme de Temps d'arrêts",$A$5,"Code machine",Tableau14[[#This Row],[CODE MACHINE]])),"0",(GETPIVOTDATA("Somme de Temps d'arrêts",$A$5,"Code machine",Tableau14[[#This Row],[CODE MACHINE]])))</f>
        <v>0</v>
      </c>
      <c r="D161" s="52" t="str">
        <f>IF(ISERR(GETPIVOTDATA("Nombre de date fin intervention",$D$5,"Code machine",Tableau14[[#This Row],[CODE MACHINE]])),"0",(GETPIVOTDATA("Nombre de date fin intervention",$D$5,"Code machine",Tableau14[[#This Row],[CODE MACHINE]])))</f>
        <v>0</v>
      </c>
      <c r="E161" s="52">
        <v>1</v>
      </c>
      <c r="F161" s="53">
        <f>(8*Tableau14[[#This Row],[Nbre de poste]]*60*26-Tableau14[[#This Row],[∑ temps d''arrêts]])/(Tableau14[[#This Row],[Nb d''arrêt]]+1)</f>
        <v>12480</v>
      </c>
      <c r="G161" s="53">
        <f>Tableau14[[#This Row],[∑ temps d''arrêts]]/(Tableau14[[#This Row],[Nb d''arrêt]]+1)</f>
        <v>0</v>
      </c>
      <c r="H161" s="53">
        <f>(Tableau14[[#This Row],[MTBF]]/(Tableau14[[#This Row],[MTBF]]+Tableau14[[#This Row],[MTTR]]))*100</f>
        <v>100</v>
      </c>
      <c r="I161">
        <v>95</v>
      </c>
      <c r="J161" s="53">
        <v>5760</v>
      </c>
      <c r="K161" s="53">
        <v>120</v>
      </c>
    </row>
    <row r="162" spans="1:41" ht="15.75" thickBot="1"/>
    <row r="163" spans="1:41" ht="15" customHeight="1" thickTop="1">
      <c r="A163" s="328" t="s">
        <v>2506</v>
      </c>
      <c r="B163" s="329"/>
      <c r="C163" s="330"/>
    </row>
    <row r="164" spans="1:41" ht="15.75" customHeight="1">
      <c r="A164" s="334"/>
      <c r="B164" s="335"/>
      <c r="C164" s="336"/>
    </row>
    <row r="165" spans="1:41" ht="15.75" thickBot="1">
      <c r="A165" s="46" t="s">
        <v>2511</v>
      </c>
      <c r="B165" s="46" t="s">
        <v>3</v>
      </c>
      <c r="C165" s="50" t="s">
        <v>2508</v>
      </c>
      <c r="D165" s="47" t="s">
        <v>2509</v>
      </c>
      <c r="E165" s="47" t="s">
        <v>2510</v>
      </c>
      <c r="F165" s="47" t="s">
        <v>2265</v>
      </c>
      <c r="G165" s="47" t="s">
        <v>2268</v>
      </c>
      <c r="H165" s="46" t="s">
        <v>2269</v>
      </c>
      <c r="I165" s="46" t="s">
        <v>4317</v>
      </c>
      <c r="J165" s="263" t="s">
        <v>4318</v>
      </c>
      <c r="K165" s="263" t="s">
        <v>4319</v>
      </c>
    </row>
    <row r="166" spans="1:41">
      <c r="A166" s="25">
        <v>700</v>
      </c>
      <c r="B166" s="27" t="s">
        <v>227</v>
      </c>
      <c r="C166" t="str">
        <f>IF(ISERR(GETPIVOTDATA("Somme de Temps d'arrêts",$A$5,"Code machine",Tableau10[[#This Row],[Code Machine]])),"0",(GETPIVOTDATA("Somme de Temps d'arrêts",$A$5,"Code machine",Tableau10[[#This Row],[Code Machine]])))</f>
        <v>0</v>
      </c>
      <c r="D166" t="str">
        <f>IF(ISERR(GETPIVOTDATA("Nombre de date fin intervention",$D$5,"Code machine",Tableau10[[#This Row],[Code Machine]])),"0",(GETPIVOTDATA("Nombre de date fin intervention",$D$5,"Code machine",Tableau10[[#This Row],[Code Machine]])))</f>
        <v>0</v>
      </c>
      <c r="E166">
        <v>2</v>
      </c>
      <c r="F166" s="53">
        <f>(8*Tableau10[[#This Row],[Nbre de poste]]*60*26-Tableau10[[#This Row],[∑ temps d''arrêts]])/(Tableau10[[#This Row],[Nb d''arrêt]]+1)</f>
        <v>24960</v>
      </c>
      <c r="G166" s="53">
        <f>Tableau10[[#This Row],[∑ temps d''arrêts]]/(Tableau10[[#This Row],[Nb d''arrêt]]+1)</f>
        <v>0</v>
      </c>
      <c r="H166" s="53">
        <f>(Tableau10[[#This Row],[MTBF]]/(Tableau10[[#This Row],[MTBF]]+Tableau10[[#This Row],[MTTR]]))*100</f>
        <v>100</v>
      </c>
      <c r="I166">
        <v>95</v>
      </c>
      <c r="J166" s="53">
        <v>5760</v>
      </c>
      <c r="K166" s="53">
        <v>120</v>
      </c>
    </row>
    <row r="167" spans="1:41">
      <c r="A167" s="25">
        <v>800</v>
      </c>
      <c r="B167" s="27" t="s">
        <v>229</v>
      </c>
      <c r="C167" t="str">
        <f>IF(ISERR(GETPIVOTDATA("Somme de Temps d'arrêts",$A$5,"Code machine",Tableau10[[#This Row],[Code Machine]])),"0",(GETPIVOTDATA("Somme de Temps d'arrêts",$A$5,"Code machine",Tableau10[[#This Row],[Code Machine]])))</f>
        <v>0</v>
      </c>
      <c r="D167" t="str">
        <f>IF(ISERR(GETPIVOTDATA("Nombre de date fin intervention",$D$5,"Code machine",Tableau10[[#This Row],[Code Machine]])),"0",(GETPIVOTDATA("Nombre de date fin intervention",$D$5,"Code machine",Tableau10[[#This Row],[Code Machine]])))</f>
        <v>0</v>
      </c>
      <c r="E167">
        <v>2</v>
      </c>
      <c r="F167" s="53">
        <f>(8*Tableau10[[#This Row],[Nbre de poste]]*60*26-Tableau10[[#This Row],[∑ temps d''arrêts]])/(Tableau10[[#This Row],[Nb d''arrêt]]+1)</f>
        <v>24960</v>
      </c>
      <c r="G167" s="53">
        <f>Tableau10[[#This Row],[∑ temps d''arrêts]]/(Tableau10[[#This Row],[Nb d''arrêt]]+1)</f>
        <v>0</v>
      </c>
      <c r="H167" s="53">
        <f>(Tableau10[[#This Row],[MTBF]]/(Tableau10[[#This Row],[MTBF]]+Tableau10[[#This Row],[MTTR]]))*100</f>
        <v>100</v>
      </c>
      <c r="I167">
        <v>95</v>
      </c>
      <c r="J167" s="53">
        <v>5760</v>
      </c>
      <c r="K167" s="53">
        <v>120</v>
      </c>
    </row>
    <row r="170" spans="1:41">
      <c r="AO170" t="s">
        <v>2512</v>
      </c>
    </row>
    <row r="182" spans="1:11" ht="15.75" thickBot="1"/>
    <row r="183" spans="1:11" ht="15" customHeight="1" thickTop="1">
      <c r="A183" s="328" t="s">
        <v>296</v>
      </c>
      <c r="B183" s="329"/>
      <c r="C183" s="330"/>
    </row>
    <row r="184" spans="1:11" ht="15" customHeight="1">
      <c r="A184" s="334"/>
      <c r="B184" s="335"/>
      <c r="C184" s="336"/>
    </row>
    <row r="185" spans="1:11" ht="15.75" thickBot="1">
      <c r="A185" t="s">
        <v>2511</v>
      </c>
      <c r="B185" t="s">
        <v>3</v>
      </c>
      <c r="C185" s="50" t="s">
        <v>2508</v>
      </c>
      <c r="D185" s="47" t="s">
        <v>2509</v>
      </c>
      <c r="E185" s="47" t="s">
        <v>2510</v>
      </c>
      <c r="F185" s="47" t="s">
        <v>2265</v>
      </c>
      <c r="G185" s="47" t="s">
        <v>2268</v>
      </c>
      <c r="H185" t="s">
        <v>2269</v>
      </c>
      <c r="I185" t="s">
        <v>2507</v>
      </c>
      <c r="J185" s="263" t="s">
        <v>4318</v>
      </c>
      <c r="K185" s="263" t="s">
        <v>4319</v>
      </c>
    </row>
    <row r="186" spans="1:11">
      <c r="A186" s="25">
        <v>533</v>
      </c>
      <c r="B186" s="27" t="s">
        <v>269</v>
      </c>
      <c r="C186" s="51" t="str">
        <f>IF(ISERR(GETPIVOTDATA("Somme de Temps d'arrêts",$A$5,"Code machine",Tableau12[[#This Row],[Code Machine]])),"0",(GETPIVOTDATA("Somme de Temps d'arrêts",$A$5,"Code machine",Tableau12[[#This Row],[Code Machine]])))</f>
        <v>0</v>
      </c>
      <c r="D186" s="51" t="str">
        <f>IF(ISERR(GETPIVOTDATA("Nombre de date fin intervention",$D$5,"Code machine",Tableau12[[#This Row],[Code Machine]])),"0",(GETPIVOTDATA("Nombre de date fin intervention",$D$5,"Code machine",Tableau12[[#This Row],[Code Machine]])))</f>
        <v>0</v>
      </c>
      <c r="E186" s="51">
        <v>1</v>
      </c>
      <c r="F186" s="54">
        <f>(8*Tableau12[[#This Row],[Nbre de poste]]*60*26-Tableau12[[#This Row],[∑ temps d''arrêts]])/(Tableau12[[#This Row],[Nb d''arrêt]]+1)</f>
        <v>12480</v>
      </c>
      <c r="G186" s="54">
        <f>Tableau12[[#This Row],[∑ temps d''arrêts]]/(Tableau12[[#This Row],[Nb d''arrêt]]+1)</f>
        <v>0</v>
      </c>
      <c r="H186" s="53">
        <f>(Tableau12[[#This Row],[MTBF]]/(Tableau12[[#This Row],[MTBF]]+Tableau12[[#This Row],[MTTR]]))*100</f>
        <v>100</v>
      </c>
      <c r="I186">
        <v>95</v>
      </c>
      <c r="J186">
        <v>5760</v>
      </c>
      <c r="K186">
        <v>120</v>
      </c>
    </row>
    <row r="187" spans="1:11">
      <c r="A187" s="25">
        <v>534</v>
      </c>
      <c r="B187" s="27" t="s">
        <v>2397</v>
      </c>
      <c r="C187" s="51" t="str">
        <f>IF(ISERR(GETPIVOTDATA("Somme de Temps d'arrêts",$A$5,"Code machine",Tableau12[[#This Row],[Code Machine]])),"0",(GETPIVOTDATA("Somme de Temps d'arrêts",$A$5,"Code machine",Tableau12[[#This Row],[Code Machine]])))</f>
        <v>0</v>
      </c>
      <c r="D187" s="51" t="str">
        <f>IF(ISERR(GETPIVOTDATA("Nombre de date fin intervention",$D$5,"Code machine",Tableau12[[#This Row],[Code Machine]])),"0",(GETPIVOTDATA("Nombre de date fin intervention",$D$5,"Code machine",Tableau12[[#This Row],[Code Machine]])))</f>
        <v>0</v>
      </c>
      <c r="E187" s="51">
        <v>1</v>
      </c>
      <c r="F187" s="54">
        <f>(8*Tableau12[[#This Row],[Nbre de poste]]*60*26-Tableau12[[#This Row],[∑ temps d''arrêts]])/(Tableau12[[#This Row],[Nb d''arrêt]]+1)</f>
        <v>12480</v>
      </c>
      <c r="G187" s="54">
        <f>Tableau12[[#This Row],[∑ temps d''arrêts]]/(Tableau12[[#This Row],[Nb d''arrêt]]+1)</f>
        <v>0</v>
      </c>
      <c r="H187" s="53">
        <f>(Tableau12[[#This Row],[MTBF]]/(Tableau12[[#This Row],[MTBF]]+Tableau12[[#This Row],[MTTR]]))*100</f>
        <v>100</v>
      </c>
      <c r="I187">
        <v>95</v>
      </c>
      <c r="J187">
        <v>5760</v>
      </c>
      <c r="K187">
        <v>120</v>
      </c>
    </row>
  </sheetData>
  <mergeCells count="4">
    <mergeCell ref="A141:C142"/>
    <mergeCell ref="A163:C164"/>
    <mergeCell ref="A183:C184"/>
    <mergeCell ref="E42:K44"/>
  </mergeCells>
  <pageMargins left="0.7" right="0.7" top="0.75" bottom="0.75" header="0.3" footer="0.3"/>
  <pageSetup paperSize="9"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61">
    <tabColor rgb="FFFF0000"/>
  </sheetPr>
  <dimension ref="A1:F11"/>
  <sheetViews>
    <sheetView showGridLines="0" zoomScale="85" zoomScaleNormal="85" workbookViewId="0"/>
  </sheetViews>
  <sheetFormatPr baseColWidth="10" defaultColWidth="11.42578125" defaultRowHeight="15"/>
  <cols>
    <col min="1" max="1" width="16.7109375" style="95" customWidth="1"/>
    <col min="2" max="2" width="16.5703125" style="95" customWidth="1"/>
    <col min="3" max="3" width="36.42578125" style="95" customWidth="1"/>
    <col min="4" max="4" width="33.140625" style="95" customWidth="1"/>
    <col min="5" max="5" width="61" style="95" customWidth="1"/>
    <col min="6" max="6" width="57.42578125" style="95" customWidth="1"/>
    <col min="7" max="7" width="52.7109375" style="95" customWidth="1"/>
    <col min="8" max="16384" width="11.42578125" style="95"/>
  </cols>
  <sheetData>
    <row r="1" spans="1:6" ht="30">
      <c r="A1" s="103" t="s">
        <v>343</v>
      </c>
      <c r="B1" s="102" t="s">
        <v>294</v>
      </c>
    </row>
    <row r="3" spans="1:6" s="98" customFormat="1" ht="30">
      <c r="A3" s="97" t="s">
        <v>1996</v>
      </c>
      <c r="B3" s="97" t="s">
        <v>1</v>
      </c>
      <c r="C3" s="97" t="s">
        <v>3</v>
      </c>
      <c r="D3" s="97" t="s">
        <v>346</v>
      </c>
      <c r="E3" s="97" t="s">
        <v>345</v>
      </c>
      <c r="F3" s="97" t="s">
        <v>347</v>
      </c>
    </row>
    <row r="4" spans="1:6" ht="30">
      <c r="A4" s="101">
        <v>44762</v>
      </c>
      <c r="B4" s="98" t="s">
        <v>234</v>
      </c>
      <c r="C4" s="98" t="s">
        <v>2504</v>
      </c>
      <c r="D4" s="98" t="s">
        <v>4151</v>
      </c>
      <c r="E4" s="98" t="s">
        <v>4150</v>
      </c>
      <c r="F4" s="98" t="s">
        <v>4152</v>
      </c>
    </row>
    <row r="5" spans="1:6">
      <c r="A5" s="101">
        <v>44823</v>
      </c>
      <c r="B5" s="98" t="s">
        <v>18</v>
      </c>
      <c r="C5" s="98" t="s">
        <v>229</v>
      </c>
      <c r="D5" s="98" t="s">
        <v>4156</v>
      </c>
      <c r="E5" s="98" t="s">
        <v>4157</v>
      </c>
      <c r="F5" s="98" t="s">
        <v>4158</v>
      </c>
    </row>
    <row r="6" spans="1:6">
      <c r="A6" s="101">
        <v>45081</v>
      </c>
      <c r="B6" s="98" t="s">
        <v>234</v>
      </c>
      <c r="C6" s="98" t="s">
        <v>160</v>
      </c>
      <c r="D6" s="98" t="s">
        <v>294</v>
      </c>
      <c r="E6" s="98" t="s">
        <v>294</v>
      </c>
      <c r="F6" s="98" t="s">
        <v>294</v>
      </c>
    </row>
    <row r="7" spans="1:6">
      <c r="A7" s="101">
        <v>45182</v>
      </c>
      <c r="B7" s="98" t="s">
        <v>234</v>
      </c>
      <c r="C7" s="98" t="s">
        <v>160</v>
      </c>
      <c r="D7" s="98" t="s">
        <v>294</v>
      </c>
      <c r="E7" s="98" t="s">
        <v>294</v>
      </c>
      <c r="F7" s="98" t="s">
        <v>294</v>
      </c>
    </row>
    <row r="8" spans="1:6">
      <c r="A8"/>
      <c r="B8"/>
      <c r="C8"/>
      <c r="D8"/>
      <c r="E8"/>
      <c r="F8"/>
    </row>
    <row r="9" spans="1:6">
      <c r="A9"/>
      <c r="B9"/>
      <c r="C9"/>
      <c r="D9"/>
      <c r="E9"/>
      <c r="F9"/>
    </row>
    <row r="10" spans="1:6">
      <c r="A10"/>
      <c r="B10"/>
      <c r="C10"/>
      <c r="D10"/>
      <c r="E10"/>
      <c r="F10"/>
    </row>
    <row r="11" spans="1:6">
      <c r="A11"/>
      <c r="B11"/>
      <c r="C11"/>
      <c r="D11"/>
      <c r="E11"/>
      <c r="F11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7">
    <tabColor rgb="FFFFC000"/>
  </sheetPr>
  <dimension ref="A2:F7"/>
  <sheetViews>
    <sheetView showGridLines="0" zoomScale="85" zoomScaleNormal="85" workbookViewId="0"/>
  </sheetViews>
  <sheetFormatPr baseColWidth="10" defaultColWidth="11.42578125" defaultRowHeight="15"/>
  <cols>
    <col min="1" max="1" width="21" bestFit="1" customWidth="1"/>
    <col min="2" max="2" width="11" bestFit="1" customWidth="1"/>
    <col min="3" max="3" width="12.42578125" customWidth="1"/>
    <col min="4" max="4" width="28.28515625" customWidth="1"/>
    <col min="5" max="5" width="71.140625" customWidth="1"/>
    <col min="6" max="6" width="60.140625" customWidth="1"/>
    <col min="7" max="7" width="69.85546875" bestFit="1" customWidth="1"/>
  </cols>
  <sheetData>
    <row r="2" spans="1:6">
      <c r="A2" s="96" t="s">
        <v>3027</v>
      </c>
      <c r="B2" s="95" t="s">
        <v>3028</v>
      </c>
    </row>
    <row r="4" spans="1:6">
      <c r="A4" s="96" t="s">
        <v>1996</v>
      </c>
      <c r="B4" s="96" t="s">
        <v>1</v>
      </c>
      <c r="C4" s="96" t="s">
        <v>3</v>
      </c>
      <c r="D4" s="96" t="s">
        <v>346</v>
      </c>
      <c r="E4" s="96" t="s">
        <v>345</v>
      </c>
      <c r="F4" s="96" t="s">
        <v>347</v>
      </c>
    </row>
    <row r="5" spans="1:6" ht="30">
      <c r="A5" s="99">
        <v>44510</v>
      </c>
      <c r="B5" s="100" t="s">
        <v>18</v>
      </c>
      <c r="C5" s="100" t="s">
        <v>229</v>
      </c>
      <c r="D5" s="100" t="s">
        <v>482</v>
      </c>
      <c r="E5" s="100" t="s">
        <v>706</v>
      </c>
      <c r="F5" s="100" t="s">
        <v>4143</v>
      </c>
    </row>
    <row r="6" spans="1:6" ht="30">
      <c r="A6" s="99">
        <v>44667</v>
      </c>
      <c r="B6" s="100" t="s">
        <v>18</v>
      </c>
      <c r="C6" s="100" t="s">
        <v>227</v>
      </c>
      <c r="D6" s="100" t="s">
        <v>4089</v>
      </c>
      <c r="E6" s="100" t="s">
        <v>4090</v>
      </c>
      <c r="F6" s="100" t="s">
        <v>4091</v>
      </c>
    </row>
    <row r="7" spans="1:6" ht="30">
      <c r="A7" s="99">
        <v>44764</v>
      </c>
      <c r="B7" s="100" t="s">
        <v>234</v>
      </c>
      <c r="C7" s="100" t="s">
        <v>240</v>
      </c>
      <c r="D7" s="100" t="s">
        <v>4146</v>
      </c>
      <c r="E7" s="100" t="s">
        <v>4148</v>
      </c>
      <c r="F7" s="100" t="s">
        <v>4149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8"/>
  <dimension ref="A4:B48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6" sqref="C6"/>
    </sheetView>
  </sheetViews>
  <sheetFormatPr baseColWidth="10" defaultColWidth="11.42578125" defaultRowHeight="15"/>
  <cols>
    <col min="1" max="1" width="21" bestFit="1" customWidth="1"/>
    <col min="2" max="2" width="37.28515625" bestFit="1" customWidth="1"/>
    <col min="3" max="3" width="17.85546875" customWidth="1"/>
    <col min="4" max="11" width="3" customWidth="1"/>
    <col min="12" max="12" width="12.42578125" bestFit="1" customWidth="1"/>
  </cols>
  <sheetData>
    <row r="4" spans="1:2">
      <c r="A4" s="22" t="s">
        <v>293</v>
      </c>
      <c r="B4" s="22" t="s">
        <v>3</v>
      </c>
    </row>
    <row r="5" spans="1:2">
      <c r="A5" t="s">
        <v>234</v>
      </c>
      <c r="B5" t="s">
        <v>240</v>
      </c>
    </row>
    <row r="6" spans="1:2">
      <c r="B6" t="s">
        <v>245</v>
      </c>
    </row>
    <row r="7" spans="1:2">
      <c r="B7" t="s">
        <v>9</v>
      </c>
    </row>
    <row r="8" spans="1:2">
      <c r="B8" t="s">
        <v>135</v>
      </c>
    </row>
    <row r="9" spans="1:2">
      <c r="B9" t="s">
        <v>256</v>
      </c>
    </row>
    <row r="10" spans="1:2">
      <c r="B10" t="s">
        <v>66</v>
      </c>
    </row>
    <row r="11" spans="1:2">
      <c r="B11" t="s">
        <v>14</v>
      </c>
    </row>
    <row r="12" spans="1:2">
      <c r="B12" t="s">
        <v>160</v>
      </c>
    </row>
    <row r="13" spans="1:2">
      <c r="B13" t="s">
        <v>265</v>
      </c>
    </row>
    <row r="14" spans="1:2">
      <c r="B14" t="s">
        <v>263</v>
      </c>
    </row>
    <row r="15" spans="1:2">
      <c r="B15" t="s">
        <v>264</v>
      </c>
    </row>
    <row r="16" spans="1:2">
      <c r="B16" t="s">
        <v>252</v>
      </c>
    </row>
    <row r="17" spans="1:2">
      <c r="B17" t="s">
        <v>266</v>
      </c>
    </row>
    <row r="18" spans="1:2">
      <c r="B18" t="s">
        <v>157</v>
      </c>
    </row>
    <row r="19" spans="1:2">
      <c r="B19" t="s">
        <v>2505</v>
      </c>
    </row>
    <row r="20" spans="1:2">
      <c r="B20" t="s">
        <v>2503</v>
      </c>
    </row>
    <row r="21" spans="1:2">
      <c r="B21" t="s">
        <v>2504</v>
      </c>
    </row>
    <row r="22" spans="1:2">
      <c r="B22" t="s">
        <v>4548</v>
      </c>
    </row>
    <row r="23" spans="1:2">
      <c r="A23" t="s">
        <v>38</v>
      </c>
      <c r="B23" t="s">
        <v>243</v>
      </c>
    </row>
    <row r="24" spans="1:2">
      <c r="A24" t="s">
        <v>18</v>
      </c>
      <c r="B24" t="s">
        <v>227</v>
      </c>
    </row>
    <row r="25" spans="1:2">
      <c r="B25" t="s">
        <v>229</v>
      </c>
    </row>
    <row r="26" spans="1:2">
      <c r="A26" t="s">
        <v>296</v>
      </c>
      <c r="B26" t="s">
        <v>269</v>
      </c>
    </row>
    <row r="27" spans="1:2">
      <c r="B27" t="s">
        <v>2397</v>
      </c>
    </row>
    <row r="28" spans="1:2">
      <c r="A28" t="s">
        <v>273</v>
      </c>
      <c r="B28" t="s">
        <v>629</v>
      </c>
    </row>
    <row r="29" spans="1:2">
      <c r="B29" t="s">
        <v>639</v>
      </c>
    </row>
    <row r="30" spans="1:2">
      <c r="B30" t="s">
        <v>1085</v>
      </c>
    </row>
    <row r="31" spans="1:2">
      <c r="A31" t="s">
        <v>272</v>
      </c>
      <c r="B31" t="s">
        <v>638</v>
      </c>
    </row>
    <row r="32" spans="1:2">
      <c r="B32" t="s">
        <v>512</v>
      </c>
    </row>
    <row r="33" spans="1:2">
      <c r="A33" t="s">
        <v>2281</v>
      </c>
      <c r="B33" t="s">
        <v>254</v>
      </c>
    </row>
    <row r="34" spans="1:2">
      <c r="B34" t="s">
        <v>243</v>
      </c>
    </row>
    <row r="35" spans="1:2">
      <c r="B35" t="s">
        <v>253</v>
      </c>
    </row>
    <row r="36" spans="1:2">
      <c r="B36" t="s">
        <v>237</v>
      </c>
    </row>
    <row r="37" spans="1:2">
      <c r="B37" t="s">
        <v>235</v>
      </c>
    </row>
    <row r="38" spans="1:2">
      <c r="B38" t="s">
        <v>244</v>
      </c>
    </row>
    <row r="39" spans="1:2">
      <c r="B39" t="s">
        <v>255</v>
      </c>
    </row>
    <row r="40" spans="1:2">
      <c r="B40" t="s">
        <v>2282</v>
      </c>
    </row>
    <row r="41" spans="1:2">
      <c r="B41" t="s">
        <v>2280</v>
      </c>
    </row>
    <row r="42" spans="1:2">
      <c r="A42" t="s">
        <v>2279</v>
      </c>
      <c r="B42" t="s">
        <v>1457</v>
      </c>
    </row>
    <row r="43" spans="1:2">
      <c r="B43" t="s">
        <v>215</v>
      </c>
    </row>
    <row r="44" spans="1:2">
      <c r="B44" t="s">
        <v>219</v>
      </c>
    </row>
    <row r="45" spans="1:2">
      <c r="A45" t="s">
        <v>2759</v>
      </c>
    </row>
    <row r="46" spans="1:2">
      <c r="A46" t="s">
        <v>2286</v>
      </c>
      <c r="B46" t="s">
        <v>246</v>
      </c>
    </row>
    <row r="47" spans="1:2">
      <c r="A47" t="s">
        <v>2278</v>
      </c>
      <c r="B47" t="s">
        <v>222</v>
      </c>
    </row>
    <row r="48" spans="1:2">
      <c r="A48" t="s">
        <v>295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11"/>
  <dimension ref="A1:A17"/>
  <sheetViews>
    <sheetView workbookViewId="0">
      <selection activeCell="A17" sqref="A17"/>
    </sheetView>
  </sheetViews>
  <sheetFormatPr baseColWidth="10" defaultRowHeight="15"/>
  <cols>
    <col min="1" max="1" width="15.85546875" customWidth="1"/>
  </cols>
  <sheetData>
    <row r="1" spans="1:1">
      <c r="A1" s="20" t="s">
        <v>315</v>
      </c>
    </row>
    <row r="2" spans="1:1">
      <c r="A2" s="20" t="s">
        <v>107</v>
      </c>
    </row>
    <row r="3" spans="1:1">
      <c r="A3" s="20" t="s">
        <v>26</v>
      </c>
    </row>
    <row r="4" spans="1:1">
      <c r="A4" s="20" t="s">
        <v>19</v>
      </c>
    </row>
    <row r="5" spans="1:1">
      <c r="A5" s="20" t="s">
        <v>63</v>
      </c>
    </row>
    <row r="6" spans="1:1">
      <c r="A6" s="20" t="s">
        <v>125</v>
      </c>
    </row>
    <row r="7" spans="1:1">
      <c r="A7" s="20" t="s">
        <v>144</v>
      </c>
    </row>
    <row r="8" spans="1:1">
      <c r="A8" s="20" t="s">
        <v>196</v>
      </c>
    </row>
    <row r="9" spans="1:1">
      <c r="A9" s="20" t="s">
        <v>152</v>
      </c>
    </row>
    <row r="10" spans="1:1">
      <c r="A10" s="20" t="s">
        <v>131</v>
      </c>
    </row>
    <row r="11" spans="1:1">
      <c r="A11" s="20" t="s">
        <v>182</v>
      </c>
    </row>
    <row r="12" spans="1:1">
      <c r="A12" s="20" t="s">
        <v>8</v>
      </c>
    </row>
    <row r="13" spans="1:1">
      <c r="A13" s="20" t="s">
        <v>388</v>
      </c>
    </row>
    <row r="14" spans="1:1">
      <c r="A14" s="20" t="s">
        <v>342</v>
      </c>
    </row>
    <row r="15" spans="1:1">
      <c r="A15" s="20" t="s">
        <v>13</v>
      </c>
    </row>
    <row r="16" spans="1:1">
      <c r="A16" s="20" t="s">
        <v>30</v>
      </c>
    </row>
    <row r="17" spans="1:1">
      <c r="A17" s="20"/>
    </row>
  </sheetData>
  <sortState ref="A1:A17">
    <sortCondition ref="A1:A17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9">
    <tabColor theme="5" tint="-0.249977111117893"/>
  </sheetPr>
  <dimension ref="A12:F4904"/>
  <sheetViews>
    <sheetView showGridLines="0" topLeftCell="A7" zoomScale="90" zoomScaleNormal="90" workbookViewId="0"/>
  </sheetViews>
  <sheetFormatPr baseColWidth="10" defaultRowHeight="15"/>
  <cols>
    <col min="1" max="1" width="21" bestFit="1" customWidth="1"/>
    <col min="2" max="2" width="11.28515625" bestFit="1" customWidth="1"/>
    <col min="3" max="3" width="25" bestFit="1" customWidth="1"/>
    <col min="4" max="4" width="13.42578125" style="23" customWidth="1"/>
    <col min="5" max="5" width="44.85546875" customWidth="1"/>
    <col min="6" max="6" width="74.140625" customWidth="1"/>
    <col min="7" max="9" width="2.140625" customWidth="1"/>
    <col min="10" max="11" width="3.28515625" customWidth="1"/>
    <col min="12" max="12" width="3.85546875" customWidth="1"/>
    <col min="13" max="13" width="7.140625" customWidth="1"/>
    <col min="14" max="14" width="3.28515625" customWidth="1"/>
    <col min="15" max="15" width="3.85546875" customWidth="1"/>
    <col min="16" max="16" width="5.42578125" customWidth="1"/>
    <col min="17" max="17" width="8.85546875" customWidth="1"/>
    <col min="18" max="18" width="5.42578125" customWidth="1"/>
    <col min="19" max="19" width="7.140625" customWidth="1"/>
    <col min="20" max="20" width="7.42578125" customWidth="1"/>
    <col min="21" max="21" width="6.7109375" customWidth="1"/>
    <col min="22" max="22" width="7.140625" customWidth="1"/>
    <col min="23" max="23" width="3.28515625" customWidth="1"/>
    <col min="24" max="24" width="3.85546875" customWidth="1"/>
    <col min="25" max="26" width="5.42578125" customWidth="1"/>
    <col min="27" max="27" width="9.28515625" customWidth="1"/>
    <col min="28" max="28" width="7.140625" customWidth="1"/>
    <col min="29" max="29" width="7.42578125" customWidth="1"/>
    <col min="30" max="30" width="6.7109375" customWidth="1"/>
    <col min="31" max="31" width="7.140625" customWidth="1"/>
    <col min="32" max="32" width="3.28515625" customWidth="1"/>
    <col min="33" max="33" width="3.85546875" customWidth="1"/>
    <col min="34" max="34" width="6.7109375" customWidth="1"/>
    <col min="35" max="37" width="7.140625" customWidth="1"/>
    <col min="38" max="38" width="3.28515625" customWidth="1"/>
    <col min="39" max="39" width="5.42578125" customWidth="1"/>
    <col min="40" max="40" width="58" bestFit="1" customWidth="1"/>
    <col min="41" max="41" width="55.7109375" bestFit="1" customWidth="1"/>
    <col min="42" max="42" width="40.28515625" bestFit="1" customWidth="1"/>
    <col min="43" max="43" width="28.28515625" bestFit="1" customWidth="1"/>
    <col min="44" max="44" width="34.140625" bestFit="1" customWidth="1"/>
    <col min="45" max="45" width="34.7109375" bestFit="1" customWidth="1"/>
    <col min="46" max="46" width="45.42578125" bestFit="1" customWidth="1"/>
    <col min="47" max="47" width="44" bestFit="1" customWidth="1"/>
    <col min="48" max="48" width="44.42578125" bestFit="1" customWidth="1"/>
    <col min="49" max="49" width="36.7109375" bestFit="1" customWidth="1"/>
    <col min="50" max="50" width="35.42578125" bestFit="1" customWidth="1"/>
    <col min="51" max="51" width="47.42578125" bestFit="1" customWidth="1"/>
    <col min="52" max="52" width="54.85546875" bestFit="1" customWidth="1"/>
    <col min="53" max="53" width="58.28515625" bestFit="1" customWidth="1"/>
    <col min="54" max="54" width="40.85546875" bestFit="1" customWidth="1"/>
    <col min="55" max="55" width="20.42578125" bestFit="1" customWidth="1"/>
    <col min="56" max="56" width="23" bestFit="1" customWidth="1"/>
    <col min="57" max="57" width="20.140625" bestFit="1" customWidth="1"/>
    <col min="58" max="58" width="23.85546875" bestFit="1" customWidth="1"/>
    <col min="59" max="59" width="34.42578125" bestFit="1" customWidth="1"/>
    <col min="60" max="60" width="46.28515625" bestFit="1" customWidth="1"/>
    <col min="61" max="61" width="23.42578125" bestFit="1" customWidth="1"/>
    <col min="62" max="62" width="38.42578125" bestFit="1" customWidth="1"/>
    <col min="63" max="63" width="30.85546875" bestFit="1" customWidth="1"/>
    <col min="64" max="64" width="54.140625" bestFit="1" customWidth="1"/>
    <col min="65" max="65" width="38" bestFit="1" customWidth="1"/>
    <col min="66" max="66" width="60.140625" bestFit="1" customWidth="1"/>
    <col min="67" max="67" width="38" bestFit="1" customWidth="1"/>
    <col min="68" max="68" width="44.28515625" bestFit="1" customWidth="1"/>
    <col min="69" max="69" width="40.7109375" bestFit="1" customWidth="1"/>
    <col min="70" max="70" width="38" bestFit="1" customWidth="1"/>
    <col min="71" max="71" width="32.42578125" bestFit="1" customWidth="1"/>
    <col min="72" max="72" width="32.85546875" bestFit="1" customWidth="1"/>
    <col min="73" max="73" width="23.28515625" bestFit="1" customWidth="1"/>
    <col min="74" max="74" width="43.42578125" bestFit="1" customWidth="1"/>
    <col min="75" max="75" width="83.7109375" bestFit="1" customWidth="1"/>
    <col min="76" max="76" width="36" bestFit="1" customWidth="1"/>
    <col min="77" max="77" width="34.42578125" bestFit="1" customWidth="1"/>
    <col min="78" max="78" width="37.140625" bestFit="1" customWidth="1"/>
    <col min="79" max="79" width="48.7109375" bestFit="1" customWidth="1"/>
    <col min="80" max="80" width="59.42578125" bestFit="1" customWidth="1"/>
    <col min="81" max="81" width="30.28515625" bestFit="1" customWidth="1"/>
    <col min="82" max="82" width="43.85546875" bestFit="1" customWidth="1"/>
    <col min="83" max="84" width="39.28515625" bestFit="1" customWidth="1"/>
    <col min="85" max="85" width="23.42578125" bestFit="1" customWidth="1"/>
    <col min="86" max="86" width="51.42578125" bestFit="1" customWidth="1"/>
    <col min="87" max="87" width="52.140625" bestFit="1" customWidth="1"/>
    <col min="88" max="88" width="34.85546875" bestFit="1" customWidth="1"/>
    <col min="89" max="89" width="47" bestFit="1" customWidth="1"/>
    <col min="90" max="90" width="46" bestFit="1" customWidth="1"/>
    <col min="91" max="91" width="28.42578125" bestFit="1" customWidth="1"/>
    <col min="92" max="92" width="40.42578125" bestFit="1" customWidth="1"/>
    <col min="93" max="93" width="30.28515625" bestFit="1" customWidth="1"/>
    <col min="94" max="94" width="28.7109375" bestFit="1" customWidth="1"/>
    <col min="95" max="95" width="49.28515625" bestFit="1" customWidth="1"/>
    <col min="96" max="96" width="58.42578125" bestFit="1" customWidth="1"/>
    <col min="97" max="97" width="27.7109375" bestFit="1" customWidth="1"/>
    <col min="98" max="98" width="49.42578125" bestFit="1" customWidth="1"/>
    <col min="99" max="99" width="48.42578125" bestFit="1" customWidth="1"/>
    <col min="100" max="100" width="40.42578125" bestFit="1" customWidth="1"/>
    <col min="101" max="101" width="49" bestFit="1" customWidth="1"/>
    <col min="102" max="102" width="35" bestFit="1" customWidth="1"/>
    <col min="103" max="103" width="58" bestFit="1" customWidth="1"/>
    <col min="104" max="104" width="19.42578125" bestFit="1" customWidth="1"/>
    <col min="105" max="105" width="36.42578125" bestFit="1" customWidth="1"/>
    <col min="106" max="106" width="65.7109375" bestFit="1" customWidth="1"/>
    <col min="107" max="107" width="28.28515625" bestFit="1" customWidth="1"/>
    <col min="108" max="108" width="45.140625" bestFit="1" customWidth="1"/>
    <col min="109" max="109" width="38.85546875" bestFit="1" customWidth="1"/>
    <col min="110" max="110" width="35" bestFit="1" customWidth="1"/>
    <col min="111" max="111" width="51.140625" bestFit="1" customWidth="1"/>
    <col min="112" max="112" width="33.7109375" bestFit="1" customWidth="1"/>
    <col min="113" max="113" width="34.42578125" bestFit="1" customWidth="1"/>
    <col min="114" max="114" width="43.42578125" bestFit="1" customWidth="1"/>
    <col min="115" max="115" width="26.42578125" bestFit="1" customWidth="1"/>
    <col min="116" max="116" width="35.7109375" bestFit="1" customWidth="1"/>
    <col min="117" max="117" width="37.42578125" bestFit="1" customWidth="1"/>
    <col min="118" max="118" width="51.42578125" bestFit="1" customWidth="1"/>
    <col min="119" max="119" width="37.85546875" bestFit="1" customWidth="1"/>
    <col min="120" max="120" width="38.7109375" bestFit="1" customWidth="1"/>
    <col min="121" max="121" width="30.42578125" bestFit="1" customWidth="1"/>
    <col min="122" max="122" width="34.28515625" bestFit="1" customWidth="1"/>
    <col min="123" max="123" width="75.42578125" bestFit="1" customWidth="1"/>
    <col min="124" max="124" width="29.42578125" bestFit="1" customWidth="1"/>
    <col min="125" max="125" width="26" bestFit="1" customWidth="1"/>
    <col min="126" max="126" width="36.85546875" bestFit="1" customWidth="1"/>
    <col min="127" max="127" width="44" bestFit="1" customWidth="1"/>
    <col min="128" max="128" width="41.140625" bestFit="1" customWidth="1"/>
    <col min="129" max="129" width="62.85546875" bestFit="1" customWidth="1"/>
    <col min="130" max="130" width="34.42578125" bestFit="1" customWidth="1"/>
    <col min="131" max="131" width="39.28515625" bestFit="1" customWidth="1"/>
    <col min="132" max="132" width="49.140625" bestFit="1" customWidth="1"/>
    <col min="133" max="133" width="35.42578125" bestFit="1" customWidth="1"/>
    <col min="134" max="134" width="38" bestFit="1" customWidth="1"/>
    <col min="135" max="135" width="27" bestFit="1" customWidth="1"/>
    <col min="136" max="136" width="44.140625" bestFit="1" customWidth="1"/>
    <col min="137" max="137" width="55.28515625" bestFit="1" customWidth="1"/>
    <col min="138" max="138" width="119.42578125" bestFit="1" customWidth="1"/>
    <col min="139" max="139" width="39.7109375" bestFit="1" customWidth="1"/>
    <col min="140" max="140" width="44.28515625" bestFit="1" customWidth="1"/>
    <col min="141" max="141" width="42" bestFit="1" customWidth="1"/>
    <col min="142" max="142" width="37.7109375" bestFit="1" customWidth="1"/>
    <col min="143" max="143" width="50.28515625" bestFit="1" customWidth="1"/>
    <col min="144" max="144" width="18.85546875" bestFit="1" customWidth="1"/>
    <col min="145" max="145" width="29.140625" bestFit="1" customWidth="1"/>
    <col min="146" max="146" width="44" bestFit="1" customWidth="1"/>
    <col min="147" max="147" width="26.140625" bestFit="1" customWidth="1"/>
    <col min="148" max="148" width="80.28515625" bestFit="1" customWidth="1"/>
    <col min="149" max="149" width="26.85546875" bestFit="1" customWidth="1"/>
    <col min="150" max="150" width="22" bestFit="1" customWidth="1"/>
    <col min="151" max="151" width="25.42578125" bestFit="1" customWidth="1"/>
    <col min="152" max="152" width="26.42578125" bestFit="1" customWidth="1"/>
    <col min="153" max="153" width="32.140625" bestFit="1" customWidth="1"/>
    <col min="154" max="154" width="42.42578125" bestFit="1" customWidth="1"/>
    <col min="155" max="155" width="39" bestFit="1" customWidth="1"/>
    <col min="156" max="156" width="33.7109375" bestFit="1" customWidth="1"/>
    <col min="157" max="157" width="31.140625" bestFit="1" customWidth="1"/>
    <col min="158" max="158" width="31" bestFit="1" customWidth="1"/>
    <col min="159" max="159" width="32.28515625" bestFit="1" customWidth="1"/>
    <col min="160" max="160" width="63.28515625" bestFit="1" customWidth="1"/>
    <col min="161" max="161" width="50.42578125" bestFit="1" customWidth="1"/>
    <col min="162" max="162" width="38" bestFit="1" customWidth="1"/>
    <col min="163" max="163" width="34.28515625" bestFit="1" customWidth="1"/>
    <col min="164" max="164" width="22" bestFit="1" customWidth="1"/>
    <col min="165" max="165" width="41.140625" bestFit="1" customWidth="1"/>
    <col min="166" max="166" width="80.140625" bestFit="1" customWidth="1"/>
    <col min="167" max="167" width="22" bestFit="1" customWidth="1"/>
    <col min="168" max="168" width="39.7109375" bestFit="1" customWidth="1"/>
    <col min="169" max="169" width="27.7109375" bestFit="1" customWidth="1"/>
    <col min="170" max="170" width="49.7109375" bestFit="1" customWidth="1"/>
    <col min="171" max="171" width="25.42578125" bestFit="1" customWidth="1"/>
    <col min="172" max="172" width="40.140625" bestFit="1" customWidth="1"/>
    <col min="173" max="173" width="37.140625" bestFit="1" customWidth="1"/>
    <col min="174" max="174" width="27.42578125" bestFit="1" customWidth="1"/>
    <col min="175" max="175" width="32.28515625" bestFit="1" customWidth="1"/>
    <col min="176" max="176" width="22.85546875" bestFit="1" customWidth="1"/>
    <col min="177" max="178" width="24.42578125" bestFit="1" customWidth="1"/>
    <col min="179" max="179" width="26.140625" bestFit="1" customWidth="1"/>
    <col min="180" max="180" width="49.28515625" bestFit="1" customWidth="1"/>
    <col min="181" max="181" width="41.140625" bestFit="1" customWidth="1"/>
    <col min="182" max="182" width="34" bestFit="1" customWidth="1"/>
    <col min="183" max="183" width="34.28515625" bestFit="1" customWidth="1"/>
    <col min="184" max="184" width="22.42578125" bestFit="1" customWidth="1"/>
    <col min="185" max="185" width="28.140625" bestFit="1" customWidth="1"/>
    <col min="186" max="186" width="34.42578125" bestFit="1" customWidth="1"/>
    <col min="187" max="187" width="88.7109375" bestFit="1" customWidth="1"/>
    <col min="188" max="188" width="80.85546875" bestFit="1" customWidth="1"/>
    <col min="189" max="189" width="20.42578125" bestFit="1" customWidth="1"/>
    <col min="190" max="190" width="50.85546875" bestFit="1" customWidth="1"/>
    <col min="191" max="191" width="48.42578125" bestFit="1" customWidth="1"/>
    <col min="192" max="192" width="45.85546875" bestFit="1" customWidth="1"/>
    <col min="193" max="193" width="45.28515625" bestFit="1" customWidth="1"/>
    <col min="194" max="194" width="23.7109375" bestFit="1" customWidth="1"/>
    <col min="195" max="195" width="24.28515625" bestFit="1" customWidth="1"/>
    <col min="196" max="196" width="27.140625" bestFit="1" customWidth="1"/>
    <col min="197" max="197" width="65.140625" bestFit="1" customWidth="1"/>
    <col min="198" max="198" width="27.140625" bestFit="1" customWidth="1"/>
    <col min="199" max="199" width="22.28515625" bestFit="1" customWidth="1"/>
    <col min="200" max="200" width="55.42578125" bestFit="1" customWidth="1"/>
    <col min="201" max="201" width="32.42578125" bestFit="1" customWidth="1"/>
    <col min="202" max="202" width="54.42578125" bestFit="1" customWidth="1"/>
    <col min="203" max="203" width="33.7109375" bestFit="1" customWidth="1"/>
    <col min="204" max="204" width="71.42578125" bestFit="1" customWidth="1"/>
    <col min="205" max="205" width="49.42578125" bestFit="1" customWidth="1"/>
    <col min="206" max="206" width="59.7109375" bestFit="1" customWidth="1"/>
    <col min="207" max="207" width="47.85546875" bestFit="1" customWidth="1"/>
    <col min="208" max="208" width="29.28515625" bestFit="1" customWidth="1"/>
    <col min="209" max="209" width="29.7109375" bestFit="1" customWidth="1"/>
    <col min="210" max="210" width="21.28515625" bestFit="1" customWidth="1"/>
    <col min="211" max="211" width="39.42578125" bestFit="1" customWidth="1"/>
    <col min="212" max="212" width="58.42578125" bestFit="1" customWidth="1"/>
    <col min="213" max="213" width="22.140625" bestFit="1" customWidth="1"/>
    <col min="214" max="214" width="29.7109375" bestFit="1" customWidth="1"/>
    <col min="215" max="215" width="34.42578125" bestFit="1" customWidth="1"/>
    <col min="216" max="216" width="34.7109375" bestFit="1" customWidth="1"/>
    <col min="217" max="217" width="53.140625" bestFit="1" customWidth="1"/>
    <col min="218" max="218" width="36.28515625" bestFit="1" customWidth="1"/>
    <col min="219" max="219" width="47.28515625" bestFit="1" customWidth="1"/>
    <col min="220" max="220" width="33.7109375" bestFit="1" customWidth="1"/>
    <col min="221" max="221" width="44.85546875" bestFit="1" customWidth="1"/>
    <col min="222" max="222" width="33.42578125" bestFit="1" customWidth="1"/>
    <col min="223" max="223" width="30.42578125" bestFit="1" customWidth="1"/>
    <col min="224" max="224" width="43.140625" bestFit="1" customWidth="1"/>
    <col min="225" max="225" width="33.28515625" bestFit="1" customWidth="1"/>
    <col min="226" max="226" width="35" bestFit="1" customWidth="1"/>
    <col min="227" max="227" width="35.140625" bestFit="1" customWidth="1"/>
    <col min="228" max="228" width="39.42578125" bestFit="1" customWidth="1"/>
    <col min="229" max="229" width="43.42578125" bestFit="1" customWidth="1"/>
    <col min="230" max="230" width="20.42578125" bestFit="1" customWidth="1"/>
    <col min="231" max="231" width="31" bestFit="1" customWidth="1"/>
    <col min="232" max="232" width="74" bestFit="1" customWidth="1"/>
    <col min="233" max="233" width="28.140625" bestFit="1" customWidth="1"/>
    <col min="234" max="234" width="32.140625" bestFit="1" customWidth="1"/>
    <col min="235" max="235" width="29.85546875" bestFit="1" customWidth="1"/>
    <col min="236" max="236" width="36.42578125" bestFit="1" customWidth="1"/>
    <col min="237" max="237" width="50.42578125" bestFit="1" customWidth="1"/>
    <col min="238" max="238" width="48.28515625" bestFit="1" customWidth="1"/>
    <col min="239" max="239" width="29.42578125" bestFit="1" customWidth="1"/>
    <col min="240" max="240" width="39.42578125" bestFit="1" customWidth="1"/>
    <col min="241" max="241" width="56" bestFit="1" customWidth="1"/>
    <col min="242" max="242" width="38.42578125" bestFit="1" customWidth="1"/>
    <col min="243" max="243" width="45.140625" bestFit="1" customWidth="1"/>
    <col min="244" max="244" width="35.85546875" bestFit="1" customWidth="1"/>
    <col min="245" max="245" width="33.85546875" bestFit="1" customWidth="1"/>
    <col min="246" max="246" width="42.28515625" bestFit="1" customWidth="1"/>
    <col min="247" max="247" width="54.140625" bestFit="1" customWidth="1"/>
    <col min="248" max="248" width="29.85546875" bestFit="1" customWidth="1"/>
    <col min="249" max="249" width="36.140625" bestFit="1" customWidth="1"/>
    <col min="250" max="250" width="50.140625" bestFit="1" customWidth="1"/>
    <col min="251" max="251" width="35.7109375" bestFit="1" customWidth="1"/>
    <col min="252" max="252" width="46.42578125" bestFit="1" customWidth="1"/>
    <col min="253" max="253" width="106.7109375" bestFit="1" customWidth="1"/>
    <col min="254" max="254" width="25.42578125" bestFit="1" customWidth="1"/>
    <col min="255" max="255" width="56.7109375" bestFit="1" customWidth="1"/>
    <col min="256" max="256" width="50.85546875" bestFit="1" customWidth="1"/>
    <col min="257" max="257" width="43.85546875" bestFit="1" customWidth="1"/>
    <col min="258" max="258" width="42.28515625" bestFit="1" customWidth="1"/>
    <col min="259" max="259" width="40.42578125" bestFit="1" customWidth="1"/>
    <col min="260" max="260" width="35.42578125" bestFit="1" customWidth="1"/>
    <col min="261" max="261" width="43.85546875" bestFit="1" customWidth="1"/>
    <col min="262" max="262" width="62.140625" bestFit="1" customWidth="1"/>
    <col min="263" max="263" width="32.42578125" bestFit="1" customWidth="1"/>
    <col min="264" max="264" width="67.42578125" bestFit="1" customWidth="1"/>
    <col min="265" max="265" width="37.85546875" bestFit="1" customWidth="1"/>
    <col min="266" max="266" width="61.28515625" bestFit="1" customWidth="1"/>
    <col min="267" max="267" width="42.42578125" bestFit="1" customWidth="1"/>
    <col min="268" max="268" width="32.42578125" bestFit="1" customWidth="1"/>
    <col min="269" max="269" width="34.7109375" bestFit="1" customWidth="1"/>
    <col min="270" max="270" width="62" bestFit="1" customWidth="1"/>
    <col min="271" max="271" width="38.7109375" bestFit="1" customWidth="1"/>
    <col min="272" max="272" width="30.42578125" bestFit="1" customWidth="1"/>
    <col min="273" max="273" width="39.42578125" bestFit="1" customWidth="1"/>
    <col min="274" max="274" width="23.28515625" bestFit="1" customWidth="1"/>
    <col min="275" max="275" width="34" bestFit="1" customWidth="1"/>
    <col min="276" max="276" width="43" bestFit="1" customWidth="1"/>
    <col min="277" max="277" width="56.28515625" bestFit="1" customWidth="1"/>
    <col min="278" max="278" width="30.42578125" bestFit="1" customWidth="1"/>
    <col min="279" max="279" width="36" bestFit="1" customWidth="1"/>
    <col min="280" max="280" width="30.7109375" bestFit="1" customWidth="1"/>
    <col min="281" max="281" width="39" bestFit="1" customWidth="1"/>
    <col min="282" max="282" width="55.140625" bestFit="1" customWidth="1"/>
    <col min="283" max="283" width="53.140625" bestFit="1" customWidth="1"/>
    <col min="284" max="284" width="49.42578125" bestFit="1" customWidth="1"/>
    <col min="285" max="285" width="68.85546875" bestFit="1" customWidth="1"/>
    <col min="286" max="286" width="41.140625" bestFit="1" customWidth="1"/>
    <col min="287" max="287" width="38.7109375" bestFit="1" customWidth="1"/>
    <col min="288" max="288" width="37.85546875" bestFit="1" customWidth="1"/>
    <col min="289" max="289" width="33" bestFit="1" customWidth="1"/>
    <col min="290" max="290" width="37.28515625" bestFit="1" customWidth="1"/>
    <col min="291" max="291" width="78.42578125" bestFit="1" customWidth="1"/>
    <col min="292" max="292" width="33" bestFit="1" customWidth="1"/>
    <col min="293" max="293" width="38.140625" bestFit="1" customWidth="1"/>
    <col min="294" max="294" width="54" bestFit="1" customWidth="1"/>
    <col min="295" max="295" width="38.42578125" bestFit="1" customWidth="1"/>
    <col min="296" max="296" width="34.42578125" bestFit="1" customWidth="1"/>
    <col min="297" max="297" width="29.140625" bestFit="1" customWidth="1"/>
    <col min="298" max="298" width="34.28515625" bestFit="1" customWidth="1"/>
    <col min="299" max="299" width="53.28515625" bestFit="1" customWidth="1"/>
    <col min="300" max="300" width="37.42578125" bestFit="1" customWidth="1"/>
    <col min="301" max="301" width="27" bestFit="1" customWidth="1"/>
    <col min="302" max="302" width="18.140625" bestFit="1" customWidth="1"/>
    <col min="303" max="303" width="19.42578125" bestFit="1" customWidth="1"/>
    <col min="304" max="304" width="25" bestFit="1" customWidth="1"/>
    <col min="305" max="305" width="56" bestFit="1" customWidth="1"/>
    <col min="306" max="306" width="35" bestFit="1" customWidth="1"/>
    <col min="307" max="307" width="50" bestFit="1" customWidth="1"/>
    <col min="308" max="308" width="26.42578125" bestFit="1" customWidth="1"/>
    <col min="309" max="309" width="58.28515625" bestFit="1" customWidth="1"/>
    <col min="310" max="310" width="54.85546875" bestFit="1" customWidth="1"/>
    <col min="311" max="311" width="128.140625" bestFit="1" customWidth="1"/>
    <col min="312" max="312" width="31.42578125" bestFit="1" customWidth="1"/>
    <col min="313" max="313" width="44.42578125" bestFit="1" customWidth="1"/>
    <col min="314" max="314" width="42" bestFit="1" customWidth="1"/>
    <col min="315" max="315" width="39.140625" bestFit="1" customWidth="1"/>
    <col min="316" max="316" width="27.7109375" bestFit="1" customWidth="1"/>
    <col min="317" max="317" width="45.42578125" bestFit="1" customWidth="1"/>
    <col min="318" max="318" width="40.85546875" bestFit="1" customWidth="1"/>
    <col min="319" max="319" width="56.42578125" bestFit="1" customWidth="1"/>
    <col min="320" max="320" width="41.85546875" bestFit="1" customWidth="1"/>
    <col min="321" max="321" width="28.42578125" bestFit="1" customWidth="1"/>
    <col min="322" max="322" width="60.7109375" bestFit="1" customWidth="1"/>
    <col min="323" max="323" width="45.85546875" bestFit="1" customWidth="1"/>
    <col min="324" max="324" width="40.140625" bestFit="1" customWidth="1"/>
    <col min="325" max="325" width="47.28515625" bestFit="1" customWidth="1"/>
    <col min="326" max="326" width="33.140625" bestFit="1" customWidth="1"/>
    <col min="327" max="327" width="42.42578125" bestFit="1" customWidth="1"/>
    <col min="328" max="328" width="57.7109375" bestFit="1" customWidth="1"/>
    <col min="329" max="329" width="58.42578125" bestFit="1" customWidth="1"/>
    <col min="330" max="330" width="44.85546875" bestFit="1" customWidth="1"/>
    <col min="331" max="331" width="19.42578125" bestFit="1" customWidth="1"/>
    <col min="332" max="332" width="41.42578125" bestFit="1" customWidth="1"/>
    <col min="333" max="333" width="22.85546875" bestFit="1" customWidth="1"/>
    <col min="334" max="334" width="56.28515625" bestFit="1" customWidth="1"/>
    <col min="335" max="335" width="58.42578125" bestFit="1" customWidth="1"/>
    <col min="336" max="336" width="130.7109375" bestFit="1" customWidth="1"/>
    <col min="337" max="337" width="80" bestFit="1" customWidth="1"/>
    <col min="338" max="338" width="25" bestFit="1" customWidth="1"/>
    <col min="339" max="339" width="31.140625" bestFit="1" customWidth="1"/>
    <col min="340" max="340" width="15.85546875" bestFit="1" customWidth="1"/>
    <col min="341" max="341" width="60.140625" bestFit="1" customWidth="1"/>
    <col min="342" max="342" width="37.28515625" bestFit="1" customWidth="1"/>
    <col min="343" max="343" width="27.7109375" bestFit="1" customWidth="1"/>
    <col min="344" max="344" width="21.28515625" bestFit="1" customWidth="1"/>
    <col min="345" max="345" width="40.7109375" bestFit="1" customWidth="1"/>
    <col min="346" max="346" width="82.42578125" bestFit="1" customWidth="1"/>
    <col min="347" max="347" width="44" bestFit="1" customWidth="1"/>
    <col min="348" max="348" width="25" bestFit="1" customWidth="1"/>
    <col min="349" max="349" width="44.7109375" bestFit="1" customWidth="1"/>
    <col min="350" max="350" width="30.42578125" bestFit="1" customWidth="1"/>
    <col min="351" max="351" width="28.85546875" bestFit="1" customWidth="1"/>
    <col min="352" max="352" width="34.140625" bestFit="1" customWidth="1"/>
    <col min="353" max="353" width="37.28515625" bestFit="1" customWidth="1"/>
    <col min="354" max="354" width="26.85546875" bestFit="1" customWidth="1"/>
    <col min="355" max="355" width="103.140625" bestFit="1" customWidth="1"/>
    <col min="356" max="356" width="64.7109375" bestFit="1" customWidth="1"/>
    <col min="357" max="357" width="32.7109375" bestFit="1" customWidth="1"/>
    <col min="358" max="358" width="32.28515625" bestFit="1" customWidth="1"/>
    <col min="359" max="359" width="61.7109375" bestFit="1" customWidth="1"/>
    <col min="360" max="360" width="30.42578125" bestFit="1" customWidth="1"/>
    <col min="361" max="361" width="53.28515625" bestFit="1" customWidth="1"/>
    <col min="362" max="362" width="57.85546875" bestFit="1" customWidth="1"/>
    <col min="363" max="363" width="56.42578125" bestFit="1" customWidth="1"/>
    <col min="364" max="364" width="85.7109375" bestFit="1" customWidth="1"/>
    <col min="365" max="365" width="20.42578125" bestFit="1" customWidth="1"/>
    <col min="366" max="366" width="29.140625" bestFit="1" customWidth="1"/>
    <col min="367" max="367" width="35.28515625" bestFit="1" customWidth="1"/>
    <col min="368" max="368" width="67" bestFit="1" customWidth="1"/>
    <col min="369" max="369" width="42.28515625" bestFit="1" customWidth="1"/>
    <col min="370" max="370" width="67.28515625" bestFit="1" customWidth="1"/>
    <col min="371" max="371" width="55.42578125" bestFit="1" customWidth="1"/>
    <col min="372" max="372" width="29.42578125" bestFit="1" customWidth="1"/>
    <col min="373" max="373" width="49.42578125" bestFit="1" customWidth="1"/>
    <col min="374" max="374" width="50.140625" bestFit="1" customWidth="1"/>
    <col min="375" max="375" width="50.7109375" bestFit="1" customWidth="1"/>
    <col min="376" max="376" width="48" bestFit="1" customWidth="1"/>
    <col min="377" max="377" width="36.7109375" bestFit="1" customWidth="1"/>
    <col min="378" max="378" width="29.140625" bestFit="1" customWidth="1"/>
    <col min="379" max="379" width="26" bestFit="1" customWidth="1"/>
    <col min="380" max="380" width="40.140625" bestFit="1" customWidth="1"/>
    <col min="381" max="381" width="80.28515625" bestFit="1" customWidth="1"/>
    <col min="382" max="382" width="25.28515625" bestFit="1" customWidth="1"/>
    <col min="383" max="383" width="87.28515625" bestFit="1" customWidth="1"/>
    <col min="384" max="384" width="48" bestFit="1" customWidth="1"/>
    <col min="385" max="385" width="25.28515625" bestFit="1" customWidth="1"/>
    <col min="386" max="386" width="78" bestFit="1" customWidth="1"/>
    <col min="387" max="387" width="72.28515625" bestFit="1" customWidth="1"/>
    <col min="388" max="388" width="90.42578125" bestFit="1" customWidth="1"/>
    <col min="389" max="389" width="61.7109375" bestFit="1" customWidth="1"/>
    <col min="390" max="390" width="45.85546875" bestFit="1" customWidth="1"/>
    <col min="391" max="391" width="33.85546875" bestFit="1" customWidth="1"/>
    <col min="392" max="392" width="63.140625" bestFit="1" customWidth="1"/>
    <col min="393" max="393" width="26.85546875" bestFit="1" customWidth="1"/>
    <col min="394" max="394" width="32.28515625" bestFit="1" customWidth="1"/>
    <col min="395" max="395" width="56.7109375" bestFit="1" customWidth="1"/>
    <col min="396" max="396" width="73.42578125" bestFit="1" customWidth="1"/>
    <col min="397" max="397" width="66.28515625" bestFit="1" customWidth="1"/>
    <col min="398" max="398" width="80.28515625" bestFit="1" customWidth="1"/>
    <col min="399" max="399" width="55" bestFit="1" customWidth="1"/>
    <col min="400" max="400" width="31.140625" bestFit="1" customWidth="1"/>
    <col min="401" max="401" width="38.7109375" bestFit="1" customWidth="1"/>
    <col min="402" max="402" width="43.28515625" bestFit="1" customWidth="1"/>
    <col min="403" max="403" width="50.85546875" bestFit="1" customWidth="1"/>
    <col min="404" max="404" width="26.7109375" bestFit="1" customWidth="1"/>
    <col min="405" max="405" width="34.42578125" bestFit="1" customWidth="1"/>
    <col min="406" max="406" width="29.140625" bestFit="1" customWidth="1"/>
    <col min="407" max="407" width="34" bestFit="1" customWidth="1"/>
    <col min="408" max="408" width="37.42578125" bestFit="1" customWidth="1"/>
    <col min="409" max="409" width="78.42578125" bestFit="1" customWidth="1"/>
    <col min="410" max="410" width="31.85546875" bestFit="1" customWidth="1"/>
    <col min="411" max="411" width="42.42578125" bestFit="1" customWidth="1"/>
    <col min="412" max="412" width="80.42578125" bestFit="1" customWidth="1"/>
    <col min="413" max="413" width="72.28515625" bestFit="1" customWidth="1"/>
    <col min="414" max="414" width="32.140625" bestFit="1" customWidth="1"/>
    <col min="415" max="415" width="69" bestFit="1" customWidth="1"/>
    <col min="416" max="416" width="29" bestFit="1" customWidth="1"/>
    <col min="417" max="417" width="41" bestFit="1" customWidth="1"/>
    <col min="418" max="418" width="47.85546875" bestFit="1" customWidth="1"/>
    <col min="419" max="419" width="25.28515625" bestFit="1" customWidth="1"/>
    <col min="420" max="420" width="24" bestFit="1" customWidth="1"/>
    <col min="421" max="421" width="29.7109375" bestFit="1" customWidth="1"/>
    <col min="422" max="422" width="26" bestFit="1" customWidth="1"/>
    <col min="423" max="423" width="33.42578125" bestFit="1" customWidth="1"/>
    <col min="424" max="424" width="102.7109375" bestFit="1" customWidth="1"/>
    <col min="425" max="425" width="35.42578125" bestFit="1" customWidth="1"/>
    <col min="426" max="426" width="45.42578125" bestFit="1" customWidth="1"/>
    <col min="427" max="427" width="52.140625" bestFit="1" customWidth="1"/>
    <col min="428" max="428" width="21.28515625" bestFit="1" customWidth="1"/>
    <col min="429" max="429" width="48.42578125" bestFit="1" customWidth="1"/>
    <col min="430" max="430" width="81.85546875" bestFit="1" customWidth="1"/>
    <col min="431" max="431" width="37.42578125" bestFit="1" customWidth="1"/>
    <col min="432" max="432" width="36.42578125" bestFit="1" customWidth="1"/>
    <col min="433" max="433" width="55.42578125" bestFit="1" customWidth="1"/>
    <col min="434" max="434" width="33.85546875" bestFit="1" customWidth="1"/>
    <col min="435" max="435" width="34.140625" bestFit="1" customWidth="1"/>
    <col min="436" max="436" width="97" bestFit="1" customWidth="1"/>
    <col min="437" max="437" width="39.42578125" bestFit="1" customWidth="1"/>
    <col min="438" max="438" width="30.42578125" bestFit="1" customWidth="1"/>
    <col min="439" max="439" width="33.7109375" bestFit="1" customWidth="1"/>
    <col min="440" max="440" width="28.42578125" bestFit="1" customWidth="1"/>
    <col min="441" max="441" width="32.28515625" bestFit="1" customWidth="1"/>
    <col min="442" max="442" width="41.85546875" bestFit="1" customWidth="1"/>
    <col min="443" max="443" width="30.42578125" bestFit="1" customWidth="1"/>
    <col min="444" max="444" width="37.85546875" bestFit="1" customWidth="1"/>
    <col min="445" max="445" width="65.85546875" bestFit="1" customWidth="1"/>
    <col min="446" max="447" width="35.42578125" bestFit="1" customWidth="1"/>
    <col min="448" max="448" width="31" bestFit="1" customWidth="1"/>
    <col min="449" max="449" width="27.28515625" bestFit="1" customWidth="1"/>
    <col min="450" max="450" width="22.42578125" bestFit="1" customWidth="1"/>
    <col min="451" max="452" width="32.140625" bestFit="1" customWidth="1"/>
    <col min="453" max="453" width="24.42578125" bestFit="1" customWidth="1"/>
    <col min="454" max="454" width="22.85546875" bestFit="1" customWidth="1"/>
    <col min="455" max="455" width="15.42578125" bestFit="1" customWidth="1"/>
    <col min="456" max="456" width="18.42578125" bestFit="1" customWidth="1"/>
    <col min="457" max="457" width="27.7109375" bestFit="1" customWidth="1"/>
    <col min="458" max="458" width="48.85546875" bestFit="1" customWidth="1"/>
    <col min="459" max="459" width="74.42578125" bestFit="1" customWidth="1"/>
    <col min="460" max="460" width="40.85546875" bestFit="1" customWidth="1"/>
    <col min="461" max="461" width="35.140625" bestFit="1" customWidth="1"/>
    <col min="462" max="462" width="55.7109375" bestFit="1" customWidth="1"/>
    <col min="463" max="463" width="25.42578125" bestFit="1" customWidth="1"/>
    <col min="464" max="464" width="35" bestFit="1" customWidth="1"/>
    <col min="465" max="465" width="45.28515625" bestFit="1" customWidth="1"/>
    <col min="466" max="466" width="32.42578125" bestFit="1" customWidth="1"/>
    <col min="467" max="467" width="60" bestFit="1" customWidth="1"/>
    <col min="468" max="468" width="42.42578125" bestFit="1" customWidth="1"/>
    <col min="469" max="469" width="19" bestFit="1" customWidth="1"/>
    <col min="470" max="470" width="34.42578125" bestFit="1" customWidth="1"/>
    <col min="471" max="471" width="32.28515625" bestFit="1" customWidth="1"/>
    <col min="472" max="472" width="32" bestFit="1" customWidth="1"/>
    <col min="473" max="473" width="42.42578125" bestFit="1" customWidth="1"/>
    <col min="474" max="474" width="38.140625" bestFit="1" customWidth="1"/>
    <col min="475" max="475" width="62.85546875" bestFit="1" customWidth="1"/>
    <col min="476" max="476" width="74.7109375" bestFit="1" customWidth="1"/>
    <col min="477" max="477" width="56.7109375" bestFit="1" customWidth="1"/>
    <col min="478" max="478" width="43.42578125" bestFit="1" customWidth="1"/>
    <col min="479" max="479" width="40.42578125" bestFit="1" customWidth="1"/>
    <col min="480" max="480" width="54.85546875" bestFit="1" customWidth="1"/>
    <col min="481" max="481" width="20.42578125" bestFit="1" customWidth="1"/>
    <col min="482" max="482" width="42.7109375" bestFit="1" customWidth="1"/>
    <col min="483" max="483" width="53.85546875" bestFit="1" customWidth="1"/>
    <col min="484" max="484" width="22.28515625" bestFit="1" customWidth="1"/>
    <col min="485" max="485" width="31.28515625" bestFit="1" customWidth="1"/>
    <col min="486" max="486" width="28.7109375" bestFit="1" customWidth="1"/>
    <col min="487" max="487" width="30.140625" bestFit="1" customWidth="1"/>
    <col min="488" max="488" width="61.42578125" bestFit="1" customWidth="1"/>
    <col min="489" max="489" width="24.7109375" bestFit="1" customWidth="1"/>
    <col min="490" max="490" width="38.28515625" bestFit="1" customWidth="1"/>
    <col min="491" max="491" width="34.42578125" bestFit="1" customWidth="1"/>
    <col min="492" max="492" width="17.140625" bestFit="1" customWidth="1"/>
    <col min="493" max="493" width="15.7109375" bestFit="1" customWidth="1"/>
    <col min="494" max="494" width="48.42578125" bestFit="1" customWidth="1"/>
    <col min="495" max="495" width="32" bestFit="1" customWidth="1"/>
    <col min="496" max="496" width="71.28515625" bestFit="1" customWidth="1"/>
    <col min="497" max="497" width="21.85546875" bestFit="1" customWidth="1"/>
    <col min="498" max="498" width="37" bestFit="1" customWidth="1"/>
    <col min="499" max="499" width="28.7109375" bestFit="1" customWidth="1"/>
    <col min="500" max="500" width="44.7109375" bestFit="1" customWidth="1"/>
    <col min="501" max="501" width="27" bestFit="1" customWidth="1"/>
    <col min="502" max="502" width="24" bestFit="1" customWidth="1"/>
    <col min="503" max="503" width="19.28515625" bestFit="1" customWidth="1"/>
    <col min="504" max="504" width="26.42578125" bestFit="1" customWidth="1"/>
    <col min="505" max="505" width="45.28515625" bestFit="1" customWidth="1"/>
    <col min="506" max="506" width="26.140625" bestFit="1" customWidth="1"/>
    <col min="507" max="507" width="50.140625" bestFit="1" customWidth="1"/>
    <col min="508" max="508" width="60.28515625" bestFit="1" customWidth="1"/>
    <col min="509" max="509" width="48.85546875" bestFit="1" customWidth="1"/>
    <col min="510" max="510" width="19.7109375" bestFit="1" customWidth="1"/>
    <col min="511" max="511" width="44" bestFit="1" customWidth="1"/>
    <col min="512" max="512" width="22.28515625" bestFit="1" customWidth="1"/>
    <col min="513" max="513" width="22" bestFit="1" customWidth="1"/>
    <col min="514" max="514" width="24.42578125" bestFit="1" customWidth="1"/>
    <col min="515" max="515" width="34.42578125" bestFit="1" customWidth="1"/>
    <col min="516" max="516" width="29.42578125" bestFit="1" customWidth="1"/>
    <col min="517" max="517" width="33.42578125" bestFit="1" customWidth="1"/>
    <col min="518" max="518" width="54.85546875" bestFit="1" customWidth="1"/>
    <col min="519" max="519" width="27.140625" bestFit="1" customWidth="1"/>
    <col min="520" max="520" width="49.42578125" bestFit="1" customWidth="1"/>
    <col min="521" max="521" width="35.42578125" bestFit="1" customWidth="1"/>
    <col min="522" max="522" width="35.28515625" bestFit="1" customWidth="1"/>
    <col min="523" max="523" width="37.42578125" bestFit="1" customWidth="1"/>
    <col min="524" max="524" width="25.28515625" bestFit="1" customWidth="1"/>
    <col min="525" max="525" width="18.140625" bestFit="1" customWidth="1"/>
    <col min="526" max="526" width="46.42578125" bestFit="1" customWidth="1"/>
    <col min="527" max="527" width="32.7109375" bestFit="1" customWidth="1"/>
    <col min="528" max="528" width="32.42578125" bestFit="1" customWidth="1"/>
    <col min="529" max="529" width="74.42578125" bestFit="1" customWidth="1"/>
    <col min="530" max="530" width="26.85546875" bestFit="1" customWidth="1"/>
    <col min="531" max="531" width="37.28515625" bestFit="1" customWidth="1"/>
    <col min="532" max="532" width="33.85546875" bestFit="1" customWidth="1"/>
    <col min="533" max="533" width="19.140625" bestFit="1" customWidth="1"/>
    <col min="534" max="534" width="6.28515625" customWidth="1"/>
    <col min="535" max="535" width="21.85546875" bestFit="1" customWidth="1"/>
    <col min="536" max="536" width="12.42578125" bestFit="1" customWidth="1"/>
  </cols>
  <sheetData>
    <row r="12" spans="1:6">
      <c r="A12" s="22" t="s">
        <v>1</v>
      </c>
      <c r="B12" s="22" t="s">
        <v>3</v>
      </c>
      <c r="C12" s="22" t="s">
        <v>5</v>
      </c>
      <c r="D12" s="258" t="s">
        <v>344</v>
      </c>
      <c r="E12" s="22" t="s">
        <v>346</v>
      </c>
      <c r="F12" s="22" t="s">
        <v>345</v>
      </c>
    </row>
    <row r="13" spans="1:6">
      <c r="A13" t="s">
        <v>18</v>
      </c>
      <c r="B13" t="s">
        <v>227</v>
      </c>
      <c r="C13" s="259" t="s">
        <v>132</v>
      </c>
      <c r="D13" s="260">
        <v>43504</v>
      </c>
      <c r="E13" s="95" t="s">
        <v>294</v>
      </c>
      <c r="F13" t="s">
        <v>133</v>
      </c>
    </row>
    <row r="14" spans="1:6">
      <c r="C14" s="259"/>
      <c r="D14" s="260">
        <v>43557</v>
      </c>
      <c r="E14" s="95" t="s">
        <v>294</v>
      </c>
      <c r="F14" t="s">
        <v>337</v>
      </c>
    </row>
    <row r="15" spans="1:6">
      <c r="C15" s="259"/>
      <c r="D15" s="261"/>
    </row>
    <row r="16" spans="1:6">
      <c r="C16" s="259"/>
      <c r="D16" s="260">
        <v>43620</v>
      </c>
      <c r="E16" s="95" t="s">
        <v>439</v>
      </c>
      <c r="F16" t="s">
        <v>440</v>
      </c>
    </row>
    <row r="17" spans="3:6">
      <c r="C17" s="259"/>
      <c r="D17" s="261"/>
    </row>
    <row r="18" spans="3:6">
      <c r="C18" s="259" t="s">
        <v>52</v>
      </c>
      <c r="D18" s="260">
        <v>43842</v>
      </c>
      <c r="E18" s="95" t="s">
        <v>1310</v>
      </c>
      <c r="F18" t="s">
        <v>1311</v>
      </c>
    </row>
    <row r="19" spans="3:6">
      <c r="C19" s="259"/>
      <c r="D19" s="261"/>
    </row>
    <row r="20" spans="3:6">
      <c r="C20" s="259"/>
      <c r="D20" s="260">
        <v>44246</v>
      </c>
      <c r="E20" s="95" t="s">
        <v>2185</v>
      </c>
      <c r="F20" t="s">
        <v>2186</v>
      </c>
    </row>
    <row r="21" spans="3:6">
      <c r="C21" s="259"/>
      <c r="D21" s="261"/>
    </row>
    <row r="22" spans="3:6">
      <c r="C22" s="259" t="s">
        <v>375</v>
      </c>
      <c r="D22" s="260">
        <v>43574</v>
      </c>
      <c r="E22" s="95" t="s">
        <v>376</v>
      </c>
      <c r="F22" t="s">
        <v>377</v>
      </c>
    </row>
    <row r="23" spans="3:6">
      <c r="C23" s="259"/>
      <c r="D23" s="261"/>
    </row>
    <row r="24" spans="3:6">
      <c r="C24" s="259"/>
      <c r="D24" s="260">
        <v>43816</v>
      </c>
      <c r="E24" s="95" t="s">
        <v>1138</v>
      </c>
      <c r="F24" t="s">
        <v>1139</v>
      </c>
    </row>
    <row r="25" spans="3:6">
      <c r="C25" s="259"/>
      <c r="D25" s="261"/>
    </row>
    <row r="26" spans="3:6">
      <c r="C26" s="259"/>
      <c r="D26" s="261"/>
      <c r="E26" s="95" t="s">
        <v>1140</v>
      </c>
      <c r="F26" t="s">
        <v>1141</v>
      </c>
    </row>
    <row r="27" spans="3:6">
      <c r="C27" s="259"/>
      <c r="D27" s="261"/>
    </row>
    <row r="28" spans="3:6">
      <c r="C28" s="259"/>
      <c r="D28" s="260">
        <v>43836</v>
      </c>
      <c r="E28" s="95" t="s">
        <v>938</v>
      </c>
      <c r="F28" t="s">
        <v>1281</v>
      </c>
    </row>
    <row r="29" spans="3:6">
      <c r="C29" s="259"/>
      <c r="D29" s="261"/>
    </row>
    <row r="30" spans="3:6" ht="30">
      <c r="C30" s="259"/>
      <c r="D30" s="260">
        <v>44082</v>
      </c>
      <c r="E30" s="95" t="s">
        <v>1835</v>
      </c>
      <c r="F30" t="s">
        <v>1836</v>
      </c>
    </row>
    <row r="31" spans="3:6">
      <c r="C31" s="259"/>
      <c r="D31" s="261"/>
    </row>
    <row r="32" spans="3:6">
      <c r="C32" s="259"/>
      <c r="D32" s="260">
        <v>44084</v>
      </c>
      <c r="E32" s="95" t="s">
        <v>1839</v>
      </c>
      <c r="F32" t="s">
        <v>1838</v>
      </c>
    </row>
    <row r="33" spans="3:6">
      <c r="C33" s="259"/>
      <c r="D33" s="261"/>
    </row>
    <row r="34" spans="3:6">
      <c r="C34" s="259"/>
      <c r="D34" s="260">
        <v>44700</v>
      </c>
      <c r="E34" s="95" t="s">
        <v>4009</v>
      </c>
      <c r="F34" t="s">
        <v>4010</v>
      </c>
    </row>
    <row r="35" spans="3:6">
      <c r="C35" s="259"/>
      <c r="D35" s="261"/>
    </row>
    <row r="36" spans="3:6">
      <c r="C36" s="259"/>
      <c r="D36" s="260">
        <v>44988</v>
      </c>
      <c r="E36" s="95" t="s">
        <v>4215</v>
      </c>
      <c r="F36" t="s">
        <v>4216</v>
      </c>
    </row>
    <row r="37" spans="3:6">
      <c r="C37" s="259"/>
      <c r="D37" s="261"/>
    </row>
    <row r="38" spans="3:6">
      <c r="C38" s="259"/>
      <c r="D38" s="260">
        <v>45077</v>
      </c>
      <c r="E38" s="95" t="s">
        <v>626</v>
      </c>
      <c r="F38" t="s">
        <v>4361</v>
      </c>
    </row>
    <row r="39" spans="3:6">
      <c r="C39" s="259"/>
      <c r="D39" s="261"/>
    </row>
    <row r="40" spans="3:6">
      <c r="C40" s="259" t="s">
        <v>1291</v>
      </c>
      <c r="D40" s="260">
        <v>43839</v>
      </c>
      <c r="E40" s="95" t="s">
        <v>1292</v>
      </c>
      <c r="F40" t="s">
        <v>1293</v>
      </c>
    </row>
    <row r="41" spans="3:6">
      <c r="C41" s="259"/>
      <c r="D41" s="261"/>
    </row>
    <row r="42" spans="3:6">
      <c r="C42" s="259" t="s">
        <v>902</v>
      </c>
      <c r="D42" s="260">
        <v>43761</v>
      </c>
      <c r="E42" s="95" t="s">
        <v>903</v>
      </c>
      <c r="F42" t="s">
        <v>904</v>
      </c>
    </row>
    <row r="43" spans="3:6">
      <c r="C43" s="259"/>
      <c r="D43" s="261"/>
    </row>
    <row r="44" spans="3:6">
      <c r="C44" s="259" t="s">
        <v>49</v>
      </c>
      <c r="D44" s="260">
        <v>43673</v>
      </c>
      <c r="E44" s="95" t="s">
        <v>789</v>
      </c>
      <c r="F44" t="s">
        <v>790</v>
      </c>
    </row>
    <row r="45" spans="3:6">
      <c r="C45" s="259"/>
      <c r="D45" s="261"/>
    </row>
    <row r="46" spans="3:6">
      <c r="C46" s="259"/>
      <c r="D46" s="260">
        <v>43820</v>
      </c>
      <c r="E46" s="95" t="s">
        <v>1191</v>
      </c>
      <c r="F46" t="s">
        <v>1192</v>
      </c>
    </row>
    <row r="47" spans="3:6">
      <c r="C47" s="259"/>
      <c r="D47" s="261"/>
    </row>
    <row r="48" spans="3:6">
      <c r="C48" s="259"/>
      <c r="D48" s="260">
        <v>43824</v>
      </c>
      <c r="E48" s="95" t="s">
        <v>1204</v>
      </c>
      <c r="F48" t="s">
        <v>1205</v>
      </c>
    </row>
    <row r="49" spans="3:6">
      <c r="C49" s="259"/>
      <c r="D49" s="261"/>
    </row>
    <row r="50" spans="3:6">
      <c r="C50" s="259"/>
      <c r="D50" s="260">
        <v>43889</v>
      </c>
      <c r="E50" s="95" t="s">
        <v>1498</v>
      </c>
      <c r="F50" t="s">
        <v>211</v>
      </c>
    </row>
    <row r="51" spans="3:6">
      <c r="C51" s="259"/>
      <c r="D51" s="261"/>
    </row>
    <row r="52" spans="3:6">
      <c r="C52" s="259"/>
      <c r="D52" s="260">
        <v>43985</v>
      </c>
      <c r="E52" s="95" t="s">
        <v>1627</v>
      </c>
      <c r="F52" t="s">
        <v>1628</v>
      </c>
    </row>
    <row r="53" spans="3:6">
      <c r="C53" s="259"/>
      <c r="D53" s="261"/>
    </row>
    <row r="54" spans="3:6">
      <c r="C54" s="259"/>
      <c r="D54" s="260">
        <v>44075</v>
      </c>
      <c r="E54" s="95" t="s">
        <v>1326</v>
      </c>
      <c r="F54" t="s">
        <v>1824</v>
      </c>
    </row>
    <row r="55" spans="3:6">
      <c r="C55" s="259"/>
      <c r="D55" s="261"/>
    </row>
    <row r="56" spans="3:6">
      <c r="C56" s="259"/>
      <c r="D56" s="260">
        <v>44077</v>
      </c>
      <c r="E56" s="95" t="s">
        <v>1827</v>
      </c>
      <c r="F56" t="s">
        <v>1828</v>
      </c>
    </row>
    <row r="57" spans="3:6">
      <c r="C57" s="259"/>
      <c r="D57" s="261"/>
    </row>
    <row r="58" spans="3:6">
      <c r="C58" s="259"/>
      <c r="D58" s="260">
        <v>44230</v>
      </c>
      <c r="E58" s="95" t="s">
        <v>395</v>
      </c>
      <c r="F58" t="s">
        <v>2138</v>
      </c>
    </row>
    <row r="59" spans="3:6">
      <c r="C59" s="259"/>
      <c r="D59" s="261"/>
    </row>
    <row r="60" spans="3:6">
      <c r="C60" s="259"/>
      <c r="D60" s="260">
        <v>44270</v>
      </c>
      <c r="E60" s="95" t="s">
        <v>49</v>
      </c>
      <c r="F60" t="s">
        <v>2404</v>
      </c>
    </row>
    <row r="61" spans="3:6">
      <c r="C61" s="259"/>
      <c r="D61" s="260">
        <v>44273</v>
      </c>
      <c r="E61" s="95" t="s">
        <v>49</v>
      </c>
      <c r="F61" t="s">
        <v>2419</v>
      </c>
    </row>
    <row r="62" spans="3:6">
      <c r="C62" s="259"/>
      <c r="D62" s="261"/>
    </row>
    <row r="63" spans="3:6" ht="30">
      <c r="C63" s="259"/>
      <c r="D63" s="260">
        <v>44292</v>
      </c>
      <c r="E63" s="95" t="s">
        <v>2554</v>
      </c>
      <c r="F63" t="s">
        <v>2555</v>
      </c>
    </row>
    <row r="64" spans="3:6">
      <c r="C64" s="259"/>
      <c r="D64" s="261"/>
    </row>
    <row r="65" spans="3:6">
      <c r="C65" s="259"/>
      <c r="D65" s="260">
        <v>44357</v>
      </c>
      <c r="E65" s="95" t="s">
        <v>2840</v>
      </c>
      <c r="F65" t="s">
        <v>2841</v>
      </c>
    </row>
    <row r="66" spans="3:6">
      <c r="C66" s="259"/>
      <c r="D66" s="261"/>
    </row>
    <row r="67" spans="3:6">
      <c r="C67" s="259"/>
      <c r="D67" s="260">
        <v>44460</v>
      </c>
      <c r="E67" s="95" t="s">
        <v>2973</v>
      </c>
      <c r="F67" t="s">
        <v>1740</v>
      </c>
    </row>
    <row r="68" spans="3:6">
      <c r="C68" s="259"/>
      <c r="D68" s="261"/>
    </row>
    <row r="69" spans="3:6">
      <c r="C69" s="259"/>
      <c r="D69" s="260">
        <v>44506</v>
      </c>
      <c r="E69" s="95" t="s">
        <v>3159</v>
      </c>
      <c r="F69" t="s">
        <v>3160</v>
      </c>
    </row>
    <row r="70" spans="3:6">
      <c r="C70" s="259"/>
      <c r="D70" s="261"/>
    </row>
    <row r="71" spans="3:6">
      <c r="C71" s="259"/>
      <c r="D71" s="260">
        <v>44702</v>
      </c>
      <c r="E71" s="95" t="s">
        <v>4012</v>
      </c>
      <c r="F71" t="s">
        <v>4011</v>
      </c>
    </row>
    <row r="72" spans="3:6">
      <c r="C72" s="259"/>
      <c r="D72" s="261"/>
    </row>
    <row r="73" spans="3:6">
      <c r="C73" s="259"/>
      <c r="D73" s="260">
        <v>44722</v>
      </c>
      <c r="E73" s="95" t="s">
        <v>2840</v>
      </c>
      <c r="F73" t="s">
        <v>2841</v>
      </c>
    </row>
    <row r="74" spans="3:6">
      <c r="C74" s="259"/>
      <c r="D74" s="261"/>
    </row>
    <row r="75" spans="3:6">
      <c r="C75" s="259"/>
      <c r="D75" s="260">
        <v>45267</v>
      </c>
      <c r="E75" s="95" t="s">
        <v>4525</v>
      </c>
      <c r="F75" t="s">
        <v>4518</v>
      </c>
    </row>
    <row r="76" spans="3:6">
      <c r="C76" s="259"/>
      <c r="D76" s="261"/>
    </row>
    <row r="77" spans="3:6">
      <c r="C77" s="259" t="s">
        <v>844</v>
      </c>
      <c r="D77" s="260">
        <v>43736</v>
      </c>
      <c r="E77" s="95" t="s">
        <v>845</v>
      </c>
      <c r="F77" t="s">
        <v>846</v>
      </c>
    </row>
    <row r="78" spans="3:6">
      <c r="C78" s="259"/>
      <c r="D78" s="261"/>
    </row>
    <row r="79" spans="3:6">
      <c r="C79" s="259"/>
      <c r="D79" s="260">
        <v>44228</v>
      </c>
      <c r="E79" s="95" t="s">
        <v>2112</v>
      </c>
      <c r="F79" t="s">
        <v>2113</v>
      </c>
    </row>
    <row r="80" spans="3:6">
      <c r="C80" s="259"/>
      <c r="D80" s="261"/>
    </row>
    <row r="81" spans="3:6">
      <c r="C81" s="259"/>
      <c r="D81" s="260">
        <v>44279</v>
      </c>
      <c r="E81" s="95" t="s">
        <v>2442</v>
      </c>
      <c r="F81" t="s">
        <v>2443</v>
      </c>
    </row>
    <row r="82" spans="3:6">
      <c r="C82" s="259"/>
      <c r="D82" s="261"/>
    </row>
    <row r="83" spans="3:6">
      <c r="C83" s="259" t="s">
        <v>289</v>
      </c>
      <c r="D83" s="260">
        <v>43601</v>
      </c>
      <c r="E83" s="95" t="s">
        <v>392</v>
      </c>
      <c r="F83" t="s">
        <v>393</v>
      </c>
    </row>
    <row r="84" spans="3:6">
      <c r="C84" s="259"/>
      <c r="D84" s="261"/>
    </row>
    <row r="85" spans="3:6">
      <c r="C85" s="259"/>
      <c r="D85" s="260">
        <v>43635</v>
      </c>
      <c r="E85" s="95" t="s">
        <v>550</v>
      </c>
      <c r="F85" t="s">
        <v>50</v>
      </c>
    </row>
    <row r="86" spans="3:6">
      <c r="C86" s="259"/>
      <c r="D86" s="261"/>
    </row>
    <row r="87" spans="3:6">
      <c r="C87" s="259"/>
      <c r="D87" s="260">
        <v>43700</v>
      </c>
      <c r="E87" s="95" t="s">
        <v>800</v>
      </c>
      <c r="F87" t="s">
        <v>801</v>
      </c>
    </row>
    <row r="88" spans="3:6">
      <c r="C88" s="259"/>
      <c r="D88" s="261"/>
    </row>
    <row r="89" spans="3:6">
      <c r="C89" s="259"/>
      <c r="D89" s="260">
        <v>43770</v>
      </c>
      <c r="E89" s="95" t="s">
        <v>1011</v>
      </c>
      <c r="F89" t="s">
        <v>818</v>
      </c>
    </row>
    <row r="90" spans="3:6">
      <c r="C90" s="259"/>
      <c r="D90" s="261"/>
    </row>
    <row r="91" spans="3:6">
      <c r="C91" s="259"/>
      <c r="D91" s="260">
        <v>43776</v>
      </c>
      <c r="E91" s="95" t="s">
        <v>1018</v>
      </c>
      <c r="F91" t="s">
        <v>549</v>
      </c>
    </row>
    <row r="92" spans="3:6">
      <c r="C92" s="259"/>
      <c r="D92" s="261"/>
    </row>
    <row r="93" spans="3:6">
      <c r="C93" s="259"/>
      <c r="D93" s="260">
        <v>43784</v>
      </c>
      <c r="E93" s="95" t="s">
        <v>1029</v>
      </c>
      <c r="F93" t="s">
        <v>1030</v>
      </c>
    </row>
    <row r="94" spans="3:6">
      <c r="C94" s="259"/>
      <c r="D94" s="261"/>
    </row>
    <row r="95" spans="3:6">
      <c r="C95" s="259"/>
      <c r="D95" s="260">
        <v>43819</v>
      </c>
      <c r="E95" s="95" t="s">
        <v>1188</v>
      </c>
      <c r="F95" t="s">
        <v>1189</v>
      </c>
    </row>
    <row r="96" spans="3:6">
      <c r="C96" s="259"/>
      <c r="D96" s="261"/>
    </row>
    <row r="97" spans="3:6">
      <c r="C97" s="259"/>
      <c r="D97" s="260">
        <v>43831</v>
      </c>
      <c r="E97" s="95" t="s">
        <v>1267</v>
      </c>
      <c r="F97" t="s">
        <v>1268</v>
      </c>
    </row>
    <row r="98" spans="3:6">
      <c r="C98" s="259"/>
      <c r="D98" s="261"/>
    </row>
    <row r="99" spans="3:6">
      <c r="C99" s="259"/>
      <c r="D99" s="260">
        <v>43850</v>
      </c>
      <c r="E99" s="95" t="s">
        <v>1326</v>
      </c>
      <c r="F99" t="s">
        <v>1327</v>
      </c>
    </row>
    <row r="100" spans="3:6">
      <c r="C100" s="259"/>
      <c r="D100" s="261"/>
    </row>
    <row r="101" spans="3:6">
      <c r="C101" s="259"/>
      <c r="D101" s="260">
        <v>44121</v>
      </c>
      <c r="E101" s="95" t="s">
        <v>1900</v>
      </c>
      <c r="F101" t="s">
        <v>1901</v>
      </c>
    </row>
    <row r="102" spans="3:6">
      <c r="C102" s="259"/>
      <c r="D102" s="261"/>
    </row>
    <row r="103" spans="3:6">
      <c r="C103" s="259"/>
      <c r="D103" s="260">
        <v>44128</v>
      </c>
      <c r="E103" s="95" t="s">
        <v>1910</v>
      </c>
      <c r="F103" t="s">
        <v>1911</v>
      </c>
    </row>
    <row r="104" spans="3:6">
      <c r="C104" s="259"/>
      <c r="D104" s="261"/>
    </row>
    <row r="105" spans="3:6">
      <c r="C105" s="259"/>
      <c r="D105" s="260">
        <v>44175</v>
      </c>
      <c r="E105" s="95" t="s">
        <v>1037</v>
      </c>
      <c r="F105" t="s">
        <v>1979</v>
      </c>
    </row>
    <row r="106" spans="3:6">
      <c r="C106" s="259"/>
      <c r="D106" s="261"/>
    </row>
    <row r="107" spans="3:6">
      <c r="C107" s="259"/>
      <c r="D107" s="260">
        <v>44244</v>
      </c>
      <c r="E107" s="95" t="s">
        <v>2178</v>
      </c>
      <c r="F107" t="s">
        <v>2179</v>
      </c>
    </row>
    <row r="108" spans="3:6">
      <c r="C108" s="259"/>
      <c r="D108" s="261"/>
    </row>
    <row r="109" spans="3:6">
      <c r="C109" s="259"/>
      <c r="D109" s="260">
        <v>45120</v>
      </c>
      <c r="E109" s="95" t="s">
        <v>626</v>
      </c>
      <c r="F109" t="s">
        <v>4397</v>
      </c>
    </row>
    <row r="110" spans="3:6">
      <c r="C110" s="259"/>
      <c r="D110" s="261"/>
    </row>
    <row r="111" spans="3:6" ht="30">
      <c r="C111" s="259"/>
      <c r="D111" s="260">
        <v>45127</v>
      </c>
      <c r="E111" s="95" t="s">
        <v>4401</v>
      </c>
      <c r="F111" t="s">
        <v>4401</v>
      </c>
    </row>
    <row r="112" spans="3:6">
      <c r="C112" s="259"/>
      <c r="D112" s="261"/>
    </row>
    <row r="113" spans="3:6">
      <c r="C113" s="259"/>
      <c r="D113" s="260">
        <v>45132</v>
      </c>
      <c r="E113" s="95" t="s">
        <v>4403</v>
      </c>
      <c r="F113" t="s">
        <v>4404</v>
      </c>
    </row>
    <row r="114" spans="3:6">
      <c r="C114" s="259"/>
      <c r="D114" s="261"/>
    </row>
    <row r="115" spans="3:6">
      <c r="C115" s="259"/>
      <c r="D115" s="260">
        <v>45146</v>
      </c>
      <c r="E115" s="95" t="s">
        <v>4445</v>
      </c>
      <c r="F115" t="s">
        <v>4446</v>
      </c>
    </row>
    <row r="116" spans="3:6">
      <c r="C116" s="259"/>
      <c r="D116" s="261"/>
    </row>
    <row r="117" spans="3:6">
      <c r="C117" s="259"/>
      <c r="D117" s="260">
        <v>45187</v>
      </c>
      <c r="E117" s="95" t="s">
        <v>4411</v>
      </c>
      <c r="F117" t="s">
        <v>4475</v>
      </c>
    </row>
    <row r="118" spans="3:6">
      <c r="C118" s="259"/>
      <c r="D118" s="261"/>
    </row>
    <row r="119" spans="3:6">
      <c r="C119" s="259" t="s">
        <v>394</v>
      </c>
      <c r="D119" s="260">
        <v>43617</v>
      </c>
      <c r="E119" s="95" t="s">
        <v>436</v>
      </c>
      <c r="F119" t="s">
        <v>522</v>
      </c>
    </row>
    <row r="120" spans="3:6">
      <c r="C120" s="259"/>
      <c r="D120" s="261"/>
    </row>
    <row r="121" spans="3:6">
      <c r="C121" s="259"/>
      <c r="D121" s="260">
        <v>43643</v>
      </c>
      <c r="E121" s="95" t="s">
        <v>550</v>
      </c>
      <c r="F121" t="s">
        <v>552</v>
      </c>
    </row>
    <row r="122" spans="3:6">
      <c r="C122" s="259"/>
      <c r="D122" s="261"/>
    </row>
    <row r="123" spans="3:6">
      <c r="C123" s="259"/>
      <c r="D123" s="260">
        <v>43647</v>
      </c>
      <c r="E123" s="95" t="s">
        <v>570</v>
      </c>
      <c r="F123" t="s">
        <v>571</v>
      </c>
    </row>
    <row r="124" spans="3:6">
      <c r="C124" s="259"/>
      <c r="D124" s="261"/>
    </row>
    <row r="125" spans="3:6">
      <c r="C125" s="259"/>
      <c r="D125" s="260">
        <v>43718</v>
      </c>
      <c r="E125" s="95" t="s">
        <v>812</v>
      </c>
      <c r="F125" t="s">
        <v>813</v>
      </c>
    </row>
    <row r="126" spans="3:6">
      <c r="C126" s="259"/>
      <c r="D126" s="261"/>
    </row>
    <row r="127" spans="3:6">
      <c r="C127" s="259"/>
      <c r="D127" s="260">
        <v>43750</v>
      </c>
      <c r="E127" s="95" t="s">
        <v>886</v>
      </c>
      <c r="F127" t="s">
        <v>887</v>
      </c>
    </row>
    <row r="128" spans="3:6">
      <c r="C128" s="259"/>
      <c r="D128" s="261"/>
    </row>
    <row r="129" spans="3:6">
      <c r="C129" s="259"/>
      <c r="D129" s="260">
        <v>43852</v>
      </c>
      <c r="E129" s="95" t="s">
        <v>1382</v>
      </c>
      <c r="F129" t="s">
        <v>1383</v>
      </c>
    </row>
    <row r="130" spans="3:6">
      <c r="C130" s="259"/>
      <c r="D130" s="261"/>
    </row>
    <row r="131" spans="3:6">
      <c r="C131" s="259"/>
      <c r="D131" s="260">
        <v>43868</v>
      </c>
      <c r="E131" s="95" t="s">
        <v>1420</v>
      </c>
      <c r="F131" t="s">
        <v>1421</v>
      </c>
    </row>
    <row r="132" spans="3:6">
      <c r="C132" s="259"/>
      <c r="D132" s="261"/>
    </row>
    <row r="133" spans="3:6">
      <c r="C133" s="259"/>
      <c r="D133" s="260">
        <v>44002</v>
      </c>
      <c r="E133" s="95" t="s">
        <v>1670</v>
      </c>
      <c r="F133" t="s">
        <v>1671</v>
      </c>
    </row>
    <row r="134" spans="3:6">
      <c r="C134" s="259"/>
      <c r="D134" s="261"/>
    </row>
    <row r="135" spans="3:6">
      <c r="C135" s="259"/>
      <c r="D135" s="260">
        <v>44032</v>
      </c>
      <c r="E135" s="95" t="s">
        <v>1725</v>
      </c>
      <c r="F135" t="s">
        <v>571</v>
      </c>
    </row>
    <row r="136" spans="3:6">
      <c r="C136" s="259"/>
      <c r="D136" s="261"/>
    </row>
    <row r="137" spans="3:6">
      <c r="C137" s="259"/>
      <c r="D137" s="260">
        <v>44057</v>
      </c>
      <c r="E137" s="95" t="s">
        <v>1326</v>
      </c>
      <c r="F137" t="s">
        <v>1763</v>
      </c>
    </row>
    <row r="138" spans="3:6">
      <c r="C138" s="259"/>
      <c r="D138" s="261"/>
    </row>
    <row r="139" spans="3:6">
      <c r="C139" s="259"/>
      <c r="D139" s="260">
        <v>44078</v>
      </c>
      <c r="E139" s="95" t="s">
        <v>1829</v>
      </c>
      <c r="F139" t="s">
        <v>1830</v>
      </c>
    </row>
    <row r="140" spans="3:6">
      <c r="C140" s="259"/>
      <c r="D140" s="261"/>
    </row>
    <row r="141" spans="3:6">
      <c r="C141" s="259"/>
      <c r="D141" s="260">
        <v>44155</v>
      </c>
      <c r="E141" s="95" t="s">
        <v>1725</v>
      </c>
      <c r="F141" t="s">
        <v>571</v>
      </c>
    </row>
    <row r="142" spans="3:6">
      <c r="C142" s="259"/>
      <c r="D142" s="261"/>
    </row>
    <row r="143" spans="3:6">
      <c r="C143" s="259"/>
      <c r="D143" s="260">
        <v>44523</v>
      </c>
      <c r="E143" s="95" t="s">
        <v>3192</v>
      </c>
      <c r="F143" t="s">
        <v>3193</v>
      </c>
    </row>
    <row r="144" spans="3:6">
      <c r="C144" s="259"/>
      <c r="D144" s="261"/>
    </row>
    <row r="145" spans="3:6">
      <c r="C145" s="259"/>
      <c r="D145" s="260">
        <v>45008</v>
      </c>
      <c r="E145" s="95" t="s">
        <v>1685</v>
      </c>
      <c r="F145" t="s">
        <v>4244</v>
      </c>
    </row>
    <row r="146" spans="3:6">
      <c r="C146" s="259"/>
      <c r="D146" s="261"/>
    </row>
    <row r="147" spans="3:6">
      <c r="C147" s="259"/>
      <c r="D147" s="260">
        <v>45183</v>
      </c>
      <c r="E147" s="95" t="s">
        <v>4473</v>
      </c>
      <c r="F147" t="s">
        <v>4474</v>
      </c>
    </row>
    <row r="148" spans="3:6">
      <c r="C148" s="259"/>
      <c r="D148" s="261"/>
    </row>
    <row r="149" spans="3:6">
      <c r="C149" s="259"/>
      <c r="D149" s="260">
        <v>45278</v>
      </c>
      <c r="E149" s="95" t="s">
        <v>4554</v>
      </c>
      <c r="F149" t="s">
        <v>4555</v>
      </c>
    </row>
    <row r="150" spans="3:6">
      <c r="C150" s="259"/>
      <c r="D150" s="261"/>
    </row>
    <row r="151" spans="3:6">
      <c r="C151" s="259"/>
      <c r="D151" s="260">
        <v>45203</v>
      </c>
      <c r="E151" s="95" t="s">
        <v>4575</v>
      </c>
      <c r="F151" t="s">
        <v>4576</v>
      </c>
    </row>
    <row r="152" spans="3:6">
      <c r="C152" s="259"/>
      <c r="D152" s="261"/>
    </row>
    <row r="153" spans="3:6" ht="30">
      <c r="C153" s="259" t="s">
        <v>1004</v>
      </c>
      <c r="D153" s="260">
        <v>43768</v>
      </c>
      <c r="E153" s="95" t="s">
        <v>1005</v>
      </c>
      <c r="F153" t="s">
        <v>1006</v>
      </c>
    </row>
    <row r="154" spans="3:6">
      <c r="C154" s="259"/>
      <c r="D154" s="261"/>
    </row>
    <row r="155" spans="3:6">
      <c r="C155" s="259" t="s">
        <v>360</v>
      </c>
      <c r="D155" s="260">
        <v>43568</v>
      </c>
      <c r="E155" s="95" t="s">
        <v>362</v>
      </c>
      <c r="F155" t="s">
        <v>361</v>
      </c>
    </row>
    <row r="156" spans="3:6">
      <c r="C156" s="259"/>
      <c r="D156" s="260">
        <v>43577</v>
      </c>
      <c r="E156" s="95" t="s">
        <v>362</v>
      </c>
      <c r="F156" t="s">
        <v>372</v>
      </c>
    </row>
    <row r="157" spans="3:6">
      <c r="C157" s="259"/>
      <c r="D157" s="261"/>
    </row>
    <row r="158" spans="3:6">
      <c r="C158" s="259"/>
      <c r="D158" s="260">
        <v>43595</v>
      </c>
      <c r="E158" s="95" t="s">
        <v>387</v>
      </c>
      <c r="F158" t="s">
        <v>389</v>
      </c>
    </row>
    <row r="159" spans="3:6">
      <c r="C159" s="259"/>
      <c r="D159" s="261"/>
    </row>
    <row r="160" spans="3:6">
      <c r="C160" s="259"/>
      <c r="D160" s="260">
        <v>43665</v>
      </c>
      <c r="E160" s="95" t="s">
        <v>520</v>
      </c>
      <c r="F160" t="s">
        <v>660</v>
      </c>
    </row>
    <row r="161" spans="3:6">
      <c r="C161" s="259"/>
      <c r="D161" s="261"/>
    </row>
    <row r="162" spans="3:6">
      <c r="C162" s="259"/>
      <c r="D162" s="260">
        <v>44527</v>
      </c>
      <c r="E162" s="95" t="s">
        <v>3199</v>
      </c>
      <c r="F162" t="s">
        <v>3200</v>
      </c>
    </row>
    <row r="163" spans="3:6">
      <c r="C163" s="259"/>
      <c r="D163" s="261"/>
    </row>
    <row r="164" spans="3:6">
      <c r="C164" s="259" t="s">
        <v>528</v>
      </c>
      <c r="D164" s="260">
        <v>43633</v>
      </c>
      <c r="E164" s="95" t="s">
        <v>529</v>
      </c>
      <c r="F164" t="s">
        <v>530</v>
      </c>
    </row>
    <row r="165" spans="3:6">
      <c r="C165" s="259"/>
      <c r="D165" s="261"/>
    </row>
    <row r="166" spans="3:6" ht="30">
      <c r="C166" s="259" t="s">
        <v>409</v>
      </c>
      <c r="D166" s="260">
        <v>43613</v>
      </c>
      <c r="E166" s="95" t="s">
        <v>410</v>
      </c>
      <c r="F166" t="s">
        <v>411</v>
      </c>
    </row>
    <row r="167" spans="3:6">
      <c r="C167" s="259"/>
      <c r="D167" s="261"/>
    </row>
    <row r="168" spans="3:6">
      <c r="C168" s="259"/>
      <c r="D168" s="260">
        <v>44427</v>
      </c>
      <c r="E168" s="95" t="s">
        <v>724</v>
      </c>
      <c r="F168" t="s">
        <v>2922</v>
      </c>
    </row>
    <row r="169" spans="3:6">
      <c r="C169" s="259"/>
      <c r="D169" s="260">
        <v>44792</v>
      </c>
      <c r="E169" s="95" t="s">
        <v>724</v>
      </c>
      <c r="F169" t="s">
        <v>2922</v>
      </c>
    </row>
    <row r="170" spans="3:6">
      <c r="C170" s="259"/>
      <c r="D170" s="261"/>
    </row>
    <row r="171" spans="3:6">
      <c r="C171" s="259" t="s">
        <v>937</v>
      </c>
      <c r="D171" s="260">
        <v>43757</v>
      </c>
      <c r="E171" s="95" t="s">
        <v>938</v>
      </c>
      <c r="F171" t="s">
        <v>939</v>
      </c>
    </row>
    <row r="172" spans="3:6">
      <c r="C172" s="259"/>
      <c r="D172" s="261"/>
    </row>
    <row r="173" spans="3:6">
      <c r="C173" s="259"/>
      <c r="D173" s="260">
        <v>43766</v>
      </c>
      <c r="E173" s="95" t="s">
        <v>1002</v>
      </c>
      <c r="F173" t="s">
        <v>1003</v>
      </c>
    </row>
    <row r="174" spans="3:6">
      <c r="C174" s="259"/>
      <c r="D174" s="261"/>
    </row>
    <row r="175" spans="3:6">
      <c r="C175" s="259"/>
      <c r="D175" s="260">
        <v>44293</v>
      </c>
      <c r="E175" s="95" t="s">
        <v>2567</v>
      </c>
      <c r="F175" t="s">
        <v>2568</v>
      </c>
    </row>
    <row r="176" spans="3:6">
      <c r="C176" s="259"/>
      <c r="D176" s="261"/>
    </row>
    <row r="177" spans="3:6">
      <c r="C177" s="259" t="s">
        <v>325</v>
      </c>
      <c r="D177" s="260">
        <v>43540</v>
      </c>
      <c r="E177" s="95" t="s">
        <v>294</v>
      </c>
      <c r="F177" t="s">
        <v>326</v>
      </c>
    </row>
    <row r="178" spans="3:6">
      <c r="C178" s="259"/>
      <c r="D178" s="261"/>
    </row>
    <row r="179" spans="3:6">
      <c r="C179" s="259" t="s">
        <v>365</v>
      </c>
      <c r="D179" s="260">
        <v>44120</v>
      </c>
      <c r="E179" s="95" t="s">
        <v>1896</v>
      </c>
      <c r="F179" t="s">
        <v>1897</v>
      </c>
    </row>
    <row r="180" spans="3:6">
      <c r="C180" s="259"/>
      <c r="D180" s="261"/>
    </row>
    <row r="181" spans="3:6" ht="30">
      <c r="C181" s="259"/>
      <c r="D181" s="260">
        <v>44607</v>
      </c>
      <c r="E181" s="95" t="s">
        <v>3863</v>
      </c>
      <c r="F181" t="s">
        <v>3864</v>
      </c>
    </row>
    <row r="182" spans="3:6">
      <c r="C182" s="259"/>
      <c r="D182" s="261"/>
    </row>
    <row r="183" spans="3:6">
      <c r="C183" s="259" t="s">
        <v>1124</v>
      </c>
      <c r="D183" s="260">
        <v>43805</v>
      </c>
      <c r="E183" s="95" t="s">
        <v>776</v>
      </c>
      <c r="F183" t="s">
        <v>1125</v>
      </c>
    </row>
    <row r="184" spans="3:6">
      <c r="C184" s="259"/>
      <c r="D184" s="261"/>
    </row>
    <row r="185" spans="3:6">
      <c r="C185" s="259" t="s">
        <v>674</v>
      </c>
      <c r="D185" s="260">
        <v>43670</v>
      </c>
      <c r="E185" s="95" t="s">
        <v>691</v>
      </c>
      <c r="F185" t="s">
        <v>294</v>
      </c>
    </row>
    <row r="186" spans="3:6">
      <c r="C186" s="259"/>
      <c r="D186" s="261"/>
    </row>
    <row r="187" spans="3:6">
      <c r="C187" s="259" t="s">
        <v>1206</v>
      </c>
      <c r="D187" s="260">
        <v>44200</v>
      </c>
      <c r="E187" s="95" t="s">
        <v>1022</v>
      </c>
      <c r="F187" t="s">
        <v>2368</v>
      </c>
    </row>
    <row r="188" spans="3:6">
      <c r="C188" s="259"/>
      <c r="D188" s="260">
        <v>44217</v>
      </c>
      <c r="E188" s="95" t="s">
        <v>1022</v>
      </c>
      <c r="F188" t="s">
        <v>2395</v>
      </c>
    </row>
    <row r="189" spans="3:6">
      <c r="C189" s="259"/>
      <c r="D189" s="260">
        <v>45251</v>
      </c>
      <c r="E189" s="95" t="s">
        <v>1022</v>
      </c>
      <c r="F189" t="s">
        <v>422</v>
      </c>
    </row>
    <row r="190" spans="3:6">
      <c r="C190" s="259"/>
      <c r="D190" s="261"/>
    </row>
    <row r="191" spans="3:6">
      <c r="C191" s="259" t="s">
        <v>378</v>
      </c>
      <c r="D191" s="260">
        <v>44215</v>
      </c>
      <c r="E191" s="95" t="s">
        <v>2387</v>
      </c>
      <c r="F191" t="s">
        <v>2388</v>
      </c>
    </row>
    <row r="192" spans="3:6">
      <c r="C192" s="259"/>
      <c r="D192" s="261"/>
    </row>
    <row r="193" spans="3:6">
      <c r="C193" s="259" t="s">
        <v>46</v>
      </c>
      <c r="D193" s="260">
        <v>43574</v>
      </c>
      <c r="E193" s="95" t="s">
        <v>370</v>
      </c>
      <c r="F193" t="s">
        <v>371</v>
      </c>
    </row>
    <row r="194" spans="3:6">
      <c r="C194" s="259"/>
      <c r="D194" s="261"/>
    </row>
    <row r="195" spans="3:6">
      <c r="C195" s="259"/>
      <c r="D195" s="260">
        <v>43619</v>
      </c>
      <c r="E195" s="95" t="s">
        <v>434</v>
      </c>
      <c r="F195" t="s">
        <v>435</v>
      </c>
    </row>
    <row r="196" spans="3:6">
      <c r="C196" s="259"/>
      <c r="D196" s="261"/>
    </row>
    <row r="197" spans="3:6">
      <c r="C197" s="259"/>
      <c r="D197" s="260">
        <v>43671</v>
      </c>
      <c r="E197" s="95" t="s">
        <v>695</v>
      </c>
      <c r="F197" t="s">
        <v>47</v>
      </c>
    </row>
    <row r="198" spans="3:6">
      <c r="C198" s="259"/>
      <c r="D198" s="260">
        <v>43679</v>
      </c>
      <c r="E198" s="95" t="s">
        <v>695</v>
      </c>
      <c r="F198" t="s">
        <v>791</v>
      </c>
    </row>
    <row r="199" spans="3:6">
      <c r="C199" s="259"/>
      <c r="D199" s="261"/>
    </row>
    <row r="200" spans="3:6">
      <c r="C200" s="259"/>
      <c r="D200" s="260">
        <v>43686</v>
      </c>
      <c r="E200" s="95" t="s">
        <v>795</v>
      </c>
      <c r="F200" t="s">
        <v>796</v>
      </c>
    </row>
    <row r="201" spans="3:6">
      <c r="C201" s="259"/>
      <c r="D201" s="261"/>
    </row>
    <row r="202" spans="3:6">
      <c r="C202" s="259"/>
      <c r="D202" s="260">
        <v>43739</v>
      </c>
      <c r="E202" s="95" t="s">
        <v>848</v>
      </c>
      <c r="F202" t="s">
        <v>849</v>
      </c>
    </row>
    <row r="203" spans="3:6">
      <c r="C203" s="259"/>
      <c r="D203" s="261"/>
    </row>
    <row r="204" spans="3:6">
      <c r="C204" s="259"/>
      <c r="D204" s="260">
        <v>43844</v>
      </c>
      <c r="E204" s="95" t="s">
        <v>1317</v>
      </c>
      <c r="F204" t="s">
        <v>1318</v>
      </c>
    </row>
    <row r="205" spans="3:6">
      <c r="C205" s="259"/>
      <c r="D205" s="261"/>
    </row>
    <row r="206" spans="3:6">
      <c r="C206" s="259"/>
      <c r="D206" s="260">
        <v>43883</v>
      </c>
      <c r="E206" s="95" t="s">
        <v>1482</v>
      </c>
      <c r="F206" t="s">
        <v>1483</v>
      </c>
    </row>
    <row r="207" spans="3:6">
      <c r="C207" s="259"/>
      <c r="D207" s="261"/>
    </row>
    <row r="208" spans="3:6">
      <c r="C208" s="259"/>
      <c r="D208" s="260">
        <v>44292</v>
      </c>
      <c r="E208" s="95" t="s">
        <v>2560</v>
      </c>
      <c r="F208" t="s">
        <v>2561</v>
      </c>
    </row>
    <row r="209" spans="3:6">
      <c r="C209" s="259"/>
      <c r="D209" s="261"/>
    </row>
    <row r="210" spans="3:6">
      <c r="C210" s="259"/>
      <c r="D210" s="260">
        <v>44305</v>
      </c>
      <c r="E210" s="95" t="s">
        <v>2644</v>
      </c>
      <c r="F210" t="s">
        <v>2645</v>
      </c>
    </row>
    <row r="211" spans="3:6">
      <c r="C211" s="259"/>
      <c r="D211" s="261"/>
    </row>
    <row r="212" spans="3:6" ht="30">
      <c r="C212" s="259"/>
      <c r="D212" s="260">
        <v>44319</v>
      </c>
      <c r="E212" s="95" t="s">
        <v>2687</v>
      </c>
      <c r="F212" t="s">
        <v>2688</v>
      </c>
    </row>
    <row r="213" spans="3:6">
      <c r="C213" s="259"/>
      <c r="D213" s="261"/>
    </row>
    <row r="214" spans="3:6">
      <c r="C214" s="259"/>
      <c r="D214" s="260">
        <v>44510</v>
      </c>
      <c r="E214" s="95" t="s">
        <v>3167</v>
      </c>
      <c r="F214" t="s">
        <v>3168</v>
      </c>
    </row>
    <row r="215" spans="3:6">
      <c r="C215" s="259"/>
      <c r="D215" s="261"/>
    </row>
    <row r="216" spans="3:6">
      <c r="C216" s="259"/>
      <c r="D216" s="260">
        <v>44529</v>
      </c>
      <c r="E216" s="95" t="s">
        <v>524</v>
      </c>
      <c r="F216" t="s">
        <v>3202</v>
      </c>
    </row>
    <row r="217" spans="3:6">
      <c r="C217" s="259"/>
      <c r="D217" s="261"/>
    </row>
    <row r="218" spans="3:6">
      <c r="C218" s="259"/>
      <c r="D218" s="260">
        <v>45079</v>
      </c>
      <c r="E218" s="95" t="s">
        <v>4368</v>
      </c>
      <c r="F218" t="s">
        <v>4369</v>
      </c>
    </row>
    <row r="219" spans="3:6">
      <c r="C219" s="259"/>
      <c r="D219" s="261"/>
    </row>
    <row r="220" spans="3:6">
      <c r="C220" s="259" t="s">
        <v>23</v>
      </c>
      <c r="D220" s="260">
        <v>43496</v>
      </c>
      <c r="E220" s="95" t="s">
        <v>294</v>
      </c>
      <c r="F220" t="s">
        <v>24</v>
      </c>
    </row>
    <row r="221" spans="3:6">
      <c r="C221" s="259"/>
      <c r="D221" s="261"/>
    </row>
    <row r="222" spans="3:6">
      <c r="C222" s="259" t="s">
        <v>300</v>
      </c>
      <c r="D222" s="260">
        <v>44449</v>
      </c>
      <c r="E222" s="95" t="s">
        <v>2957</v>
      </c>
      <c r="F222" t="s">
        <v>2958</v>
      </c>
    </row>
    <row r="223" spans="3:6">
      <c r="C223" s="259"/>
      <c r="D223" s="260">
        <v>44814</v>
      </c>
      <c r="E223" s="95" t="s">
        <v>2957</v>
      </c>
      <c r="F223" t="s">
        <v>2958</v>
      </c>
    </row>
    <row r="224" spans="3:6">
      <c r="C224" s="259"/>
      <c r="D224" s="261"/>
    </row>
    <row r="225" spans="3:6">
      <c r="C225" s="259" t="s">
        <v>20</v>
      </c>
      <c r="D225" s="260">
        <v>43535</v>
      </c>
      <c r="E225" s="95" t="s">
        <v>294</v>
      </c>
      <c r="F225" t="s">
        <v>314</v>
      </c>
    </row>
    <row r="226" spans="3:6">
      <c r="C226" s="259"/>
      <c r="D226" s="261"/>
    </row>
    <row r="227" spans="3:6" ht="30">
      <c r="C227" s="259"/>
      <c r="D227" s="260">
        <v>43628</v>
      </c>
      <c r="E227" s="95" t="s">
        <v>537</v>
      </c>
      <c r="F227" t="s">
        <v>538</v>
      </c>
    </row>
    <row r="228" spans="3:6">
      <c r="C228" s="259"/>
      <c r="D228" s="261"/>
    </row>
    <row r="229" spans="3:6">
      <c r="C229" s="259"/>
      <c r="D229" s="260">
        <v>43747</v>
      </c>
      <c r="E229" s="95" t="s">
        <v>872</v>
      </c>
      <c r="F229" t="s">
        <v>873</v>
      </c>
    </row>
    <row r="230" spans="3:6">
      <c r="C230" s="259"/>
      <c r="D230" s="261"/>
    </row>
    <row r="231" spans="3:6">
      <c r="C231" s="259"/>
      <c r="D231" s="260">
        <v>43795</v>
      </c>
      <c r="E231" s="95" t="s">
        <v>1088</v>
      </c>
      <c r="F231" t="s">
        <v>1089</v>
      </c>
    </row>
    <row r="232" spans="3:6">
      <c r="C232" s="259"/>
      <c r="D232" s="261"/>
    </row>
    <row r="233" spans="3:6">
      <c r="C233" s="259"/>
      <c r="D233" s="260">
        <v>43797</v>
      </c>
      <c r="E233" s="95" t="s">
        <v>1091</v>
      </c>
      <c r="F233" t="s">
        <v>1090</v>
      </c>
    </row>
    <row r="234" spans="3:6">
      <c r="C234" s="259"/>
      <c r="D234" s="261"/>
    </row>
    <row r="235" spans="3:6">
      <c r="C235" s="259"/>
      <c r="D235" s="260">
        <v>43805</v>
      </c>
      <c r="E235" s="95" t="s">
        <v>1185</v>
      </c>
      <c r="F235" t="s">
        <v>1186</v>
      </c>
    </row>
    <row r="236" spans="3:6">
      <c r="C236" s="259"/>
      <c r="D236" s="261"/>
    </row>
    <row r="237" spans="3:6">
      <c r="C237" s="259"/>
      <c r="D237" s="260">
        <v>43833</v>
      </c>
      <c r="E237" s="95" t="s">
        <v>1274</v>
      </c>
      <c r="F237" t="s">
        <v>1275</v>
      </c>
    </row>
    <row r="238" spans="3:6">
      <c r="C238" s="259"/>
      <c r="D238" s="261"/>
    </row>
    <row r="239" spans="3:6">
      <c r="C239" s="259"/>
      <c r="D239" s="260">
        <v>43866</v>
      </c>
      <c r="E239" s="95" t="s">
        <v>1088</v>
      </c>
      <c r="F239" t="s">
        <v>722</v>
      </c>
    </row>
    <row r="240" spans="3:6">
      <c r="C240" s="259"/>
      <c r="D240" s="261"/>
    </row>
    <row r="241" spans="3:6">
      <c r="C241" s="259"/>
      <c r="D241" s="260">
        <v>43879</v>
      </c>
      <c r="E241" s="95" t="s">
        <v>1436</v>
      </c>
      <c r="F241" t="s">
        <v>1437</v>
      </c>
    </row>
    <row r="242" spans="3:6">
      <c r="C242" s="259"/>
      <c r="D242" s="261"/>
    </row>
    <row r="243" spans="3:6">
      <c r="C243" s="259"/>
      <c r="D243" s="260">
        <v>43893</v>
      </c>
      <c r="E243" s="95" t="s">
        <v>1188</v>
      </c>
      <c r="F243" t="s">
        <v>1501</v>
      </c>
    </row>
    <row r="244" spans="3:6">
      <c r="C244" s="259"/>
      <c r="D244" s="261"/>
    </row>
    <row r="245" spans="3:6">
      <c r="C245" s="259"/>
      <c r="D245" s="260">
        <v>43998</v>
      </c>
      <c r="E245" s="95" t="s">
        <v>520</v>
      </c>
      <c r="F245" t="s">
        <v>1663</v>
      </c>
    </row>
    <row r="246" spans="3:6">
      <c r="C246" s="259"/>
      <c r="D246" s="261"/>
    </row>
    <row r="247" spans="3:6" ht="30">
      <c r="C247" s="259"/>
      <c r="D247" s="260">
        <v>44004</v>
      </c>
      <c r="E247" s="95" t="s">
        <v>1683</v>
      </c>
      <c r="F247" t="s">
        <v>1684</v>
      </c>
    </row>
    <row r="248" spans="3:6">
      <c r="C248" s="259"/>
      <c r="D248" s="261"/>
    </row>
    <row r="249" spans="3:6">
      <c r="C249" s="259"/>
      <c r="D249" s="260">
        <v>44182</v>
      </c>
      <c r="E249" s="95" t="s">
        <v>1987</v>
      </c>
      <c r="F249" t="s">
        <v>1988</v>
      </c>
    </row>
    <row r="250" spans="3:6">
      <c r="C250" s="259"/>
      <c r="D250" s="261"/>
    </row>
    <row r="251" spans="3:6">
      <c r="C251" s="259"/>
      <c r="D251" s="260">
        <v>44225</v>
      </c>
      <c r="E251" s="95" t="s">
        <v>1188</v>
      </c>
      <c r="F251" t="s">
        <v>2106</v>
      </c>
    </row>
    <row r="252" spans="3:6">
      <c r="C252" s="259"/>
      <c r="D252" s="260">
        <v>44987</v>
      </c>
      <c r="E252" s="95" t="s">
        <v>1188</v>
      </c>
      <c r="F252" t="s">
        <v>4212</v>
      </c>
    </row>
    <row r="253" spans="3:6">
      <c r="C253" s="259"/>
      <c r="D253" s="261"/>
    </row>
    <row r="254" spans="3:6">
      <c r="C254" s="259"/>
      <c r="D254" s="260">
        <v>45175</v>
      </c>
      <c r="E254" s="95" t="s">
        <v>4468</v>
      </c>
      <c r="F254" t="s">
        <v>4469</v>
      </c>
    </row>
    <row r="255" spans="3:6">
      <c r="C255" s="259"/>
      <c r="D255" s="261"/>
    </row>
    <row r="256" spans="3:6">
      <c r="C256" s="259" t="s">
        <v>335</v>
      </c>
      <c r="D256" s="260">
        <v>43813</v>
      </c>
      <c r="E256" s="95" t="s">
        <v>1130</v>
      </c>
      <c r="F256" t="s">
        <v>1131</v>
      </c>
    </row>
    <row r="257" spans="3:6">
      <c r="C257" s="259"/>
      <c r="D257" s="261"/>
    </row>
    <row r="258" spans="3:6">
      <c r="C258" s="259" t="s">
        <v>3</v>
      </c>
      <c r="D258" s="260">
        <v>43661</v>
      </c>
      <c r="E258" s="95" t="s">
        <v>591</v>
      </c>
      <c r="F258" t="s">
        <v>653</v>
      </c>
    </row>
    <row r="259" spans="3:6">
      <c r="C259" s="259"/>
      <c r="D259" s="261"/>
    </row>
    <row r="260" spans="3:6">
      <c r="C260" s="259"/>
      <c r="D260" s="260">
        <v>44396</v>
      </c>
      <c r="E260" s="95" t="s">
        <v>1612</v>
      </c>
      <c r="F260" t="s">
        <v>2920</v>
      </c>
    </row>
    <row r="261" spans="3:6">
      <c r="C261" s="259"/>
      <c r="D261" s="260">
        <v>44686</v>
      </c>
      <c r="E261" s="95" t="s">
        <v>1612</v>
      </c>
      <c r="F261" t="s">
        <v>4008</v>
      </c>
    </row>
    <row r="262" spans="3:6">
      <c r="C262" s="259"/>
      <c r="D262" s="260">
        <v>44761</v>
      </c>
      <c r="E262" s="95" t="s">
        <v>1612</v>
      </c>
      <c r="F262" t="s">
        <v>2920</v>
      </c>
    </row>
    <row r="263" spans="3:6">
      <c r="C263" s="259"/>
      <c r="D263" s="261"/>
    </row>
    <row r="264" spans="3:6">
      <c r="C264" s="259"/>
      <c r="D264" s="260">
        <v>45112</v>
      </c>
      <c r="E264" s="95" t="s">
        <v>1615</v>
      </c>
      <c r="F264" t="s">
        <v>4383</v>
      </c>
    </row>
    <row r="265" spans="3:6">
      <c r="C265" s="259"/>
      <c r="D265" s="261"/>
    </row>
    <row r="266" spans="3:6">
      <c r="C266" s="259" t="s">
        <v>118</v>
      </c>
      <c r="D266" s="260">
        <v>43503</v>
      </c>
      <c r="E266" s="95" t="s">
        <v>294</v>
      </c>
      <c r="F266" t="s">
        <v>119</v>
      </c>
    </row>
    <row r="267" spans="3:6">
      <c r="C267" s="259"/>
      <c r="D267" s="260">
        <v>43528</v>
      </c>
      <c r="E267" s="95" t="s">
        <v>294</v>
      </c>
      <c r="F267" t="s">
        <v>119</v>
      </c>
    </row>
    <row r="268" spans="3:6">
      <c r="C268" s="259"/>
      <c r="D268" s="260">
        <v>43536</v>
      </c>
      <c r="E268" s="95" t="s">
        <v>294</v>
      </c>
      <c r="F268" t="s">
        <v>304</v>
      </c>
    </row>
    <row r="269" spans="3:6">
      <c r="C269" s="259"/>
      <c r="D269" s="261"/>
    </row>
    <row r="270" spans="3:6">
      <c r="C270" s="259"/>
      <c r="D270" s="260">
        <v>43566</v>
      </c>
      <c r="E270" s="95" t="s">
        <v>354</v>
      </c>
      <c r="F270" t="s">
        <v>355</v>
      </c>
    </row>
    <row r="271" spans="3:6">
      <c r="C271" s="259"/>
      <c r="D271" s="261"/>
    </row>
    <row r="272" spans="3:6">
      <c r="C272" s="259"/>
      <c r="D272" s="260">
        <v>43588</v>
      </c>
      <c r="E272" s="95" t="s">
        <v>379</v>
      </c>
      <c r="F272" t="s">
        <v>119</v>
      </c>
    </row>
    <row r="273" spans="3:6">
      <c r="C273" s="259"/>
      <c r="D273" s="261"/>
    </row>
    <row r="274" spans="3:6">
      <c r="C274" s="259"/>
      <c r="D274" s="260">
        <v>43725</v>
      </c>
      <c r="E274" s="95" t="s">
        <v>831</v>
      </c>
      <c r="F274" t="s">
        <v>3282</v>
      </c>
    </row>
    <row r="275" spans="3:6">
      <c r="C275" s="259"/>
      <c r="D275" s="261"/>
    </row>
    <row r="276" spans="3:6" ht="30">
      <c r="C276" s="259"/>
      <c r="D276" s="260">
        <v>43846</v>
      </c>
      <c r="E276" s="95" t="s">
        <v>1321</v>
      </c>
      <c r="F276" t="s">
        <v>1322</v>
      </c>
    </row>
    <row r="277" spans="3:6">
      <c r="C277" s="259"/>
      <c r="D277" s="261"/>
    </row>
    <row r="278" spans="3:6">
      <c r="C278" s="259"/>
      <c r="D278" s="260">
        <v>43857</v>
      </c>
      <c r="E278" s="95" t="s">
        <v>1025</v>
      </c>
      <c r="F278" t="s">
        <v>119</v>
      </c>
    </row>
    <row r="279" spans="3:6">
      <c r="C279" s="259"/>
      <c r="D279" s="261"/>
    </row>
    <row r="280" spans="3:6">
      <c r="C280" s="259"/>
      <c r="D280" s="260">
        <v>43864</v>
      </c>
      <c r="E280" s="95" t="s">
        <v>1502</v>
      </c>
      <c r="F280" t="s">
        <v>119</v>
      </c>
    </row>
    <row r="281" spans="3:6">
      <c r="C281" s="259"/>
      <c r="D281" s="261"/>
    </row>
    <row r="282" spans="3:6">
      <c r="C282" s="259"/>
      <c r="D282" s="260">
        <v>43877</v>
      </c>
      <c r="E282" s="95" t="s">
        <v>1432</v>
      </c>
      <c r="F282" t="s">
        <v>1433</v>
      </c>
    </row>
    <row r="283" spans="3:6">
      <c r="C283" s="259"/>
      <c r="D283" s="261"/>
    </row>
    <row r="284" spans="3:6">
      <c r="C284" s="259"/>
      <c r="D284" s="260">
        <v>44089</v>
      </c>
      <c r="E284" s="95" t="s">
        <v>1845</v>
      </c>
      <c r="F284" t="s">
        <v>1846</v>
      </c>
    </row>
    <row r="285" spans="3:6">
      <c r="C285" s="259"/>
      <c r="D285" s="261"/>
    </row>
    <row r="286" spans="3:6">
      <c r="C286" s="259"/>
      <c r="D286" s="260">
        <v>44133</v>
      </c>
      <c r="E286" s="95" t="s">
        <v>1912</v>
      </c>
      <c r="F286" t="s">
        <v>1913</v>
      </c>
    </row>
    <row r="287" spans="3:6">
      <c r="C287" s="259"/>
      <c r="D287" s="261"/>
    </row>
    <row r="288" spans="3:6">
      <c r="C288" s="259"/>
      <c r="D288" s="260">
        <v>44214</v>
      </c>
      <c r="E288" s="95" t="s">
        <v>2382</v>
      </c>
      <c r="F288" t="s">
        <v>2383</v>
      </c>
    </row>
    <row r="289" spans="3:6">
      <c r="C289" s="259"/>
      <c r="D289" s="261"/>
    </row>
    <row r="290" spans="3:6">
      <c r="C290" s="259"/>
      <c r="D290" s="260">
        <v>44216</v>
      </c>
      <c r="E290" s="95" t="s">
        <v>2392</v>
      </c>
      <c r="F290" t="s">
        <v>2393</v>
      </c>
    </row>
    <row r="291" spans="3:6">
      <c r="C291" s="259"/>
      <c r="D291" s="261"/>
    </row>
    <row r="292" spans="3:6">
      <c r="C292" s="259"/>
      <c r="D292" s="260">
        <v>44244</v>
      </c>
      <c r="E292" s="95" t="s">
        <v>2254</v>
      </c>
      <c r="F292" t="s">
        <v>2180</v>
      </c>
    </row>
    <row r="293" spans="3:6">
      <c r="C293" s="259"/>
      <c r="D293" s="261"/>
    </row>
    <row r="294" spans="3:6">
      <c r="C294" s="259"/>
      <c r="D294" s="260">
        <v>44247</v>
      </c>
      <c r="E294" s="95" t="s">
        <v>2187</v>
      </c>
      <c r="F294" t="s">
        <v>2188</v>
      </c>
    </row>
    <row r="295" spans="3:6">
      <c r="C295" s="259"/>
      <c r="D295" s="261"/>
    </row>
    <row r="296" spans="3:6">
      <c r="C296" s="259"/>
      <c r="D296" s="260">
        <v>44282</v>
      </c>
      <c r="E296" s="95" t="s">
        <v>2455</v>
      </c>
      <c r="F296" t="s">
        <v>2456</v>
      </c>
    </row>
    <row r="297" spans="3:6">
      <c r="C297" s="259"/>
      <c r="D297" s="261"/>
    </row>
    <row r="298" spans="3:6">
      <c r="C298" s="259"/>
      <c r="D298" s="260">
        <v>44322</v>
      </c>
      <c r="E298" s="95" t="s">
        <v>1502</v>
      </c>
      <c r="F298" t="s">
        <v>722</v>
      </c>
    </row>
    <row r="299" spans="3:6">
      <c r="C299" s="259"/>
      <c r="D299" s="261"/>
    </row>
    <row r="300" spans="3:6" ht="30">
      <c r="C300" s="259"/>
      <c r="D300" s="260">
        <v>44350</v>
      </c>
      <c r="E300" s="95" t="s">
        <v>2825</v>
      </c>
      <c r="F300" t="s">
        <v>2826</v>
      </c>
    </row>
    <row r="301" spans="3:6">
      <c r="C301" s="259"/>
      <c r="D301" s="261"/>
    </row>
    <row r="302" spans="3:6">
      <c r="C302" s="259"/>
      <c r="D302" s="260">
        <v>44461</v>
      </c>
      <c r="E302" s="95" t="s">
        <v>2983</v>
      </c>
      <c r="F302" t="s">
        <v>2984</v>
      </c>
    </row>
    <row r="303" spans="3:6">
      <c r="C303" s="259"/>
      <c r="D303" s="261"/>
    </row>
    <row r="304" spans="3:6">
      <c r="C304" s="259"/>
      <c r="D304" s="260">
        <v>44525</v>
      </c>
      <c r="E304" s="95" t="s">
        <v>3196</v>
      </c>
      <c r="F304" t="s">
        <v>1497</v>
      </c>
    </row>
    <row r="305" spans="3:6">
      <c r="C305" s="259"/>
      <c r="D305" s="261"/>
    </row>
    <row r="306" spans="3:6">
      <c r="C306" s="259"/>
      <c r="D306" s="260">
        <v>44562</v>
      </c>
      <c r="E306" s="95" t="s">
        <v>4120</v>
      </c>
      <c r="F306" t="s">
        <v>4126</v>
      </c>
    </row>
    <row r="307" spans="3:6">
      <c r="C307" s="259"/>
      <c r="D307" s="261"/>
    </row>
    <row r="308" spans="3:6">
      <c r="C308" s="259"/>
      <c r="D308" s="260">
        <v>44597</v>
      </c>
      <c r="E308" s="95" t="s">
        <v>2874</v>
      </c>
      <c r="F308" t="s">
        <v>3856</v>
      </c>
    </row>
    <row r="309" spans="3:6">
      <c r="C309" s="259"/>
      <c r="D309" s="261"/>
    </row>
    <row r="310" spans="3:6">
      <c r="C310" s="259"/>
      <c r="D310" s="260">
        <v>44711</v>
      </c>
      <c r="E310" s="95" t="s">
        <v>4020</v>
      </c>
      <c r="F310" t="s">
        <v>4021</v>
      </c>
    </row>
    <row r="311" spans="3:6">
      <c r="C311" s="259"/>
      <c r="D311" s="261"/>
    </row>
    <row r="312" spans="3:6">
      <c r="C312" s="259"/>
      <c r="D312" s="260">
        <v>44663</v>
      </c>
      <c r="E312" s="95" t="s">
        <v>4087</v>
      </c>
      <c r="F312" t="s">
        <v>4088</v>
      </c>
    </row>
    <row r="313" spans="3:6">
      <c r="C313" s="259"/>
      <c r="D313" s="261"/>
    </row>
    <row r="314" spans="3:6" ht="30">
      <c r="C314" s="259"/>
      <c r="D314" s="260">
        <v>44715</v>
      </c>
      <c r="E314" s="95" t="s">
        <v>2825</v>
      </c>
      <c r="F314" t="s">
        <v>2826</v>
      </c>
    </row>
    <row r="315" spans="3:6">
      <c r="C315" s="259"/>
      <c r="D315" s="261"/>
    </row>
    <row r="316" spans="3:6">
      <c r="C316" s="259"/>
      <c r="D316" s="260">
        <v>44378</v>
      </c>
      <c r="E316" s="95" t="s">
        <v>4120</v>
      </c>
      <c r="F316" t="s">
        <v>4124</v>
      </c>
    </row>
    <row r="317" spans="3:6">
      <c r="C317" s="259"/>
      <c r="D317" s="260">
        <v>44440</v>
      </c>
      <c r="E317" s="95" t="s">
        <v>4120</v>
      </c>
      <c r="F317" t="s">
        <v>4128</v>
      </c>
    </row>
    <row r="318" spans="3:6">
      <c r="C318" s="259"/>
      <c r="D318" s="260">
        <v>44048</v>
      </c>
      <c r="E318" s="95" t="s">
        <v>4120</v>
      </c>
      <c r="F318" t="s">
        <v>4124</v>
      </c>
    </row>
    <row r="319" spans="3:6">
      <c r="C319" s="259"/>
      <c r="D319" s="260">
        <v>44743</v>
      </c>
      <c r="E319" s="95" t="s">
        <v>4120</v>
      </c>
      <c r="F319" t="s">
        <v>4124</v>
      </c>
    </row>
    <row r="320" spans="3:6">
      <c r="C320" s="259"/>
      <c r="D320" s="260">
        <v>44805</v>
      </c>
      <c r="E320" s="95" t="s">
        <v>4120</v>
      </c>
      <c r="F320" t="s">
        <v>4128</v>
      </c>
    </row>
    <row r="321" spans="3:6">
      <c r="C321" s="259"/>
      <c r="D321" s="261"/>
    </row>
    <row r="322" spans="3:6">
      <c r="C322" s="259"/>
      <c r="D322" s="260">
        <v>45064</v>
      </c>
      <c r="E322" s="95" t="s">
        <v>4355</v>
      </c>
      <c r="F322" t="s">
        <v>4356</v>
      </c>
    </row>
    <row r="323" spans="3:6">
      <c r="C323" s="259"/>
      <c r="D323" s="261"/>
    </row>
    <row r="324" spans="3:6">
      <c r="C324" s="259"/>
      <c r="D324" s="260">
        <v>45118</v>
      </c>
      <c r="E324" s="95" t="s">
        <v>4388</v>
      </c>
      <c r="F324" t="s">
        <v>4389</v>
      </c>
    </row>
    <row r="325" spans="3:6">
      <c r="C325" s="259"/>
      <c r="D325" s="260">
        <v>45145</v>
      </c>
      <c r="E325" s="95" t="s">
        <v>4388</v>
      </c>
      <c r="F325" t="s">
        <v>4444</v>
      </c>
    </row>
    <row r="326" spans="3:6">
      <c r="C326" s="259"/>
      <c r="D326" s="261"/>
    </row>
    <row r="327" spans="3:6">
      <c r="C327" s="259"/>
      <c r="D327" s="260">
        <v>45250</v>
      </c>
      <c r="E327" s="95" t="s">
        <v>4513</v>
      </c>
      <c r="F327" t="s">
        <v>4514</v>
      </c>
    </row>
    <row r="328" spans="3:6">
      <c r="C328" s="259"/>
      <c r="D328" s="261"/>
    </row>
    <row r="329" spans="3:6">
      <c r="C329" s="259"/>
      <c r="D329" s="260">
        <v>45264</v>
      </c>
      <c r="E329" s="95" t="s">
        <v>4519</v>
      </c>
      <c r="F329" t="s">
        <v>4520</v>
      </c>
    </row>
    <row r="330" spans="3:6">
      <c r="C330" s="259"/>
      <c r="D330" s="261"/>
    </row>
    <row r="331" spans="3:6">
      <c r="C331" s="259"/>
      <c r="D331" s="260">
        <v>45267</v>
      </c>
      <c r="E331" s="95" t="s">
        <v>4523</v>
      </c>
      <c r="F331" t="s">
        <v>4524</v>
      </c>
    </row>
    <row r="332" spans="3:6">
      <c r="C332" s="259"/>
      <c r="D332" s="261"/>
    </row>
    <row r="333" spans="3:6">
      <c r="C333" s="259"/>
      <c r="D333" s="260">
        <v>45216</v>
      </c>
      <c r="E333" s="95" t="s">
        <v>4584</v>
      </c>
      <c r="F333" t="s">
        <v>2919</v>
      </c>
    </row>
    <row r="334" spans="3:6">
      <c r="C334" s="259"/>
      <c r="D334" s="261"/>
    </row>
    <row r="335" spans="3:6">
      <c r="C335" s="259" t="s">
        <v>43</v>
      </c>
      <c r="D335" s="260">
        <v>43497</v>
      </c>
      <c r="E335" s="95" t="s">
        <v>294</v>
      </c>
      <c r="F335" t="s">
        <v>44</v>
      </c>
    </row>
    <row r="336" spans="3:6">
      <c r="C336" s="259"/>
      <c r="D336" s="260">
        <v>43501</v>
      </c>
      <c r="E336" s="95" t="s">
        <v>294</v>
      </c>
      <c r="F336" t="s">
        <v>86</v>
      </c>
    </row>
    <row r="337" spans="3:6">
      <c r="C337" s="259"/>
      <c r="D337" s="260">
        <v>43507</v>
      </c>
      <c r="E337" s="95" t="s">
        <v>294</v>
      </c>
      <c r="F337" t="s">
        <v>155</v>
      </c>
    </row>
    <row r="338" spans="3:6">
      <c r="C338" s="259"/>
      <c r="D338" s="260">
        <v>43523</v>
      </c>
      <c r="E338" s="95" t="s">
        <v>294</v>
      </c>
      <c r="F338" t="s">
        <v>212</v>
      </c>
    </row>
    <row r="339" spans="3:6">
      <c r="C339" s="259"/>
      <c r="D339" s="260">
        <v>43557</v>
      </c>
      <c r="E339" s="95" t="s">
        <v>294</v>
      </c>
      <c r="F339" t="s">
        <v>336</v>
      </c>
    </row>
    <row r="340" spans="3:6">
      <c r="C340" s="259"/>
      <c r="D340" s="261"/>
    </row>
    <row r="341" spans="3:6">
      <c r="C341" s="259"/>
      <c r="D341" s="260">
        <v>43829</v>
      </c>
      <c r="E341" s="95" t="s">
        <v>1265</v>
      </c>
      <c r="F341" t="s">
        <v>1266</v>
      </c>
    </row>
    <row r="342" spans="3:6">
      <c r="C342" s="259"/>
      <c r="D342" s="261"/>
    </row>
    <row r="343" spans="3:6">
      <c r="C343" s="259"/>
      <c r="D343" s="260">
        <v>43839</v>
      </c>
      <c r="E343" s="95" t="s">
        <v>1289</v>
      </c>
      <c r="F343" t="s">
        <v>1290</v>
      </c>
    </row>
    <row r="344" spans="3:6">
      <c r="C344" s="259"/>
      <c r="D344" s="261"/>
    </row>
    <row r="345" spans="3:6">
      <c r="C345" s="259"/>
      <c r="D345" s="260">
        <v>43844</v>
      </c>
      <c r="E345" s="95" t="s">
        <v>1315</v>
      </c>
      <c r="F345" t="s">
        <v>1316</v>
      </c>
    </row>
    <row r="346" spans="3:6">
      <c r="C346" s="259"/>
      <c r="D346" s="261"/>
    </row>
    <row r="347" spans="3:6">
      <c r="C347" s="259"/>
      <c r="D347" s="260">
        <v>43864</v>
      </c>
      <c r="E347" s="95" t="s">
        <v>1412</v>
      </c>
      <c r="F347" t="s">
        <v>1413</v>
      </c>
    </row>
    <row r="348" spans="3:6">
      <c r="C348" s="259"/>
      <c r="D348" s="261"/>
    </row>
    <row r="349" spans="3:6">
      <c r="C349" s="259"/>
      <c r="D349" s="260">
        <v>43867</v>
      </c>
      <c r="E349" s="95" t="s">
        <v>1418</v>
      </c>
      <c r="F349" t="s">
        <v>1266</v>
      </c>
    </row>
    <row r="350" spans="3:6">
      <c r="C350" s="259"/>
      <c r="D350" s="261"/>
    </row>
    <row r="351" spans="3:6">
      <c r="C351" s="259"/>
      <c r="D351" s="260">
        <v>43985</v>
      </c>
      <c r="E351" s="95" t="s">
        <v>1629</v>
      </c>
      <c r="F351" t="s">
        <v>1630</v>
      </c>
    </row>
    <row r="352" spans="3:6">
      <c r="C352" s="259"/>
      <c r="D352" s="261"/>
    </row>
    <row r="353" spans="3:6">
      <c r="C353" s="259"/>
      <c r="D353" s="260">
        <v>44170</v>
      </c>
      <c r="E353" s="95" t="s">
        <v>1975</v>
      </c>
      <c r="F353" t="s">
        <v>1488</v>
      </c>
    </row>
    <row r="354" spans="3:6">
      <c r="C354" s="259"/>
      <c r="D354" s="261"/>
    </row>
    <row r="355" spans="3:6">
      <c r="C355" s="259"/>
      <c r="D355" s="260">
        <v>44191</v>
      </c>
      <c r="E355" s="95" t="s">
        <v>2020</v>
      </c>
      <c r="F355" t="s">
        <v>2021</v>
      </c>
    </row>
    <row r="356" spans="3:6">
      <c r="C356" s="259"/>
      <c r="D356" s="261"/>
    </row>
    <row r="357" spans="3:6">
      <c r="C357" s="259"/>
      <c r="D357" s="260">
        <v>44193</v>
      </c>
      <c r="E357" s="95" t="s">
        <v>776</v>
      </c>
      <c r="F357" t="s">
        <v>2028</v>
      </c>
    </row>
    <row r="358" spans="3:6">
      <c r="C358" s="259"/>
      <c r="D358" s="260">
        <v>44232</v>
      </c>
      <c r="E358" s="95" t="s">
        <v>776</v>
      </c>
      <c r="F358" t="s">
        <v>2145</v>
      </c>
    </row>
    <row r="359" spans="3:6">
      <c r="C359" s="259"/>
      <c r="D359" s="261"/>
    </row>
    <row r="360" spans="3:6">
      <c r="C360" s="259"/>
      <c r="D360" s="260">
        <v>44256</v>
      </c>
      <c r="E360" s="95" t="s">
        <v>2299</v>
      </c>
      <c r="F360" t="s">
        <v>2300</v>
      </c>
    </row>
    <row r="361" spans="3:6">
      <c r="C361" s="259"/>
      <c r="D361" s="261"/>
    </row>
    <row r="362" spans="3:6">
      <c r="C362" s="259"/>
      <c r="D362" s="260">
        <v>44453</v>
      </c>
      <c r="E362" s="95" t="s">
        <v>768</v>
      </c>
      <c r="F362" t="s">
        <v>1724</v>
      </c>
    </row>
    <row r="363" spans="3:6">
      <c r="C363" s="259"/>
      <c r="D363" s="261"/>
    </row>
    <row r="364" spans="3:6">
      <c r="C364" s="259"/>
      <c r="D364" s="260">
        <v>44481</v>
      </c>
      <c r="E364" s="95" t="s">
        <v>679</v>
      </c>
      <c r="F364" t="s">
        <v>3140</v>
      </c>
    </row>
    <row r="365" spans="3:6">
      <c r="C365" s="259"/>
      <c r="D365" s="261"/>
    </row>
    <row r="366" spans="3:6">
      <c r="C366" s="259"/>
      <c r="D366" s="260">
        <v>44606</v>
      </c>
      <c r="E366" s="95" t="s">
        <v>3860</v>
      </c>
      <c r="F366" t="s">
        <v>1413</v>
      </c>
    </row>
    <row r="367" spans="3:6">
      <c r="C367" s="259"/>
      <c r="D367" s="261"/>
    </row>
    <row r="368" spans="3:6">
      <c r="C368" s="259"/>
      <c r="D368" s="260">
        <v>44592</v>
      </c>
      <c r="E368" s="95" t="s">
        <v>3853</v>
      </c>
      <c r="F368" t="s">
        <v>3854</v>
      </c>
    </row>
    <row r="369" spans="3:6">
      <c r="C369" s="259"/>
      <c r="D369" s="261"/>
    </row>
    <row r="370" spans="3:6">
      <c r="C370" s="259"/>
      <c r="D370" s="260">
        <v>44818</v>
      </c>
      <c r="E370" s="95" t="s">
        <v>768</v>
      </c>
      <c r="F370" t="s">
        <v>1724</v>
      </c>
    </row>
    <row r="371" spans="3:6">
      <c r="C371" s="259"/>
      <c r="D371" s="261"/>
    </row>
    <row r="372" spans="3:6">
      <c r="C372" s="259"/>
      <c r="D372" s="260">
        <v>45012</v>
      </c>
      <c r="E372" s="95" t="s">
        <v>4246</v>
      </c>
      <c r="F372" t="s">
        <v>4247</v>
      </c>
    </row>
    <row r="373" spans="3:6">
      <c r="C373" s="259"/>
      <c r="D373" s="261"/>
    </row>
    <row r="374" spans="3:6">
      <c r="C374" s="259"/>
      <c r="D374" s="260">
        <v>45146</v>
      </c>
      <c r="E374" s="95" t="s">
        <v>4447</v>
      </c>
      <c r="F374" t="s">
        <v>4239</v>
      </c>
    </row>
    <row r="375" spans="3:6">
      <c r="C375" s="259"/>
      <c r="D375" s="261"/>
    </row>
    <row r="376" spans="3:6">
      <c r="C376" s="259" t="s">
        <v>427</v>
      </c>
      <c r="D376" s="260">
        <v>43615</v>
      </c>
      <c r="E376" s="95" t="s">
        <v>428</v>
      </c>
      <c r="F376" t="s">
        <v>429</v>
      </c>
    </row>
    <row r="377" spans="3:6">
      <c r="C377" s="259"/>
      <c r="D377" s="261"/>
    </row>
    <row r="378" spans="3:6">
      <c r="C378" s="259" t="s">
        <v>884</v>
      </c>
      <c r="D378" s="260">
        <v>43747</v>
      </c>
      <c r="E378" s="95" t="s">
        <v>885</v>
      </c>
      <c r="F378" t="s">
        <v>693</v>
      </c>
    </row>
    <row r="379" spans="3:6">
      <c r="C379" s="259"/>
      <c r="D379" s="261"/>
    </row>
    <row r="380" spans="3:6">
      <c r="C380" s="259" t="s">
        <v>110</v>
      </c>
      <c r="D380" s="260">
        <v>43505</v>
      </c>
      <c r="E380" s="95" t="s">
        <v>294</v>
      </c>
      <c r="F380" t="s">
        <v>142</v>
      </c>
    </row>
    <row r="381" spans="3:6">
      <c r="C381" s="259"/>
      <c r="D381" s="261"/>
    </row>
    <row r="382" spans="3:6">
      <c r="C382" s="259"/>
      <c r="D382" s="260">
        <v>43720</v>
      </c>
      <c r="E382" s="95" t="s">
        <v>817</v>
      </c>
      <c r="F382" t="s">
        <v>818</v>
      </c>
    </row>
    <row r="383" spans="3:6">
      <c r="C383" s="259"/>
      <c r="D383" s="261"/>
    </row>
    <row r="384" spans="3:6">
      <c r="C384" s="259"/>
      <c r="D384" s="260">
        <v>43827</v>
      </c>
      <c r="E384" s="95" t="s">
        <v>772</v>
      </c>
      <c r="F384" t="s">
        <v>601</v>
      </c>
    </row>
    <row r="385" spans="3:6">
      <c r="C385" s="259"/>
      <c r="D385" s="261"/>
    </row>
    <row r="386" spans="3:6">
      <c r="C386" s="259"/>
      <c r="D386" s="260">
        <v>44098</v>
      </c>
      <c r="E386" s="95" t="s">
        <v>1858</v>
      </c>
      <c r="F386" t="s">
        <v>1859</v>
      </c>
    </row>
    <row r="387" spans="3:6">
      <c r="C387" s="259"/>
      <c r="D387" s="261"/>
    </row>
    <row r="388" spans="3:6">
      <c r="C388" s="259"/>
      <c r="D388" s="260">
        <v>44257</v>
      </c>
      <c r="E388" s="95" t="s">
        <v>2306</v>
      </c>
      <c r="F388" t="s">
        <v>596</v>
      </c>
    </row>
    <row r="389" spans="3:6">
      <c r="C389" s="259"/>
      <c r="D389" s="261"/>
    </row>
    <row r="390" spans="3:6">
      <c r="C390" s="259"/>
      <c r="D390" s="260">
        <v>44264</v>
      </c>
      <c r="E390" s="95" t="s">
        <v>2332</v>
      </c>
      <c r="F390" t="s">
        <v>2333</v>
      </c>
    </row>
    <row r="391" spans="3:6">
      <c r="C391" s="259"/>
      <c r="D391" s="261"/>
      <c r="E391" s="95"/>
      <c r="F391" t="s">
        <v>2334</v>
      </c>
    </row>
    <row r="392" spans="3:6">
      <c r="C392" s="259"/>
      <c r="D392" s="261"/>
    </row>
    <row r="393" spans="3:6">
      <c r="C393" s="259"/>
      <c r="D393" s="260">
        <v>44463</v>
      </c>
      <c r="E393" s="95" t="s">
        <v>3045</v>
      </c>
      <c r="F393" t="s">
        <v>1724</v>
      </c>
    </row>
    <row r="394" spans="3:6">
      <c r="C394" s="259"/>
      <c r="D394" s="261"/>
    </row>
    <row r="395" spans="3:6">
      <c r="C395" s="259"/>
      <c r="D395" s="261"/>
      <c r="E395" s="95" t="s">
        <v>3046</v>
      </c>
      <c r="F395" t="s">
        <v>3048</v>
      </c>
    </row>
    <row r="396" spans="3:6">
      <c r="C396" s="259"/>
      <c r="D396" s="261"/>
    </row>
    <row r="397" spans="3:6">
      <c r="C397" s="259"/>
      <c r="D397" s="260">
        <v>44471</v>
      </c>
      <c r="E397" s="95" t="s">
        <v>3109</v>
      </c>
      <c r="F397" t="s">
        <v>3110</v>
      </c>
    </row>
    <row r="398" spans="3:6">
      <c r="C398" s="259"/>
      <c r="D398" s="261"/>
    </row>
    <row r="399" spans="3:6">
      <c r="C399" s="259"/>
      <c r="D399" s="260">
        <v>44546</v>
      </c>
      <c r="E399" s="95" t="s">
        <v>3273</v>
      </c>
      <c r="F399" t="s">
        <v>3274</v>
      </c>
    </row>
    <row r="400" spans="3:6">
      <c r="C400" s="259"/>
      <c r="D400" s="261"/>
    </row>
    <row r="401" spans="3:6">
      <c r="C401" s="259"/>
      <c r="D401" s="260">
        <v>44575</v>
      </c>
      <c r="E401" s="95" t="s">
        <v>2061</v>
      </c>
      <c r="F401" t="s">
        <v>743</v>
      </c>
    </row>
    <row r="402" spans="3:6">
      <c r="C402" s="259"/>
      <c r="D402" s="261"/>
    </row>
    <row r="403" spans="3:6">
      <c r="C403" s="259"/>
      <c r="D403" s="260">
        <v>45119</v>
      </c>
      <c r="E403" s="95" t="s">
        <v>4393</v>
      </c>
      <c r="F403" t="s">
        <v>4394</v>
      </c>
    </row>
    <row r="404" spans="3:6">
      <c r="C404" s="259"/>
      <c r="D404" s="261"/>
    </row>
    <row r="405" spans="3:6">
      <c r="C405" s="259"/>
      <c r="D405" s="260">
        <v>45171</v>
      </c>
      <c r="E405" s="95" t="s">
        <v>4466</v>
      </c>
      <c r="F405" t="s">
        <v>4467</v>
      </c>
    </row>
    <row r="406" spans="3:6">
      <c r="C406" s="259"/>
      <c r="D406" s="261"/>
    </row>
    <row r="407" spans="3:6">
      <c r="C407" s="259"/>
      <c r="D407" s="260">
        <v>45259</v>
      </c>
      <c r="E407" s="95" t="s">
        <v>4515</v>
      </c>
      <c r="F407" t="s">
        <v>4516</v>
      </c>
    </row>
    <row r="408" spans="3:6">
      <c r="C408" s="259"/>
      <c r="D408" s="261"/>
    </row>
    <row r="409" spans="3:6">
      <c r="C409" s="259"/>
      <c r="D409" s="260">
        <v>45286</v>
      </c>
      <c r="E409" s="95" t="s">
        <v>520</v>
      </c>
      <c r="F409" t="s">
        <v>4562</v>
      </c>
    </row>
    <row r="410" spans="3:6">
      <c r="C410" s="259"/>
      <c r="D410" s="261"/>
    </row>
    <row r="411" spans="3:6" ht="30">
      <c r="C411" s="259" t="s">
        <v>128</v>
      </c>
      <c r="D411" s="260">
        <v>43567</v>
      </c>
      <c r="E411" s="95" t="s">
        <v>358</v>
      </c>
      <c r="F411" t="s">
        <v>359</v>
      </c>
    </row>
    <row r="412" spans="3:6">
      <c r="C412" s="259"/>
      <c r="D412" s="261"/>
    </row>
    <row r="413" spans="3:6">
      <c r="C413" s="259"/>
      <c r="D413" s="260">
        <v>43591</v>
      </c>
      <c r="E413" s="95" t="s">
        <v>385</v>
      </c>
      <c r="F413" t="s">
        <v>386</v>
      </c>
    </row>
    <row r="414" spans="3:6">
      <c r="C414" s="259"/>
      <c r="D414" s="261"/>
    </row>
    <row r="415" spans="3:6">
      <c r="C415" s="259"/>
      <c r="D415" s="260">
        <v>43606</v>
      </c>
      <c r="E415" s="95" t="s">
        <v>523</v>
      </c>
      <c r="F415" t="s">
        <v>407</v>
      </c>
    </row>
    <row r="416" spans="3:6">
      <c r="C416" s="259"/>
      <c r="D416" s="261"/>
    </row>
    <row r="417" spans="3:6">
      <c r="C417" s="259"/>
      <c r="D417" s="260">
        <v>43633</v>
      </c>
      <c r="E417" s="95" t="s">
        <v>524</v>
      </c>
      <c r="F417" t="s">
        <v>525</v>
      </c>
    </row>
    <row r="418" spans="3:6">
      <c r="C418" s="259"/>
      <c r="D418" s="261"/>
    </row>
    <row r="419" spans="3:6">
      <c r="C419" s="259"/>
      <c r="D419" s="260">
        <v>43799</v>
      </c>
      <c r="E419" s="95" t="s">
        <v>1110</v>
      </c>
      <c r="F419" t="s">
        <v>1111</v>
      </c>
    </row>
    <row r="420" spans="3:6">
      <c r="C420" s="259"/>
      <c r="D420" s="261"/>
    </row>
    <row r="421" spans="3:6">
      <c r="C421" s="259"/>
      <c r="D421" s="260">
        <v>44006</v>
      </c>
      <c r="E421" s="95" t="s">
        <v>1687</v>
      </c>
      <c r="F421" t="s">
        <v>1688</v>
      </c>
    </row>
    <row r="422" spans="3:6">
      <c r="C422" s="259"/>
      <c r="D422" s="261"/>
    </row>
    <row r="423" spans="3:6">
      <c r="C423" s="259"/>
      <c r="D423" s="260">
        <v>44059</v>
      </c>
      <c r="E423" s="95" t="s">
        <v>1761</v>
      </c>
      <c r="F423" t="s">
        <v>733</v>
      </c>
    </row>
    <row r="424" spans="3:6">
      <c r="C424" s="259"/>
      <c r="D424" s="261"/>
    </row>
    <row r="425" spans="3:6">
      <c r="C425" s="259"/>
      <c r="D425" s="260">
        <v>44082</v>
      </c>
      <c r="E425" s="95" t="s">
        <v>524</v>
      </c>
      <c r="F425" t="s">
        <v>1779</v>
      </c>
    </row>
    <row r="426" spans="3:6">
      <c r="C426" s="259"/>
      <c r="D426" s="261"/>
    </row>
    <row r="427" spans="3:6">
      <c r="C427" s="259"/>
      <c r="D427" s="260">
        <v>44124</v>
      </c>
      <c r="E427" s="95" t="s">
        <v>931</v>
      </c>
      <c r="F427" t="s">
        <v>1177</v>
      </c>
    </row>
    <row r="428" spans="3:6">
      <c r="C428" s="259"/>
      <c r="D428" s="261"/>
    </row>
    <row r="429" spans="3:6">
      <c r="C429" s="259"/>
      <c r="D429" s="260">
        <v>44203</v>
      </c>
      <c r="E429" s="95" t="s">
        <v>1202</v>
      </c>
      <c r="F429" t="s">
        <v>2071</v>
      </c>
    </row>
    <row r="430" spans="3:6">
      <c r="C430" s="259"/>
      <c r="D430" s="261"/>
    </row>
    <row r="431" spans="3:6" ht="30">
      <c r="C431" s="259"/>
      <c r="D431" s="261"/>
      <c r="E431" s="95" t="s">
        <v>2371</v>
      </c>
      <c r="F431" t="s">
        <v>2372</v>
      </c>
    </row>
    <row r="432" spans="3:6">
      <c r="C432" s="259"/>
      <c r="D432" s="261"/>
    </row>
    <row r="433" spans="3:6">
      <c r="C433" s="259"/>
      <c r="D433" s="260">
        <v>44217</v>
      </c>
      <c r="E433" s="95" t="s">
        <v>626</v>
      </c>
      <c r="F433" t="s">
        <v>1577</v>
      </c>
    </row>
    <row r="434" spans="3:6">
      <c r="C434" s="259"/>
      <c r="D434" s="261"/>
    </row>
    <row r="435" spans="3:6" ht="30">
      <c r="C435" s="259"/>
      <c r="D435" s="260">
        <v>44223</v>
      </c>
      <c r="E435" s="95" t="s">
        <v>2102</v>
      </c>
      <c r="F435" t="s">
        <v>2103</v>
      </c>
    </row>
    <row r="436" spans="3:6">
      <c r="C436" s="259"/>
      <c r="D436" s="261"/>
    </row>
    <row r="437" spans="3:6">
      <c r="C437" s="259"/>
      <c r="D437" s="260">
        <v>44254</v>
      </c>
      <c r="E437" s="95" t="s">
        <v>2236</v>
      </c>
      <c r="F437" t="s">
        <v>2237</v>
      </c>
    </row>
    <row r="438" spans="3:6">
      <c r="C438" s="259"/>
      <c r="D438" s="261"/>
    </row>
    <row r="439" spans="3:6">
      <c r="C439" s="259"/>
      <c r="D439" s="260">
        <v>44431</v>
      </c>
      <c r="E439" s="95" t="s">
        <v>2900</v>
      </c>
      <c r="F439" t="s">
        <v>2901</v>
      </c>
    </row>
    <row r="440" spans="3:6">
      <c r="C440" s="259"/>
      <c r="D440" s="261"/>
    </row>
    <row r="441" spans="3:6">
      <c r="C441" s="259"/>
      <c r="D441" s="260">
        <v>44462</v>
      </c>
      <c r="E441" s="95" t="s">
        <v>3049</v>
      </c>
      <c r="F441" t="s">
        <v>2901</v>
      </c>
    </row>
    <row r="442" spans="3:6">
      <c r="C442" s="259"/>
      <c r="D442" s="261"/>
    </row>
    <row r="443" spans="3:6">
      <c r="C443" s="259"/>
      <c r="D443" s="260">
        <v>44526</v>
      </c>
      <c r="E443" s="95" t="s">
        <v>3197</v>
      </c>
      <c r="F443" t="s">
        <v>3198</v>
      </c>
    </row>
    <row r="444" spans="3:6">
      <c r="C444" s="259"/>
      <c r="D444" s="261"/>
    </row>
    <row r="445" spans="3:6">
      <c r="C445" s="259"/>
      <c r="D445" s="260">
        <v>44546</v>
      </c>
      <c r="E445" s="95" t="s">
        <v>524</v>
      </c>
      <c r="F445" t="s">
        <v>3275</v>
      </c>
    </row>
    <row r="446" spans="3:6">
      <c r="C446" s="259"/>
      <c r="D446" s="261"/>
    </row>
    <row r="447" spans="3:6">
      <c r="C447" s="259"/>
      <c r="D447" s="260">
        <v>44586</v>
      </c>
      <c r="E447" s="95" t="s">
        <v>3841</v>
      </c>
      <c r="F447" t="s">
        <v>3842</v>
      </c>
    </row>
    <row r="448" spans="3:6">
      <c r="C448" s="259"/>
      <c r="D448" s="261"/>
    </row>
    <row r="449" spans="3:6">
      <c r="C449" s="259"/>
      <c r="D449" s="260">
        <v>44796</v>
      </c>
      <c r="E449" s="95" t="s">
        <v>2900</v>
      </c>
      <c r="F449" t="s">
        <v>2901</v>
      </c>
    </row>
    <row r="450" spans="3:6">
      <c r="C450" s="259"/>
      <c r="D450" s="261"/>
    </row>
    <row r="451" spans="3:6">
      <c r="C451" s="259"/>
      <c r="D451" s="260">
        <v>45058</v>
      </c>
      <c r="E451" s="95" t="s">
        <v>524</v>
      </c>
      <c r="F451" t="s">
        <v>4306</v>
      </c>
    </row>
    <row r="452" spans="3:6">
      <c r="C452" s="259"/>
      <c r="D452" s="261"/>
    </row>
    <row r="453" spans="3:6" ht="30">
      <c r="C453" s="259"/>
      <c r="D453" s="260">
        <v>45064</v>
      </c>
      <c r="E453" s="95" t="s">
        <v>4353</v>
      </c>
      <c r="F453" t="s">
        <v>4354</v>
      </c>
    </row>
    <row r="454" spans="3:6">
      <c r="C454" s="259"/>
      <c r="D454" s="261"/>
    </row>
    <row r="455" spans="3:6">
      <c r="C455" s="259"/>
      <c r="D455" s="260">
        <v>45138</v>
      </c>
      <c r="E455" s="95" t="s">
        <v>4411</v>
      </c>
      <c r="F455" t="s">
        <v>4412</v>
      </c>
    </row>
    <row r="456" spans="3:6">
      <c r="C456" s="259"/>
      <c r="D456" s="261"/>
    </row>
    <row r="457" spans="3:6">
      <c r="C457" s="259"/>
      <c r="D457" s="260">
        <v>45140</v>
      </c>
      <c r="E457" s="95" t="s">
        <v>3167</v>
      </c>
      <c r="F457" t="s">
        <v>4441</v>
      </c>
    </row>
    <row r="458" spans="3:6">
      <c r="C458" s="259"/>
      <c r="D458" s="261"/>
    </row>
    <row r="459" spans="3:6" ht="30">
      <c r="C459" s="259"/>
      <c r="D459" s="260">
        <v>45237</v>
      </c>
      <c r="E459" s="95" t="s">
        <v>4511</v>
      </c>
      <c r="F459" t="s">
        <v>4512</v>
      </c>
    </row>
    <row r="460" spans="3:6">
      <c r="C460" s="259"/>
      <c r="D460" s="261"/>
    </row>
    <row r="461" spans="3:6">
      <c r="C461" s="259"/>
      <c r="D461" s="260">
        <v>45227</v>
      </c>
      <c r="E461" s="95" t="s">
        <v>4590</v>
      </c>
      <c r="F461" t="s">
        <v>4591</v>
      </c>
    </row>
    <row r="462" spans="3:6">
      <c r="C462" s="259"/>
      <c r="D462" s="261"/>
    </row>
    <row r="463" spans="3:6">
      <c r="C463" s="259" t="s">
        <v>682</v>
      </c>
      <c r="D463" s="260">
        <v>43678</v>
      </c>
      <c r="E463" s="95" t="s">
        <v>683</v>
      </c>
      <c r="F463" t="s">
        <v>684</v>
      </c>
    </row>
    <row r="464" spans="3:6">
      <c r="C464" s="259"/>
      <c r="D464" s="261"/>
    </row>
    <row r="465" spans="3:6">
      <c r="C465" s="259"/>
      <c r="D465" s="260">
        <v>43731</v>
      </c>
      <c r="E465" s="95" t="s">
        <v>837</v>
      </c>
      <c r="F465" t="s">
        <v>838</v>
      </c>
    </row>
    <row r="466" spans="3:6">
      <c r="C466" s="259"/>
      <c r="D466" s="261"/>
    </row>
    <row r="467" spans="3:6">
      <c r="C467" s="259"/>
      <c r="D467" s="260">
        <v>43759</v>
      </c>
      <c r="E467" s="95" t="s">
        <v>683</v>
      </c>
      <c r="F467" t="s">
        <v>435</v>
      </c>
    </row>
    <row r="468" spans="3:6">
      <c r="C468" s="259"/>
      <c r="D468" s="261"/>
    </row>
    <row r="469" spans="3:6">
      <c r="C469" s="259"/>
      <c r="D469" s="260">
        <v>44082</v>
      </c>
      <c r="E469" s="95" t="s">
        <v>524</v>
      </c>
      <c r="F469" t="s">
        <v>1837</v>
      </c>
    </row>
    <row r="470" spans="3:6">
      <c r="C470" s="259"/>
      <c r="D470" s="261"/>
    </row>
    <row r="471" spans="3:6" ht="30">
      <c r="C471" s="259"/>
      <c r="D471" s="260">
        <v>44114</v>
      </c>
      <c r="E471" s="95" t="s">
        <v>1886</v>
      </c>
      <c r="F471" t="s">
        <v>1887</v>
      </c>
    </row>
    <row r="472" spans="3:6">
      <c r="C472" s="259"/>
      <c r="D472" s="261"/>
    </row>
    <row r="473" spans="3:6">
      <c r="C473" s="259" t="s">
        <v>804</v>
      </c>
      <c r="D473" s="260">
        <v>43703</v>
      </c>
      <c r="E473" s="95" t="s">
        <v>805</v>
      </c>
      <c r="F473" t="s">
        <v>806</v>
      </c>
    </row>
    <row r="474" spans="3:6">
      <c r="C474" s="259"/>
      <c r="D474" s="261"/>
    </row>
    <row r="475" spans="3:6">
      <c r="C475" s="259" t="s">
        <v>1283</v>
      </c>
      <c r="D475" s="260">
        <v>43852</v>
      </c>
      <c r="E475" s="95" t="s">
        <v>1378</v>
      </c>
      <c r="F475" t="s">
        <v>1379</v>
      </c>
    </row>
    <row r="476" spans="3:6">
      <c r="C476" s="259"/>
      <c r="D476" s="261"/>
    </row>
    <row r="477" spans="3:6">
      <c r="C477" s="259"/>
      <c r="D477" s="260">
        <v>44249</v>
      </c>
      <c r="E477" s="95" t="s">
        <v>2192</v>
      </c>
      <c r="F477" t="s">
        <v>2190</v>
      </c>
    </row>
    <row r="478" spans="3:6">
      <c r="C478" s="259"/>
      <c r="D478" s="261"/>
    </row>
    <row r="479" spans="3:6" ht="30">
      <c r="C479" s="259"/>
      <c r="D479" s="260">
        <v>44323</v>
      </c>
      <c r="E479" s="95" t="s">
        <v>2724</v>
      </c>
      <c r="F479" t="s">
        <v>2488</v>
      </c>
    </row>
    <row r="480" spans="3:6">
      <c r="C480" s="259"/>
      <c r="D480" s="261"/>
    </row>
    <row r="481" spans="3:6">
      <c r="C481" s="259"/>
      <c r="D481" s="261"/>
      <c r="E481" s="95" t="s">
        <v>2725</v>
      </c>
      <c r="F481" t="s">
        <v>2727</v>
      </c>
    </row>
    <row r="482" spans="3:6">
      <c r="C482" s="259"/>
      <c r="D482" s="261"/>
    </row>
    <row r="483" spans="3:6">
      <c r="C483" s="259"/>
      <c r="D483" s="260">
        <v>45005</v>
      </c>
      <c r="E483" s="95" t="s">
        <v>1916</v>
      </c>
      <c r="F483" t="s">
        <v>4239</v>
      </c>
    </row>
    <row r="484" spans="3:6">
      <c r="C484" s="259"/>
      <c r="D484" s="261"/>
    </row>
    <row r="485" spans="3:6">
      <c r="C485" s="259"/>
      <c r="D485" s="260">
        <v>45272</v>
      </c>
      <c r="E485" s="95" t="s">
        <v>4552</v>
      </c>
      <c r="F485" t="s">
        <v>4553</v>
      </c>
    </row>
    <row r="486" spans="3:6">
      <c r="C486" s="259"/>
      <c r="D486" s="261"/>
    </row>
    <row r="487" spans="3:6">
      <c r="C487" s="259" t="s">
        <v>331</v>
      </c>
      <c r="D487" s="260">
        <v>43556</v>
      </c>
      <c r="E487" s="95" t="s">
        <v>294</v>
      </c>
      <c r="F487" t="s">
        <v>332</v>
      </c>
    </row>
    <row r="488" spans="3:6">
      <c r="C488" s="259"/>
      <c r="D488" s="261"/>
    </row>
    <row r="489" spans="3:6">
      <c r="C489" s="259"/>
      <c r="D489" s="260">
        <v>43592</v>
      </c>
      <c r="E489" s="95" t="s">
        <v>402</v>
      </c>
      <c r="F489" t="s">
        <v>357</v>
      </c>
    </row>
    <row r="490" spans="3:6">
      <c r="C490" s="259"/>
      <c r="D490" s="261"/>
    </row>
    <row r="491" spans="3:6">
      <c r="C491" s="259"/>
      <c r="D491" s="260">
        <v>43614</v>
      </c>
      <c r="E491" s="95" t="s">
        <v>417</v>
      </c>
      <c r="F491" t="s">
        <v>422</v>
      </c>
    </row>
    <row r="492" spans="3:6">
      <c r="C492" s="259"/>
      <c r="D492" s="261"/>
    </row>
    <row r="493" spans="3:6">
      <c r="C493" s="259"/>
      <c r="D493" s="261"/>
      <c r="E493" s="95" t="s">
        <v>423</v>
      </c>
      <c r="F493" t="s">
        <v>424</v>
      </c>
    </row>
    <row r="494" spans="3:6">
      <c r="C494" s="259"/>
      <c r="D494" s="261"/>
    </row>
    <row r="495" spans="3:6">
      <c r="C495" s="259"/>
      <c r="D495" s="260">
        <v>43657</v>
      </c>
      <c r="E495" s="95" t="s">
        <v>368</v>
      </c>
      <c r="F495" t="s">
        <v>589</v>
      </c>
    </row>
    <row r="496" spans="3:6">
      <c r="C496" s="259"/>
      <c r="D496" s="261"/>
    </row>
    <row r="497" spans="3:6">
      <c r="C497" s="259"/>
      <c r="D497" s="260">
        <v>43660</v>
      </c>
      <c r="E497" s="95" t="s">
        <v>590</v>
      </c>
      <c r="F497" t="s">
        <v>332</v>
      </c>
    </row>
    <row r="498" spans="3:6">
      <c r="C498" s="259"/>
      <c r="D498" s="261"/>
    </row>
    <row r="499" spans="3:6">
      <c r="C499" s="259"/>
      <c r="D499" s="260">
        <v>43661</v>
      </c>
      <c r="E499" s="95" t="s">
        <v>631</v>
      </c>
      <c r="F499" t="s">
        <v>628</v>
      </c>
    </row>
    <row r="500" spans="3:6">
      <c r="C500" s="259"/>
      <c r="D500" s="261"/>
    </row>
    <row r="501" spans="3:6">
      <c r="C501" s="259"/>
      <c r="D501" s="260">
        <v>43887</v>
      </c>
      <c r="E501" s="95" t="s">
        <v>1495</v>
      </c>
      <c r="F501" t="s">
        <v>332</v>
      </c>
    </row>
    <row r="502" spans="3:6">
      <c r="C502" s="259"/>
      <c r="D502" s="261"/>
    </row>
    <row r="503" spans="3:6">
      <c r="C503" s="259"/>
      <c r="D503" s="260">
        <v>43896</v>
      </c>
      <c r="E503" s="95" t="s">
        <v>1419</v>
      </c>
      <c r="F503" t="s">
        <v>1504</v>
      </c>
    </row>
    <row r="504" spans="3:6">
      <c r="C504" s="259"/>
      <c r="D504" s="261"/>
    </row>
    <row r="505" spans="3:6">
      <c r="C505" s="259"/>
      <c r="D505" s="260">
        <v>44257</v>
      </c>
      <c r="E505" s="95" t="s">
        <v>2187</v>
      </c>
      <c r="F505" t="s">
        <v>2305</v>
      </c>
    </row>
    <row r="506" spans="3:6">
      <c r="C506" s="259"/>
      <c r="D506" s="261"/>
    </row>
    <row r="507" spans="3:6">
      <c r="C507" s="259"/>
      <c r="D507" s="260">
        <v>44440</v>
      </c>
      <c r="E507" s="95" t="s">
        <v>4120</v>
      </c>
      <c r="F507" t="s">
        <v>4121</v>
      </c>
    </row>
    <row r="508" spans="3:6">
      <c r="C508" s="259"/>
      <c r="D508" s="260">
        <v>44048</v>
      </c>
      <c r="E508" s="95" t="s">
        <v>4120</v>
      </c>
      <c r="F508" t="s">
        <v>4129</v>
      </c>
    </row>
    <row r="509" spans="3:6">
      <c r="C509" s="259"/>
      <c r="D509" s="260">
        <v>44805</v>
      </c>
      <c r="E509" s="95" t="s">
        <v>4120</v>
      </c>
      <c r="F509" t="s">
        <v>4121</v>
      </c>
    </row>
    <row r="510" spans="3:6">
      <c r="C510" s="259"/>
      <c r="D510" s="261"/>
    </row>
    <row r="511" spans="3:6">
      <c r="C511" s="259"/>
      <c r="D511" s="260">
        <v>44799</v>
      </c>
      <c r="E511" s="95" t="s">
        <v>1580</v>
      </c>
      <c r="F511" t="s">
        <v>655</v>
      </c>
    </row>
    <row r="512" spans="3:6">
      <c r="C512" s="259"/>
      <c r="D512" s="261"/>
    </row>
    <row r="513" spans="3:6">
      <c r="C513" s="259"/>
      <c r="D513" s="260">
        <v>45160</v>
      </c>
      <c r="E513" s="95" t="s">
        <v>4457</v>
      </c>
      <c r="F513" t="s">
        <v>4459</v>
      </c>
    </row>
    <row r="514" spans="3:6">
      <c r="C514" s="259"/>
      <c r="D514" s="261"/>
    </row>
    <row r="515" spans="3:6">
      <c r="C515" s="259" t="s">
        <v>319</v>
      </c>
      <c r="D515" s="260">
        <v>43620</v>
      </c>
      <c r="E515" s="95" t="s">
        <v>437</v>
      </c>
      <c r="F515" t="s">
        <v>438</v>
      </c>
    </row>
    <row r="516" spans="3:6">
      <c r="C516" s="259"/>
      <c r="D516" s="261"/>
    </row>
    <row r="517" spans="3:6">
      <c r="C517" s="259"/>
      <c r="D517" s="260">
        <v>43788</v>
      </c>
      <c r="E517" s="95" t="s">
        <v>1031</v>
      </c>
      <c r="F517" t="s">
        <v>1032</v>
      </c>
    </row>
    <row r="518" spans="3:6">
      <c r="C518" s="259"/>
      <c r="D518" s="261"/>
    </row>
    <row r="519" spans="3:6">
      <c r="C519" s="259"/>
      <c r="D519" s="260">
        <v>44106</v>
      </c>
      <c r="E519" s="95" t="s">
        <v>1037</v>
      </c>
      <c r="F519" t="s">
        <v>1038</v>
      </c>
    </row>
    <row r="520" spans="3:6">
      <c r="C520" s="259"/>
      <c r="D520" s="261"/>
    </row>
    <row r="521" spans="3:6">
      <c r="C521" s="259" t="s">
        <v>1132</v>
      </c>
      <c r="D521" s="260">
        <v>43868</v>
      </c>
      <c r="E521" s="95" t="s">
        <v>1419</v>
      </c>
      <c r="F521" t="s">
        <v>418</v>
      </c>
    </row>
    <row r="522" spans="3:6">
      <c r="C522" s="259"/>
      <c r="D522" s="261"/>
    </row>
    <row r="523" spans="3:6">
      <c r="C523" s="259"/>
      <c r="D523" s="260">
        <v>43900</v>
      </c>
      <c r="E523" s="95" t="s">
        <v>1546</v>
      </c>
      <c r="F523" t="s">
        <v>1547</v>
      </c>
    </row>
    <row r="524" spans="3:6">
      <c r="C524" s="259"/>
      <c r="D524" s="261"/>
    </row>
    <row r="525" spans="3:6">
      <c r="C525" s="259"/>
      <c r="D525" s="260">
        <v>43955</v>
      </c>
      <c r="E525" s="95" t="s">
        <v>1419</v>
      </c>
      <c r="F525" t="s">
        <v>1547</v>
      </c>
    </row>
    <row r="526" spans="3:6">
      <c r="C526" s="259"/>
      <c r="D526" s="261"/>
    </row>
    <row r="527" spans="3:6">
      <c r="C527" s="259"/>
      <c r="D527" s="260">
        <v>44174</v>
      </c>
      <c r="E527" s="95" t="s">
        <v>1117</v>
      </c>
      <c r="F527" t="s">
        <v>1978</v>
      </c>
    </row>
    <row r="528" spans="3:6">
      <c r="C528" s="259"/>
      <c r="D528" s="261"/>
    </row>
    <row r="529" spans="3:6">
      <c r="C529" s="259"/>
      <c r="D529" s="260">
        <v>44209</v>
      </c>
      <c r="E529" s="95" t="s">
        <v>1194</v>
      </c>
      <c r="F529" t="s">
        <v>2028</v>
      </c>
    </row>
    <row r="530" spans="3:6">
      <c r="C530" s="259"/>
      <c r="D530" s="261"/>
    </row>
    <row r="531" spans="3:6">
      <c r="C531" s="259"/>
      <c r="D531" s="260">
        <v>44242</v>
      </c>
      <c r="E531" s="95" t="s">
        <v>2175</v>
      </c>
      <c r="F531" t="s">
        <v>2145</v>
      </c>
    </row>
    <row r="532" spans="3:6">
      <c r="C532" s="259"/>
      <c r="D532" s="261"/>
    </row>
    <row r="533" spans="3:6">
      <c r="C533" s="259"/>
      <c r="D533" s="260">
        <v>44540</v>
      </c>
      <c r="E533" s="95" t="s">
        <v>1419</v>
      </c>
      <c r="F533" t="s">
        <v>3263</v>
      </c>
    </row>
    <row r="534" spans="3:6">
      <c r="C534" s="259"/>
      <c r="D534" s="261"/>
    </row>
    <row r="535" spans="3:6">
      <c r="C535" s="259" t="s">
        <v>306</v>
      </c>
      <c r="D535" s="260">
        <v>43649</v>
      </c>
      <c r="E535" s="95" t="s">
        <v>578</v>
      </c>
      <c r="F535" t="s">
        <v>579</v>
      </c>
    </row>
    <row r="536" spans="3:6">
      <c r="C536" s="259"/>
      <c r="D536" s="261"/>
    </row>
    <row r="537" spans="3:6">
      <c r="C537" s="259"/>
      <c r="D537" s="260">
        <v>43789</v>
      </c>
      <c r="E537" s="95" t="s">
        <v>1035</v>
      </c>
      <c r="F537" t="s">
        <v>1036</v>
      </c>
    </row>
    <row r="538" spans="3:6">
      <c r="C538" s="259"/>
      <c r="D538" s="261"/>
    </row>
    <row r="539" spans="3:6">
      <c r="C539" s="259"/>
      <c r="D539" s="260">
        <v>43793</v>
      </c>
      <c r="E539" s="95" t="s">
        <v>1047</v>
      </c>
      <c r="F539" t="s">
        <v>579</v>
      </c>
    </row>
    <row r="540" spans="3:6">
      <c r="C540" s="259"/>
      <c r="D540" s="261"/>
    </row>
    <row r="541" spans="3:6">
      <c r="C541" s="259"/>
      <c r="D541" s="260">
        <v>43805</v>
      </c>
      <c r="E541" s="95" t="s">
        <v>1126</v>
      </c>
      <c r="F541" t="s">
        <v>867</v>
      </c>
    </row>
    <row r="542" spans="3:6">
      <c r="C542" s="259"/>
      <c r="D542" s="261"/>
    </row>
    <row r="543" spans="3:6">
      <c r="C543" s="259"/>
      <c r="D543" s="260">
        <v>43901</v>
      </c>
      <c r="E543" s="95" t="s">
        <v>1542</v>
      </c>
      <c r="F543" t="s">
        <v>1543</v>
      </c>
    </row>
    <row r="544" spans="3:6">
      <c r="C544" s="259"/>
      <c r="D544" s="261"/>
    </row>
    <row r="545" spans="3:6">
      <c r="C545" s="259"/>
      <c r="D545" s="260">
        <v>44251</v>
      </c>
      <c r="E545" s="95" t="s">
        <v>1565</v>
      </c>
      <c r="F545" t="s">
        <v>2389</v>
      </c>
    </row>
    <row r="546" spans="3:6">
      <c r="C546" s="259"/>
      <c r="D546" s="261"/>
    </row>
    <row r="547" spans="3:6">
      <c r="C547" s="259"/>
      <c r="D547" s="260">
        <v>44534</v>
      </c>
      <c r="E547" s="95" t="s">
        <v>4120</v>
      </c>
      <c r="F547" t="s">
        <v>4131</v>
      </c>
    </row>
    <row r="548" spans="3:6">
      <c r="C548" s="259"/>
      <c r="D548" s="261"/>
    </row>
    <row r="549" spans="3:6">
      <c r="C549" s="259"/>
      <c r="D549" s="260">
        <v>44594</v>
      </c>
      <c r="E549" s="95" t="s">
        <v>1126</v>
      </c>
      <c r="F549" t="s">
        <v>3855</v>
      </c>
    </row>
    <row r="550" spans="3:6">
      <c r="C550" s="259"/>
      <c r="D550" s="261"/>
    </row>
    <row r="551" spans="3:6">
      <c r="C551" s="259"/>
      <c r="D551" s="260">
        <v>44682</v>
      </c>
      <c r="E551" s="95" t="s">
        <v>4120</v>
      </c>
      <c r="F551" t="s">
        <v>4126</v>
      </c>
    </row>
    <row r="552" spans="3:6">
      <c r="C552" s="259"/>
      <c r="D552" s="261"/>
    </row>
    <row r="553" spans="3:6">
      <c r="C553" s="259" t="s">
        <v>681</v>
      </c>
      <c r="D553" s="260">
        <v>43676</v>
      </c>
      <c r="E553" s="95" t="s">
        <v>688</v>
      </c>
      <c r="F553" t="s">
        <v>706</v>
      </c>
    </row>
    <row r="554" spans="3:6">
      <c r="C554" s="259"/>
      <c r="D554" s="261"/>
    </row>
    <row r="555" spans="3:6">
      <c r="C555" s="259" t="s">
        <v>120</v>
      </c>
      <c r="D555" s="260">
        <v>43503</v>
      </c>
      <c r="E555" s="95" t="s">
        <v>294</v>
      </c>
      <c r="F555" t="s">
        <v>121</v>
      </c>
    </row>
    <row r="556" spans="3:6">
      <c r="C556" s="259"/>
      <c r="D556" s="260">
        <v>43507</v>
      </c>
      <c r="E556" s="95" t="s">
        <v>294</v>
      </c>
      <c r="F556" t="s">
        <v>153</v>
      </c>
    </row>
    <row r="557" spans="3:6">
      <c r="C557" s="259"/>
      <c r="D557" s="261"/>
    </row>
    <row r="558" spans="3:6">
      <c r="C558" s="259"/>
      <c r="D558" s="260">
        <v>43875</v>
      </c>
      <c r="E558" s="95" t="s">
        <v>626</v>
      </c>
      <c r="F558" t="s">
        <v>1207</v>
      </c>
    </row>
    <row r="559" spans="3:6">
      <c r="C559" s="259"/>
      <c r="D559" s="261"/>
    </row>
    <row r="560" spans="3:6">
      <c r="C560" s="259"/>
      <c r="D560" s="260">
        <v>44510</v>
      </c>
      <c r="E560" s="95" t="s">
        <v>1022</v>
      </c>
      <c r="F560" t="s">
        <v>3172</v>
      </c>
    </row>
    <row r="561" spans="3:6">
      <c r="C561" s="259"/>
      <c r="D561" s="261"/>
    </row>
    <row r="562" spans="3:6">
      <c r="C562" s="259" t="s">
        <v>675</v>
      </c>
      <c r="D562" s="260">
        <v>43671</v>
      </c>
      <c r="E562" s="95" t="s">
        <v>697</v>
      </c>
      <c r="F562" t="s">
        <v>698</v>
      </c>
    </row>
    <row r="563" spans="3:6">
      <c r="C563" s="259"/>
      <c r="D563" s="261"/>
    </row>
    <row r="564" spans="3:6">
      <c r="C564" s="259"/>
      <c r="D564" s="260">
        <v>43735</v>
      </c>
      <c r="E564" s="95" t="s">
        <v>626</v>
      </c>
      <c r="F564" t="s">
        <v>843</v>
      </c>
    </row>
    <row r="565" spans="3:6">
      <c r="C565" s="259"/>
      <c r="D565" s="261"/>
    </row>
    <row r="566" spans="3:6">
      <c r="C566" s="259" t="s">
        <v>185</v>
      </c>
      <c r="D566" s="260">
        <v>43508</v>
      </c>
      <c r="E566" s="95" t="s">
        <v>294</v>
      </c>
      <c r="F566" t="s">
        <v>186</v>
      </c>
    </row>
    <row r="567" spans="3:6">
      <c r="C567" s="259"/>
      <c r="D567" s="261"/>
    </row>
    <row r="568" spans="3:6">
      <c r="C568" s="259"/>
      <c r="D568" s="260">
        <v>43614</v>
      </c>
      <c r="E568" s="95" t="s">
        <v>425</v>
      </c>
      <c r="F568" t="s">
        <v>333</v>
      </c>
    </row>
    <row r="569" spans="3:6">
      <c r="C569" s="259"/>
      <c r="D569" s="261"/>
    </row>
    <row r="570" spans="3:6">
      <c r="C570" s="259"/>
      <c r="D570" s="260">
        <v>43746</v>
      </c>
      <c r="E570" s="95" t="s">
        <v>875</v>
      </c>
      <c r="F570" t="s">
        <v>655</v>
      </c>
    </row>
    <row r="571" spans="3:6">
      <c r="C571" s="259"/>
      <c r="D571" s="261"/>
    </row>
    <row r="572" spans="3:6">
      <c r="C572" s="259"/>
      <c r="D572" s="260">
        <v>43894</v>
      </c>
      <c r="E572" s="95" t="s">
        <v>654</v>
      </c>
      <c r="F572" t="s">
        <v>655</v>
      </c>
    </row>
    <row r="573" spans="3:6">
      <c r="C573" s="259"/>
      <c r="D573" s="261"/>
    </row>
    <row r="574" spans="3:6">
      <c r="C574" s="259"/>
      <c r="D574" s="260">
        <v>43895</v>
      </c>
      <c r="E574" s="95" t="s">
        <v>1503</v>
      </c>
      <c r="F574" t="s">
        <v>384</v>
      </c>
    </row>
    <row r="575" spans="3:6">
      <c r="C575" s="259"/>
      <c r="D575" s="261"/>
    </row>
    <row r="576" spans="3:6">
      <c r="C576" s="259"/>
      <c r="D576" s="260">
        <v>43930</v>
      </c>
      <c r="E576" s="95" t="s">
        <v>1572</v>
      </c>
      <c r="F576" t="s">
        <v>1573</v>
      </c>
    </row>
    <row r="577" spans="3:6">
      <c r="C577" s="259"/>
      <c r="D577" s="261"/>
    </row>
    <row r="578" spans="3:6">
      <c r="C578" s="259"/>
      <c r="D578" s="260">
        <v>44008</v>
      </c>
      <c r="E578" s="95" t="s">
        <v>1691</v>
      </c>
      <c r="F578" t="s">
        <v>1692</v>
      </c>
    </row>
    <row r="579" spans="3:6">
      <c r="C579" s="259"/>
      <c r="D579" s="261"/>
    </row>
    <row r="580" spans="3:6">
      <c r="C580" s="259"/>
      <c r="D580" s="260">
        <v>44056</v>
      </c>
      <c r="E580" s="95" t="s">
        <v>1764</v>
      </c>
      <c r="F580" t="s">
        <v>1765</v>
      </c>
    </row>
    <row r="581" spans="3:6">
      <c r="C581" s="259"/>
      <c r="D581" s="261"/>
    </row>
    <row r="582" spans="3:6">
      <c r="C582" s="259"/>
      <c r="D582" s="260">
        <v>44076</v>
      </c>
      <c r="E582" s="95" t="s">
        <v>1825</v>
      </c>
      <c r="F582" t="s">
        <v>1826</v>
      </c>
    </row>
    <row r="583" spans="3:6">
      <c r="C583" s="259"/>
      <c r="D583" s="261"/>
    </row>
    <row r="584" spans="3:6" ht="30">
      <c r="C584" s="259"/>
      <c r="D584" s="260">
        <v>44214</v>
      </c>
      <c r="E584" s="95" t="s">
        <v>2384</v>
      </c>
      <c r="F584" t="s">
        <v>1545</v>
      </c>
    </row>
    <row r="585" spans="3:6">
      <c r="C585" s="259"/>
      <c r="D585" s="261"/>
    </row>
    <row r="586" spans="3:6">
      <c r="C586" s="259"/>
      <c r="D586" s="260">
        <v>44248</v>
      </c>
      <c r="E586" s="95" t="s">
        <v>2289</v>
      </c>
      <c r="F586" t="s">
        <v>2191</v>
      </c>
    </row>
    <row r="587" spans="3:6">
      <c r="C587" s="259"/>
      <c r="D587" s="261"/>
    </row>
    <row r="588" spans="3:6">
      <c r="C588" s="259"/>
      <c r="D588" s="260">
        <v>44363</v>
      </c>
      <c r="E588" s="95" t="s">
        <v>2876</v>
      </c>
      <c r="F588" t="s">
        <v>585</v>
      </c>
    </row>
    <row r="589" spans="3:6">
      <c r="C589" s="259"/>
      <c r="D589" s="261"/>
    </row>
    <row r="590" spans="3:6">
      <c r="C590" s="259"/>
      <c r="D590" s="261"/>
      <c r="E590" s="95" t="s">
        <v>875</v>
      </c>
      <c r="F590" t="s">
        <v>2773</v>
      </c>
    </row>
    <row r="591" spans="3:6">
      <c r="C591" s="259"/>
      <c r="D591" s="261"/>
    </row>
    <row r="592" spans="3:6">
      <c r="C592" s="259"/>
      <c r="D592" s="262">
        <v>44459</v>
      </c>
      <c r="E592" s="95" t="s">
        <v>654</v>
      </c>
      <c r="F592" t="s">
        <v>2969</v>
      </c>
    </row>
    <row r="593" spans="3:6">
      <c r="C593" s="259"/>
      <c r="D593" s="255"/>
    </row>
    <row r="594" spans="3:6">
      <c r="C594" s="259"/>
      <c r="D594" s="260">
        <v>44462</v>
      </c>
      <c r="E594" s="95" t="s">
        <v>2915</v>
      </c>
      <c r="F594" t="s">
        <v>2980</v>
      </c>
    </row>
    <row r="595" spans="3:6">
      <c r="C595" s="259"/>
      <c r="D595" s="261"/>
    </row>
    <row r="596" spans="3:6">
      <c r="C596" s="259"/>
      <c r="D596" s="260">
        <v>44495</v>
      </c>
      <c r="E596" s="95" t="s">
        <v>3155</v>
      </c>
      <c r="F596" t="s">
        <v>3156</v>
      </c>
    </row>
    <row r="597" spans="3:6">
      <c r="C597" s="259"/>
      <c r="D597" s="261"/>
    </row>
    <row r="598" spans="3:6">
      <c r="C598" s="259"/>
      <c r="D598" s="260">
        <v>44564</v>
      </c>
      <c r="E598" s="95" t="s">
        <v>4120</v>
      </c>
      <c r="F598" t="s">
        <v>1387</v>
      </c>
    </row>
    <row r="599" spans="3:6">
      <c r="C599" s="259"/>
      <c r="D599" s="261"/>
    </row>
    <row r="600" spans="3:6">
      <c r="C600" s="259"/>
      <c r="D600" s="260">
        <v>44625</v>
      </c>
      <c r="E600" s="95" t="s">
        <v>3877</v>
      </c>
      <c r="F600" t="s">
        <v>3878</v>
      </c>
    </row>
    <row r="601" spans="3:6">
      <c r="C601" s="259"/>
      <c r="D601" s="261"/>
    </row>
    <row r="602" spans="3:6">
      <c r="C602" s="259"/>
      <c r="D602" s="260">
        <v>44685</v>
      </c>
      <c r="E602" s="95" t="s">
        <v>654</v>
      </c>
      <c r="F602" t="s">
        <v>4000</v>
      </c>
    </row>
    <row r="603" spans="3:6">
      <c r="C603" s="259"/>
      <c r="D603" s="261"/>
    </row>
    <row r="604" spans="3:6">
      <c r="C604" s="259"/>
      <c r="D604" s="260">
        <v>44728</v>
      </c>
      <c r="E604" s="95" t="s">
        <v>2876</v>
      </c>
      <c r="F604" t="s">
        <v>585</v>
      </c>
    </row>
    <row r="605" spans="3:6">
      <c r="C605" s="259"/>
      <c r="D605" s="261"/>
    </row>
    <row r="606" spans="3:6">
      <c r="C606" s="259"/>
      <c r="D606" s="261"/>
      <c r="E606" s="95" t="s">
        <v>875</v>
      </c>
      <c r="F606" t="s">
        <v>2773</v>
      </c>
    </row>
    <row r="607" spans="3:6">
      <c r="C607" s="259"/>
      <c r="D607" s="261"/>
    </row>
    <row r="608" spans="3:6">
      <c r="C608" s="259"/>
      <c r="D608" s="260">
        <v>45122</v>
      </c>
      <c r="E608" s="95" t="s">
        <v>4398</v>
      </c>
      <c r="F608" t="s">
        <v>4399</v>
      </c>
    </row>
    <row r="609" spans="3:6">
      <c r="C609" s="259"/>
      <c r="D609" s="261"/>
    </row>
    <row r="610" spans="3:6">
      <c r="C610" s="259"/>
      <c r="D610" s="260">
        <v>45261</v>
      </c>
      <c r="E610" s="95" t="s">
        <v>4517</v>
      </c>
      <c r="F610" t="s">
        <v>4518</v>
      </c>
    </row>
    <row r="611" spans="3:6">
      <c r="C611" s="259"/>
      <c r="D611" s="261"/>
    </row>
    <row r="612" spans="3:6">
      <c r="C612" s="259"/>
      <c r="D612" s="260">
        <v>45196</v>
      </c>
      <c r="E612" s="95" t="s">
        <v>4566</v>
      </c>
      <c r="F612" t="s">
        <v>4567</v>
      </c>
    </row>
    <row r="613" spans="3:6">
      <c r="C613" s="259"/>
      <c r="D613" s="261"/>
    </row>
    <row r="614" spans="3:6">
      <c r="C614" s="259"/>
      <c r="D614" s="260">
        <v>45202</v>
      </c>
      <c r="E614" s="95" t="s">
        <v>4573</v>
      </c>
      <c r="F614" t="s">
        <v>4574</v>
      </c>
    </row>
    <row r="615" spans="3:6">
      <c r="C615" s="259"/>
      <c r="D615" s="261"/>
    </row>
    <row r="616" spans="3:6">
      <c r="C616" s="259"/>
      <c r="D616" s="260">
        <v>45209</v>
      </c>
      <c r="E616" s="95" t="s">
        <v>4579</v>
      </c>
      <c r="F616" t="s">
        <v>4580</v>
      </c>
    </row>
    <row r="617" spans="3:6">
      <c r="C617" s="259"/>
      <c r="D617" s="261"/>
    </row>
    <row r="618" spans="3:6">
      <c r="C618" s="259"/>
      <c r="D618" s="260">
        <v>45195</v>
      </c>
      <c r="E618" s="95" t="s">
        <v>4587</v>
      </c>
      <c r="F618" t="s">
        <v>4588</v>
      </c>
    </row>
    <row r="619" spans="3:6">
      <c r="C619" s="259"/>
      <c r="D619" s="261"/>
    </row>
    <row r="620" spans="3:6">
      <c r="C620" s="259" t="s">
        <v>809</v>
      </c>
      <c r="D620" s="260">
        <v>43715</v>
      </c>
      <c r="E620" s="95" t="s">
        <v>810</v>
      </c>
      <c r="F620" t="s">
        <v>811</v>
      </c>
    </row>
    <row r="621" spans="3:6">
      <c r="C621" s="259"/>
      <c r="D621" s="261"/>
    </row>
    <row r="622" spans="3:6">
      <c r="C622" s="259"/>
      <c r="D622" s="260">
        <v>43788</v>
      </c>
      <c r="E622" s="95" t="s">
        <v>1033</v>
      </c>
      <c r="F622" t="s">
        <v>1034</v>
      </c>
    </row>
    <row r="623" spans="3:6">
      <c r="C623" s="259"/>
      <c r="D623" s="261"/>
    </row>
    <row r="624" spans="3:6">
      <c r="C624" s="259"/>
      <c r="D624" s="260">
        <v>43820</v>
      </c>
      <c r="E624" s="95" t="s">
        <v>1190</v>
      </c>
      <c r="F624" t="s">
        <v>601</v>
      </c>
    </row>
    <row r="625" spans="3:6">
      <c r="C625" s="259"/>
      <c r="D625" s="261"/>
    </row>
    <row r="626" spans="3:6">
      <c r="C626" s="259"/>
      <c r="D626" s="260">
        <v>43862</v>
      </c>
      <c r="E626" s="95" t="s">
        <v>1410</v>
      </c>
      <c r="F626" t="s">
        <v>1411</v>
      </c>
    </row>
    <row r="627" spans="3:6">
      <c r="C627" s="259"/>
      <c r="D627" s="261"/>
    </row>
    <row r="628" spans="3:6">
      <c r="C628" s="259"/>
      <c r="D628" s="260">
        <v>43865</v>
      </c>
      <c r="E628" s="95" t="s">
        <v>1416</v>
      </c>
      <c r="F628" t="s">
        <v>1417</v>
      </c>
    </row>
    <row r="629" spans="3:6">
      <c r="C629" s="259"/>
      <c r="D629" s="261"/>
    </row>
    <row r="630" spans="3:6">
      <c r="C630" s="259"/>
      <c r="D630" s="260">
        <v>44117</v>
      </c>
      <c r="E630" s="95" t="s">
        <v>1898</v>
      </c>
      <c r="F630" t="s">
        <v>1899</v>
      </c>
    </row>
    <row r="631" spans="3:6">
      <c r="C631" s="259"/>
      <c r="D631" s="261"/>
    </row>
    <row r="632" spans="3:6">
      <c r="C632" s="259"/>
      <c r="D632" s="260">
        <v>44126</v>
      </c>
      <c r="E632" s="95" t="s">
        <v>1188</v>
      </c>
      <c r="F632" t="s">
        <v>1907</v>
      </c>
    </row>
    <row r="633" spans="3:6">
      <c r="C633" s="259"/>
      <c r="D633" s="261"/>
    </row>
    <row r="634" spans="3:6">
      <c r="C634" s="259"/>
      <c r="D634" s="260">
        <v>45009</v>
      </c>
      <c r="E634" s="95" t="s">
        <v>4245</v>
      </c>
      <c r="F634" t="s">
        <v>4166</v>
      </c>
    </row>
    <row r="635" spans="3:6">
      <c r="C635" s="259"/>
      <c r="D635" s="261"/>
    </row>
    <row r="636" spans="3:6">
      <c r="C636" s="259"/>
      <c r="D636" s="260">
        <v>45077</v>
      </c>
      <c r="E636" s="95" t="s">
        <v>4359</v>
      </c>
      <c r="F636" t="s">
        <v>4360</v>
      </c>
    </row>
    <row r="637" spans="3:6">
      <c r="C637" s="259"/>
      <c r="D637" s="261"/>
    </row>
    <row r="638" spans="3:6">
      <c r="C638" s="259"/>
      <c r="D638" s="260">
        <v>45153</v>
      </c>
      <c r="E638" s="95" t="s">
        <v>4452</v>
      </c>
      <c r="F638" t="s">
        <v>4453</v>
      </c>
    </row>
    <row r="639" spans="3:6">
      <c r="C639" s="259"/>
      <c r="D639" s="261"/>
    </row>
    <row r="640" spans="3:6" ht="30">
      <c r="C640" s="259"/>
      <c r="D640" s="260">
        <v>45223</v>
      </c>
      <c r="E640" s="95" t="s">
        <v>4585</v>
      </c>
      <c r="F640" t="s">
        <v>4586</v>
      </c>
    </row>
    <row r="641" spans="3:6">
      <c r="C641" s="259"/>
      <c r="D641" s="261"/>
    </row>
    <row r="642" spans="3:6" ht="30">
      <c r="C642" s="259" t="s">
        <v>1015</v>
      </c>
      <c r="D642" s="260">
        <v>43781</v>
      </c>
      <c r="E642" s="95" t="s">
        <v>1027</v>
      </c>
      <c r="F642" t="s">
        <v>1028</v>
      </c>
    </row>
    <row r="643" spans="3:6">
      <c r="C643" s="259"/>
      <c r="D643" s="261"/>
    </row>
    <row r="644" spans="3:6">
      <c r="C644" s="259" t="s">
        <v>397</v>
      </c>
      <c r="D644" s="260">
        <v>43602</v>
      </c>
      <c r="E644" s="95" t="s">
        <v>398</v>
      </c>
      <c r="F644" t="s">
        <v>399</v>
      </c>
    </row>
    <row r="645" spans="3:6">
      <c r="C645" s="259"/>
      <c r="D645" s="261"/>
    </row>
    <row r="646" spans="3:6">
      <c r="C646" s="259"/>
      <c r="D646" s="260">
        <v>43649</v>
      </c>
      <c r="E646" s="95" t="s">
        <v>576</v>
      </c>
      <c r="F646" t="s">
        <v>577</v>
      </c>
    </row>
    <row r="647" spans="3:6">
      <c r="C647" s="259"/>
      <c r="D647" s="261"/>
    </row>
    <row r="648" spans="3:6">
      <c r="C648" s="259"/>
      <c r="D648" s="260">
        <v>43654</v>
      </c>
      <c r="E648" s="95" t="s">
        <v>587</v>
      </c>
      <c r="F648" t="s">
        <v>588</v>
      </c>
    </row>
    <row r="649" spans="3:6">
      <c r="C649" s="259"/>
      <c r="D649" s="261"/>
    </row>
    <row r="650" spans="3:6">
      <c r="C650" s="259"/>
      <c r="D650" s="260">
        <v>43931</v>
      </c>
      <c r="E650" s="95" t="s">
        <v>1574</v>
      </c>
      <c r="F650" t="s">
        <v>1575</v>
      </c>
    </row>
    <row r="651" spans="3:6">
      <c r="C651" s="259"/>
      <c r="D651" s="261"/>
    </row>
    <row r="652" spans="3:6">
      <c r="C652" s="259"/>
      <c r="D652" s="260">
        <v>44979</v>
      </c>
      <c r="E652" s="95" t="s">
        <v>4204</v>
      </c>
      <c r="F652" t="s">
        <v>4205</v>
      </c>
    </row>
    <row r="653" spans="3:6">
      <c r="C653" s="259"/>
      <c r="D653" s="261"/>
    </row>
    <row r="654" spans="3:6">
      <c r="C654" s="259"/>
      <c r="D654" s="260">
        <v>45008</v>
      </c>
      <c r="E654" s="95" t="s">
        <v>4165</v>
      </c>
      <c r="F654" t="s">
        <v>4243</v>
      </c>
    </row>
    <row r="655" spans="3:6">
      <c r="C655" s="259"/>
      <c r="D655" s="261"/>
    </row>
    <row r="656" spans="3:6">
      <c r="C656" s="259"/>
      <c r="D656" s="260">
        <v>45101</v>
      </c>
      <c r="E656" s="95" t="s">
        <v>2446</v>
      </c>
      <c r="F656" t="s">
        <v>4166</v>
      </c>
    </row>
    <row r="657" spans="3:6">
      <c r="C657" s="259"/>
      <c r="D657" s="261"/>
    </row>
    <row r="658" spans="3:6">
      <c r="C658" s="259"/>
      <c r="D658" s="261"/>
      <c r="E658" s="95" t="s">
        <v>4201</v>
      </c>
      <c r="F658" t="s">
        <v>4382</v>
      </c>
    </row>
    <row r="659" spans="3:6">
      <c r="C659" s="259"/>
      <c r="D659" s="261"/>
    </row>
    <row r="660" spans="3:6">
      <c r="C660" s="259" t="s">
        <v>213</v>
      </c>
      <c r="D660" s="260">
        <v>43586</v>
      </c>
      <c r="E660" s="95" t="s">
        <v>381</v>
      </c>
      <c r="F660" t="s">
        <v>382</v>
      </c>
    </row>
    <row r="661" spans="3:6">
      <c r="C661" s="259"/>
      <c r="D661" s="261"/>
    </row>
    <row r="662" spans="3:6">
      <c r="C662" s="259"/>
      <c r="D662" s="260">
        <v>43668</v>
      </c>
      <c r="E662" s="95" t="s">
        <v>662</v>
      </c>
      <c r="F662" t="s">
        <v>663</v>
      </c>
    </row>
    <row r="663" spans="3:6">
      <c r="C663" s="259"/>
      <c r="D663" s="261"/>
    </row>
    <row r="664" spans="3:6">
      <c r="C664" s="259"/>
      <c r="D664" s="260">
        <v>43715</v>
      </c>
      <c r="E664" s="95" t="s">
        <v>807</v>
      </c>
      <c r="F664" t="s">
        <v>808</v>
      </c>
    </row>
    <row r="665" spans="3:6">
      <c r="C665" s="259"/>
      <c r="D665" s="261"/>
    </row>
    <row r="666" spans="3:6">
      <c r="C666" s="259"/>
      <c r="D666" s="260">
        <v>43721</v>
      </c>
      <c r="E666" s="95" t="s">
        <v>819</v>
      </c>
      <c r="F666" t="s">
        <v>820</v>
      </c>
    </row>
    <row r="667" spans="3:6">
      <c r="C667" s="259"/>
      <c r="D667" s="261"/>
    </row>
    <row r="668" spans="3:6">
      <c r="C668" s="259"/>
      <c r="D668" s="260">
        <v>43743</v>
      </c>
      <c r="E668" s="95" t="s">
        <v>449</v>
      </c>
      <c r="F668" t="s">
        <v>874</v>
      </c>
    </row>
    <row r="669" spans="3:6">
      <c r="C669" s="259"/>
      <c r="D669" s="261"/>
    </row>
    <row r="670" spans="3:6">
      <c r="C670" s="259"/>
      <c r="D670" s="260">
        <v>43837</v>
      </c>
      <c r="E670" s="95" t="s">
        <v>709</v>
      </c>
      <c r="F670" t="s">
        <v>1282</v>
      </c>
    </row>
    <row r="671" spans="3:6">
      <c r="C671" s="259"/>
      <c r="D671" s="261"/>
    </row>
    <row r="672" spans="3:6">
      <c r="C672" s="259"/>
      <c r="D672" s="260">
        <v>44001</v>
      </c>
      <c r="E672" s="95" t="s">
        <v>408</v>
      </c>
      <c r="F672" t="s">
        <v>1669</v>
      </c>
    </row>
    <row r="673" spans="3:6">
      <c r="C673" s="259"/>
      <c r="D673" s="261"/>
    </row>
    <row r="674" spans="3:6">
      <c r="C674" s="259"/>
      <c r="D674" s="260">
        <v>44055</v>
      </c>
      <c r="E674" s="95" t="s">
        <v>1766</v>
      </c>
      <c r="F674" t="s">
        <v>1767</v>
      </c>
    </row>
    <row r="675" spans="3:6">
      <c r="C675" s="259"/>
      <c r="D675" s="261"/>
    </row>
    <row r="676" spans="3:6">
      <c r="C676" s="259"/>
      <c r="D676" s="260">
        <v>44111</v>
      </c>
      <c r="E676" s="95" t="s">
        <v>1883</v>
      </c>
      <c r="F676" t="s">
        <v>1884</v>
      </c>
    </row>
    <row r="677" spans="3:6">
      <c r="C677" s="259"/>
      <c r="D677" s="261"/>
    </row>
    <row r="678" spans="3:6">
      <c r="C678" s="259"/>
      <c r="D678" s="260">
        <v>44188</v>
      </c>
      <c r="E678" s="95" t="s">
        <v>2006</v>
      </c>
      <c r="F678" t="s">
        <v>2007</v>
      </c>
    </row>
    <row r="679" spans="3:6">
      <c r="C679" s="259"/>
      <c r="D679" s="261"/>
    </row>
    <row r="680" spans="3:6">
      <c r="C680" s="259"/>
      <c r="D680" s="260">
        <v>44189</v>
      </c>
      <c r="E680" s="95" t="s">
        <v>2011</v>
      </c>
      <c r="F680" t="s">
        <v>2012</v>
      </c>
    </row>
    <row r="681" spans="3:6">
      <c r="C681" s="259"/>
      <c r="D681" s="261"/>
    </row>
    <row r="682" spans="3:6">
      <c r="C682" s="259"/>
      <c r="D682" s="260">
        <v>44194</v>
      </c>
      <c r="E682" s="95" t="s">
        <v>376</v>
      </c>
      <c r="F682" t="s">
        <v>2039</v>
      </c>
    </row>
    <row r="683" spans="3:6">
      <c r="C683" s="259"/>
      <c r="D683" s="261"/>
    </row>
    <row r="684" spans="3:6">
      <c r="C684" s="259"/>
      <c r="D684" s="260">
        <v>44201</v>
      </c>
      <c r="E684" s="95" t="s">
        <v>2356</v>
      </c>
      <c r="F684" t="s">
        <v>2144</v>
      </c>
    </row>
    <row r="685" spans="3:6">
      <c r="C685" s="259"/>
      <c r="D685" s="261"/>
    </row>
    <row r="686" spans="3:6">
      <c r="C686" s="259"/>
      <c r="D686" s="260">
        <v>44216</v>
      </c>
      <c r="E686" s="95" t="s">
        <v>1134</v>
      </c>
      <c r="F686" t="s">
        <v>2394</v>
      </c>
    </row>
    <row r="687" spans="3:6">
      <c r="C687" s="259"/>
      <c r="D687" s="260">
        <v>44222</v>
      </c>
      <c r="E687" s="95" t="s">
        <v>1134</v>
      </c>
      <c r="F687" t="s">
        <v>2396</v>
      </c>
    </row>
    <row r="688" spans="3:6">
      <c r="C688" s="259"/>
      <c r="D688" s="261"/>
    </row>
    <row r="689" spans="3:6">
      <c r="C689" s="259"/>
      <c r="D689" s="260">
        <v>44253</v>
      </c>
      <c r="E689" s="95" t="s">
        <v>2263</v>
      </c>
      <c r="F689" t="s">
        <v>2235</v>
      </c>
    </row>
    <row r="690" spans="3:6">
      <c r="C690" s="259"/>
      <c r="D690" s="261"/>
    </row>
    <row r="691" spans="3:6">
      <c r="C691" s="259"/>
      <c r="D691" s="260">
        <v>44280</v>
      </c>
      <c r="E691" s="95" t="s">
        <v>2446</v>
      </c>
      <c r="F691" t="s">
        <v>2447</v>
      </c>
    </row>
    <row r="692" spans="3:6">
      <c r="C692" s="259"/>
      <c r="D692" s="261"/>
    </row>
    <row r="693" spans="3:6">
      <c r="C693" s="259"/>
      <c r="D693" s="260">
        <v>44296</v>
      </c>
      <c r="E693" s="95" t="s">
        <v>2595</v>
      </c>
      <c r="F693" t="s">
        <v>2218</v>
      </c>
    </row>
    <row r="694" spans="3:6">
      <c r="C694" s="259"/>
      <c r="D694" s="261"/>
    </row>
    <row r="695" spans="3:6">
      <c r="C695" s="259"/>
      <c r="D695" s="260">
        <v>44454</v>
      </c>
      <c r="E695" s="95" t="s">
        <v>2976</v>
      </c>
      <c r="F695" t="s">
        <v>294</v>
      </c>
    </row>
    <row r="696" spans="3:6">
      <c r="C696" s="259"/>
      <c r="D696" s="261"/>
    </row>
    <row r="697" spans="3:6">
      <c r="C697" s="259"/>
      <c r="D697" s="260">
        <v>44525</v>
      </c>
      <c r="E697" s="95" t="s">
        <v>3194</v>
      </c>
      <c r="F697" t="s">
        <v>3195</v>
      </c>
    </row>
    <row r="698" spans="3:6">
      <c r="C698" s="259"/>
      <c r="D698" s="261"/>
    </row>
    <row r="699" spans="3:6" ht="30">
      <c r="C699" s="259"/>
      <c r="D699" s="260">
        <v>44599</v>
      </c>
      <c r="E699" s="95" t="s">
        <v>3858</v>
      </c>
      <c r="F699" t="s">
        <v>3859</v>
      </c>
    </row>
    <row r="700" spans="3:6">
      <c r="C700" s="259"/>
      <c r="D700" s="261"/>
    </row>
    <row r="701" spans="3:6">
      <c r="C701" s="259"/>
      <c r="D701" s="260">
        <v>44625</v>
      </c>
      <c r="E701" s="95" t="s">
        <v>3872</v>
      </c>
      <c r="F701" t="s">
        <v>3873</v>
      </c>
    </row>
    <row r="702" spans="3:6">
      <c r="C702" s="259"/>
      <c r="D702" s="261"/>
    </row>
    <row r="703" spans="3:6">
      <c r="C703" s="259"/>
      <c r="D703" s="260">
        <v>44657</v>
      </c>
      <c r="E703" s="95" t="s">
        <v>4072</v>
      </c>
      <c r="F703" t="s">
        <v>1669</v>
      </c>
    </row>
    <row r="704" spans="3:6">
      <c r="C704" s="259"/>
      <c r="D704" s="261"/>
    </row>
    <row r="705" spans="3:6">
      <c r="C705" s="259"/>
      <c r="D705" s="260">
        <v>44678</v>
      </c>
      <c r="E705" s="95" t="s">
        <v>408</v>
      </c>
      <c r="F705" t="s">
        <v>4085</v>
      </c>
    </row>
    <row r="706" spans="3:6">
      <c r="C706" s="259"/>
      <c r="D706" s="261"/>
    </row>
    <row r="707" spans="3:6">
      <c r="C707" s="259"/>
      <c r="D707" s="260">
        <v>44819</v>
      </c>
      <c r="E707" s="95" t="s">
        <v>2976</v>
      </c>
      <c r="F707" t="s">
        <v>294</v>
      </c>
    </row>
    <row r="708" spans="3:6">
      <c r="C708" s="259"/>
      <c r="D708" s="261"/>
    </row>
    <row r="709" spans="3:6">
      <c r="C709" s="259"/>
      <c r="D709" s="260">
        <v>44932</v>
      </c>
      <c r="E709" s="95" t="s">
        <v>4165</v>
      </c>
      <c r="F709" t="s">
        <v>4166</v>
      </c>
    </row>
    <row r="710" spans="3:6">
      <c r="C710" s="259"/>
      <c r="D710" s="261"/>
    </row>
    <row r="711" spans="3:6">
      <c r="C711" s="259"/>
      <c r="D711" s="260">
        <v>44971</v>
      </c>
      <c r="E711" s="95" t="s">
        <v>4189</v>
      </c>
      <c r="F711" t="s">
        <v>4190</v>
      </c>
    </row>
    <row r="712" spans="3:6">
      <c r="C712" s="259"/>
      <c r="D712" s="261"/>
    </row>
    <row r="713" spans="3:6">
      <c r="C713" s="259"/>
      <c r="D713" s="260">
        <v>45282</v>
      </c>
      <c r="E713" s="95" t="s">
        <v>4556</v>
      </c>
      <c r="F713" t="s">
        <v>4557</v>
      </c>
    </row>
    <row r="714" spans="3:6">
      <c r="C714" s="259"/>
      <c r="D714" s="261"/>
    </row>
    <row r="715" spans="3:6">
      <c r="C715" s="259" t="s">
        <v>828</v>
      </c>
      <c r="D715" s="260">
        <v>43724</v>
      </c>
      <c r="E715" s="95" t="s">
        <v>829</v>
      </c>
      <c r="F715" t="s">
        <v>830</v>
      </c>
    </row>
    <row r="716" spans="3:6">
      <c r="C716" s="259"/>
      <c r="D716" s="261"/>
    </row>
    <row r="717" spans="3:6">
      <c r="C717" s="259"/>
      <c r="D717" s="260">
        <v>43727</v>
      </c>
      <c r="E717" s="95" t="s">
        <v>833</v>
      </c>
      <c r="F717" t="s">
        <v>834</v>
      </c>
    </row>
    <row r="718" spans="3:6">
      <c r="C718" s="259"/>
      <c r="D718" s="261"/>
    </row>
    <row r="719" spans="3:6">
      <c r="C719" s="259"/>
      <c r="D719" s="260">
        <v>43733</v>
      </c>
      <c r="E719" s="95" t="s">
        <v>841</v>
      </c>
      <c r="F719" t="s">
        <v>842</v>
      </c>
    </row>
    <row r="720" spans="3:6">
      <c r="C720" s="259"/>
      <c r="D720" s="261"/>
    </row>
    <row r="721" spans="3:6">
      <c r="C721" s="259"/>
      <c r="D721" s="260">
        <v>43763</v>
      </c>
      <c r="E721" s="95" t="s">
        <v>933</v>
      </c>
      <c r="F721" t="s">
        <v>934</v>
      </c>
    </row>
    <row r="722" spans="3:6">
      <c r="C722" s="259"/>
      <c r="D722" s="261"/>
    </row>
    <row r="723" spans="3:6">
      <c r="C723" s="259" t="s">
        <v>291</v>
      </c>
      <c r="D723" s="260">
        <v>43559</v>
      </c>
      <c r="E723" s="95" t="s">
        <v>294</v>
      </c>
      <c r="F723" t="s">
        <v>338</v>
      </c>
    </row>
    <row r="724" spans="3:6">
      <c r="C724" s="259"/>
      <c r="D724" s="261"/>
    </row>
    <row r="725" spans="3:6">
      <c r="C725" s="259"/>
      <c r="D725" s="260">
        <v>43564</v>
      </c>
      <c r="E725" s="95" t="s">
        <v>348</v>
      </c>
      <c r="F725" t="s">
        <v>349</v>
      </c>
    </row>
    <row r="726" spans="3:6">
      <c r="C726" s="259"/>
      <c r="D726" s="261"/>
    </row>
    <row r="727" spans="3:6">
      <c r="C727" s="259"/>
      <c r="D727" s="260">
        <v>43565</v>
      </c>
      <c r="E727" s="95" t="s">
        <v>352</v>
      </c>
      <c r="F727" t="s">
        <v>353</v>
      </c>
    </row>
    <row r="728" spans="3:6">
      <c r="C728" s="259"/>
      <c r="D728" s="261"/>
    </row>
    <row r="729" spans="3:6">
      <c r="C729" s="259"/>
      <c r="D729" s="260">
        <v>43568</v>
      </c>
      <c r="E729" s="95" t="s">
        <v>363</v>
      </c>
      <c r="F729" t="s">
        <v>364</v>
      </c>
    </row>
    <row r="730" spans="3:6">
      <c r="C730" s="259"/>
      <c r="D730" s="261"/>
    </row>
    <row r="731" spans="3:6">
      <c r="C731" s="259"/>
      <c r="D731" s="260">
        <v>43577</v>
      </c>
      <c r="E731" s="95" t="s">
        <v>373</v>
      </c>
      <c r="F731" t="s">
        <v>374</v>
      </c>
    </row>
    <row r="732" spans="3:6">
      <c r="C732" s="259"/>
      <c r="D732" s="261"/>
    </row>
    <row r="733" spans="3:6">
      <c r="C733" s="259"/>
      <c r="D733" s="260">
        <v>43602</v>
      </c>
      <c r="E733" s="95" t="s">
        <v>400</v>
      </c>
      <c r="F733" t="s">
        <v>401</v>
      </c>
    </row>
    <row r="734" spans="3:6">
      <c r="C734" s="259"/>
      <c r="D734" s="260">
        <v>43605</v>
      </c>
      <c r="E734" s="95" t="s">
        <v>400</v>
      </c>
      <c r="F734" t="s">
        <v>405</v>
      </c>
    </row>
    <row r="735" spans="3:6">
      <c r="C735" s="259"/>
      <c r="D735" s="261"/>
    </row>
    <row r="736" spans="3:6">
      <c r="C736" s="259"/>
      <c r="D736" s="260">
        <v>43607</v>
      </c>
      <c r="E736" s="95" t="s">
        <v>408</v>
      </c>
      <c r="F736" t="s">
        <v>405</v>
      </c>
    </row>
    <row r="737" spans="3:6">
      <c r="C737" s="259"/>
      <c r="D737" s="261"/>
    </row>
    <row r="738" spans="3:6">
      <c r="C738" s="259"/>
      <c r="D738" s="260">
        <v>43638</v>
      </c>
      <c r="E738" s="95" t="s">
        <v>548</v>
      </c>
      <c r="F738" t="s">
        <v>549</v>
      </c>
    </row>
    <row r="739" spans="3:6">
      <c r="C739" s="259"/>
      <c r="D739" s="261"/>
    </row>
    <row r="740" spans="3:6">
      <c r="C740" s="259"/>
      <c r="D740" s="260">
        <v>43652</v>
      </c>
      <c r="E740" s="95" t="s">
        <v>586</v>
      </c>
      <c r="F740" t="s">
        <v>164</v>
      </c>
    </row>
    <row r="741" spans="3:6">
      <c r="C741" s="259"/>
      <c r="D741" s="261"/>
    </row>
    <row r="742" spans="3:6" ht="30">
      <c r="C742" s="259"/>
      <c r="D742" s="260">
        <v>43657</v>
      </c>
      <c r="E742" s="95" t="s">
        <v>584</v>
      </c>
      <c r="F742" t="s">
        <v>585</v>
      </c>
    </row>
    <row r="743" spans="3:6">
      <c r="C743" s="259"/>
      <c r="D743" s="261"/>
    </row>
    <row r="744" spans="3:6">
      <c r="C744" s="259"/>
      <c r="D744" s="260">
        <v>43731</v>
      </c>
      <c r="E744" s="95" t="s">
        <v>839</v>
      </c>
      <c r="F744" t="s">
        <v>840</v>
      </c>
    </row>
    <row r="745" spans="3:6">
      <c r="C745" s="259"/>
      <c r="D745" s="261"/>
    </row>
    <row r="746" spans="3:6">
      <c r="C746" s="259"/>
      <c r="D746" s="260">
        <v>43827</v>
      </c>
      <c r="E746" s="95" t="s">
        <v>1247</v>
      </c>
      <c r="F746" t="s">
        <v>1248</v>
      </c>
    </row>
    <row r="747" spans="3:6">
      <c r="C747" s="259"/>
      <c r="D747" s="261"/>
    </row>
    <row r="748" spans="3:6">
      <c r="C748" s="259"/>
      <c r="D748" s="260">
        <v>43835</v>
      </c>
      <c r="E748" s="95" t="s">
        <v>1280</v>
      </c>
      <c r="F748" t="s">
        <v>1287</v>
      </c>
    </row>
    <row r="749" spans="3:6">
      <c r="C749" s="259"/>
      <c r="D749" s="261"/>
    </row>
    <row r="750" spans="3:6">
      <c r="C750" s="259"/>
      <c r="D750" s="260">
        <v>43852</v>
      </c>
      <c r="E750" s="95" t="s">
        <v>1380</v>
      </c>
      <c r="F750" t="s">
        <v>1381</v>
      </c>
    </row>
    <row r="751" spans="3:6">
      <c r="C751" s="259"/>
      <c r="D751" s="261"/>
    </row>
    <row r="752" spans="3:6">
      <c r="C752" s="259"/>
      <c r="D752" s="260">
        <v>43872</v>
      </c>
      <c r="E752" s="95" t="s">
        <v>1422</v>
      </c>
      <c r="F752" t="s">
        <v>1423</v>
      </c>
    </row>
    <row r="753" spans="3:6">
      <c r="C753" s="259"/>
      <c r="D753" s="261"/>
    </row>
    <row r="754" spans="3:6">
      <c r="C754" s="259"/>
      <c r="D754" s="260">
        <v>43875</v>
      </c>
      <c r="E754" s="95" t="s">
        <v>376</v>
      </c>
      <c r="F754" t="s">
        <v>1242</v>
      </c>
    </row>
    <row r="755" spans="3:6">
      <c r="C755" s="259"/>
      <c r="D755" s="261"/>
    </row>
    <row r="756" spans="3:6">
      <c r="C756" s="259"/>
      <c r="D756" s="260">
        <v>43877</v>
      </c>
      <c r="E756" s="95" t="s">
        <v>1434</v>
      </c>
      <c r="F756" t="s">
        <v>1435</v>
      </c>
    </row>
    <row r="757" spans="3:6">
      <c r="C757" s="259"/>
      <c r="D757" s="261"/>
    </row>
    <row r="758" spans="3:6">
      <c r="C758" s="259"/>
      <c r="D758" s="260">
        <v>43883</v>
      </c>
      <c r="E758" s="95" t="s">
        <v>408</v>
      </c>
      <c r="F758" t="s">
        <v>818</v>
      </c>
    </row>
    <row r="759" spans="3:6">
      <c r="C759" s="259"/>
      <c r="D759" s="261"/>
    </row>
    <row r="760" spans="3:6">
      <c r="C760" s="259"/>
      <c r="D760" s="260">
        <v>43890</v>
      </c>
      <c r="E760" s="95" t="s">
        <v>1499</v>
      </c>
      <c r="F760" t="s">
        <v>1500</v>
      </c>
    </row>
    <row r="761" spans="3:6">
      <c r="C761" s="259"/>
      <c r="D761" s="261"/>
    </row>
    <row r="762" spans="3:6">
      <c r="C762" s="259"/>
      <c r="D762" s="260">
        <v>43901</v>
      </c>
      <c r="E762" s="95" t="s">
        <v>1548</v>
      </c>
      <c r="F762" t="s">
        <v>1549</v>
      </c>
    </row>
    <row r="763" spans="3:6">
      <c r="C763" s="259"/>
      <c r="D763" s="261"/>
    </row>
    <row r="764" spans="3:6">
      <c r="C764" s="259"/>
      <c r="D764" s="260">
        <v>43906</v>
      </c>
      <c r="E764" s="95" t="s">
        <v>1550</v>
      </c>
      <c r="F764" t="s">
        <v>1551</v>
      </c>
    </row>
    <row r="765" spans="3:6">
      <c r="C765" s="259"/>
      <c r="D765" s="261"/>
    </row>
    <row r="766" spans="3:6">
      <c r="C766" s="259"/>
      <c r="D766" s="260">
        <v>43943</v>
      </c>
      <c r="E766" s="95" t="s">
        <v>1561</v>
      </c>
      <c r="F766" t="s">
        <v>1562</v>
      </c>
    </row>
    <row r="767" spans="3:6">
      <c r="C767" s="259"/>
      <c r="D767" s="261"/>
    </row>
    <row r="768" spans="3:6">
      <c r="C768" s="259"/>
      <c r="D768" s="260">
        <v>44007</v>
      </c>
      <c r="E768" s="95" t="s">
        <v>1689</v>
      </c>
      <c r="F768" t="s">
        <v>1690</v>
      </c>
    </row>
    <row r="769" spans="3:6">
      <c r="C769" s="259"/>
      <c r="D769" s="261"/>
    </row>
    <row r="770" spans="3:6">
      <c r="C770" s="259"/>
      <c r="D770" s="260">
        <v>44023</v>
      </c>
      <c r="E770" s="95" t="s">
        <v>1715</v>
      </c>
      <c r="F770" t="s">
        <v>1716</v>
      </c>
    </row>
    <row r="771" spans="3:6">
      <c r="C771" s="259"/>
      <c r="D771" s="261"/>
    </row>
    <row r="772" spans="3:6">
      <c r="C772" s="259"/>
      <c r="D772" s="260">
        <v>44083</v>
      </c>
      <c r="E772" s="95" t="s">
        <v>1841</v>
      </c>
      <c r="F772" t="s">
        <v>1842</v>
      </c>
    </row>
    <row r="773" spans="3:6">
      <c r="C773" s="259"/>
      <c r="D773" s="261"/>
    </row>
    <row r="774" spans="3:6">
      <c r="C774" s="259"/>
      <c r="D774" s="260">
        <v>44078</v>
      </c>
      <c r="E774" s="95" t="s">
        <v>1831</v>
      </c>
      <c r="F774" t="s">
        <v>1832</v>
      </c>
    </row>
    <row r="775" spans="3:6">
      <c r="C775" s="259"/>
      <c r="D775" s="261"/>
    </row>
    <row r="776" spans="3:6">
      <c r="C776" s="259"/>
      <c r="D776" s="260">
        <v>44106</v>
      </c>
      <c r="E776" s="95" t="s">
        <v>1877</v>
      </c>
      <c r="F776" t="s">
        <v>1878</v>
      </c>
    </row>
    <row r="777" spans="3:6">
      <c r="C777" s="259"/>
      <c r="D777" s="261"/>
    </row>
    <row r="778" spans="3:6">
      <c r="C778" s="259"/>
      <c r="D778" s="260">
        <v>44120</v>
      </c>
      <c r="E778" s="95" t="s">
        <v>482</v>
      </c>
      <c r="F778" t="s">
        <v>1177</v>
      </c>
    </row>
    <row r="779" spans="3:6">
      <c r="C779" s="259"/>
      <c r="D779" s="261"/>
    </row>
    <row r="780" spans="3:6">
      <c r="C780" s="259"/>
      <c r="D780" s="260">
        <v>44146</v>
      </c>
      <c r="E780" s="95" t="s">
        <v>1715</v>
      </c>
      <c r="F780" t="s">
        <v>1716</v>
      </c>
    </row>
    <row r="781" spans="3:6">
      <c r="C781" s="259"/>
      <c r="D781" s="261"/>
    </row>
    <row r="782" spans="3:6">
      <c r="C782" s="259"/>
      <c r="D782" s="260">
        <v>44165</v>
      </c>
      <c r="E782" s="95" t="s">
        <v>1965</v>
      </c>
      <c r="F782" t="s">
        <v>1966</v>
      </c>
    </row>
    <row r="783" spans="3:6">
      <c r="C783" s="259"/>
      <c r="D783" s="261"/>
    </row>
    <row r="784" spans="3:6">
      <c r="C784" s="259"/>
      <c r="D784" s="260">
        <v>44257</v>
      </c>
      <c r="E784" s="95" t="s">
        <v>2076</v>
      </c>
      <c r="F784" t="s">
        <v>967</v>
      </c>
    </row>
    <row r="785" spans="3:6">
      <c r="C785" s="259"/>
      <c r="D785" s="261"/>
    </row>
    <row r="786" spans="3:6">
      <c r="C786" s="259"/>
      <c r="D786" s="260">
        <v>44263</v>
      </c>
      <c r="E786" s="95" t="s">
        <v>1708</v>
      </c>
      <c r="F786" t="s">
        <v>2237</v>
      </c>
    </row>
    <row r="787" spans="3:6">
      <c r="C787" s="259"/>
      <c r="D787" s="261"/>
    </row>
    <row r="788" spans="3:6" ht="30">
      <c r="C788" s="259"/>
      <c r="D788" s="260">
        <v>44281</v>
      </c>
      <c r="E788" s="95" t="s">
        <v>2448</v>
      </c>
      <c r="F788" t="s">
        <v>2449</v>
      </c>
    </row>
    <row r="789" spans="3:6">
      <c r="C789" s="259"/>
      <c r="D789" s="261"/>
    </row>
    <row r="790" spans="3:6">
      <c r="C790" s="259"/>
      <c r="D790" s="260">
        <v>44283</v>
      </c>
      <c r="E790" s="95" t="s">
        <v>2462</v>
      </c>
      <c r="F790" t="s">
        <v>2463</v>
      </c>
    </row>
    <row r="791" spans="3:6">
      <c r="C791" s="259"/>
      <c r="D791" s="261"/>
    </row>
    <row r="792" spans="3:6">
      <c r="C792" s="259"/>
      <c r="D792" s="260">
        <v>44291</v>
      </c>
      <c r="E792" s="95" t="s">
        <v>2540</v>
      </c>
      <c r="F792" t="s">
        <v>2541</v>
      </c>
    </row>
    <row r="793" spans="3:6">
      <c r="C793" s="259"/>
      <c r="D793" s="261"/>
    </row>
    <row r="794" spans="3:6">
      <c r="C794" s="259"/>
      <c r="D794" s="260">
        <v>44303</v>
      </c>
      <c r="E794" s="95" t="s">
        <v>2635</v>
      </c>
      <c r="F794" t="s">
        <v>2636</v>
      </c>
    </row>
    <row r="795" spans="3:6">
      <c r="C795" s="259"/>
      <c r="D795" s="261"/>
    </row>
    <row r="796" spans="3:6">
      <c r="C796" s="259"/>
      <c r="D796" s="260">
        <v>44309</v>
      </c>
      <c r="E796" s="95" t="s">
        <v>2657</v>
      </c>
      <c r="F796" t="s">
        <v>2658</v>
      </c>
    </row>
    <row r="797" spans="3:6">
      <c r="C797" s="259"/>
      <c r="D797" s="261"/>
    </row>
    <row r="798" spans="3:6">
      <c r="C798" s="259"/>
      <c r="D798" s="260">
        <v>44364</v>
      </c>
      <c r="E798" s="95" t="s">
        <v>2877</v>
      </c>
      <c r="F798" t="s">
        <v>2878</v>
      </c>
    </row>
    <row r="799" spans="3:6">
      <c r="C799" s="259"/>
      <c r="D799" s="261"/>
    </row>
    <row r="800" spans="3:6">
      <c r="C800" s="259"/>
      <c r="D800" s="260">
        <v>44454</v>
      </c>
      <c r="E800" s="95" t="s">
        <v>2961</v>
      </c>
      <c r="F800" t="s">
        <v>2962</v>
      </c>
    </row>
    <row r="801" spans="3:6">
      <c r="C801" s="259"/>
      <c r="D801" s="261"/>
    </row>
    <row r="802" spans="3:6">
      <c r="C802" s="259"/>
      <c r="D802" s="260">
        <v>44459</v>
      </c>
      <c r="E802" s="95" t="s">
        <v>2966</v>
      </c>
      <c r="F802" t="s">
        <v>2967</v>
      </c>
    </row>
    <row r="803" spans="3:6">
      <c r="C803" s="259"/>
      <c r="D803" s="261"/>
    </row>
    <row r="804" spans="3:6">
      <c r="C804" s="259"/>
      <c r="D804" s="260">
        <v>44471</v>
      </c>
      <c r="E804" s="95" t="s">
        <v>3107</v>
      </c>
      <c r="F804" t="s">
        <v>3108</v>
      </c>
    </row>
    <row r="805" spans="3:6">
      <c r="C805" s="259"/>
      <c r="D805" s="261"/>
    </row>
    <row r="806" spans="3:6">
      <c r="C806" s="259"/>
      <c r="D806" s="260">
        <v>44478</v>
      </c>
      <c r="E806" s="95" t="s">
        <v>3141</v>
      </c>
      <c r="F806" t="s">
        <v>3142</v>
      </c>
    </row>
    <row r="807" spans="3:6">
      <c r="C807" s="259"/>
      <c r="D807" s="261"/>
    </row>
    <row r="808" spans="3:6">
      <c r="C808" s="259"/>
      <c r="D808" s="260">
        <v>44490</v>
      </c>
      <c r="E808" s="95" t="s">
        <v>3135</v>
      </c>
      <c r="F808" t="s">
        <v>3136</v>
      </c>
    </row>
    <row r="809" spans="3:6">
      <c r="C809" s="259"/>
      <c r="D809" s="261"/>
    </row>
    <row r="810" spans="3:6">
      <c r="C810" s="259"/>
      <c r="D810" s="260">
        <v>44531</v>
      </c>
      <c r="E810" s="95" t="s">
        <v>3208</v>
      </c>
      <c r="F810" t="s">
        <v>3209</v>
      </c>
    </row>
    <row r="811" spans="3:6">
      <c r="C811" s="259"/>
      <c r="D811" s="261"/>
    </row>
    <row r="812" spans="3:6">
      <c r="C812" s="259"/>
      <c r="D812" s="260">
        <v>44708</v>
      </c>
      <c r="E812" s="95" t="s">
        <v>4015</v>
      </c>
      <c r="F812" t="s">
        <v>4016</v>
      </c>
    </row>
    <row r="813" spans="3:6">
      <c r="C813" s="259"/>
      <c r="D813" s="261"/>
    </row>
    <row r="814" spans="3:6">
      <c r="C814" s="259"/>
      <c r="D814" s="260">
        <v>44641</v>
      </c>
      <c r="E814" s="95" t="s">
        <v>4062</v>
      </c>
      <c r="F814" t="s">
        <v>4063</v>
      </c>
    </row>
    <row r="815" spans="3:6">
      <c r="C815" s="259"/>
      <c r="D815" s="261"/>
    </row>
    <row r="816" spans="3:6">
      <c r="C816" s="259"/>
      <c r="D816" s="260">
        <v>44666</v>
      </c>
      <c r="E816" s="95" t="s">
        <v>4082</v>
      </c>
      <c r="F816" t="s">
        <v>4083</v>
      </c>
    </row>
    <row r="817" spans="3:6">
      <c r="C817" s="259"/>
      <c r="D817" s="261"/>
    </row>
    <row r="818" spans="3:6">
      <c r="C818" s="259"/>
      <c r="D818" s="260">
        <v>44667</v>
      </c>
      <c r="E818" s="95" t="s">
        <v>4089</v>
      </c>
      <c r="F818" t="s">
        <v>4090</v>
      </c>
    </row>
    <row r="819" spans="3:6">
      <c r="C819" s="259"/>
      <c r="D819" s="261"/>
    </row>
    <row r="820" spans="3:6">
      <c r="C820" s="259"/>
      <c r="D820" s="260">
        <v>44719</v>
      </c>
      <c r="E820" s="95" t="s">
        <v>4103</v>
      </c>
      <c r="F820" t="s">
        <v>3831</v>
      </c>
    </row>
    <row r="821" spans="3:6">
      <c r="C821" s="259"/>
      <c r="D821" s="261"/>
    </row>
    <row r="822" spans="3:6">
      <c r="C822" s="259"/>
      <c r="D822" s="260">
        <v>44729</v>
      </c>
      <c r="E822" s="95" t="s">
        <v>2877</v>
      </c>
      <c r="F822" t="s">
        <v>2878</v>
      </c>
    </row>
    <row r="823" spans="3:6">
      <c r="C823" s="259"/>
      <c r="D823" s="261"/>
    </row>
    <row r="824" spans="3:6">
      <c r="C824" s="259"/>
      <c r="D824" s="260">
        <v>44819</v>
      </c>
      <c r="E824" s="95" t="s">
        <v>2961</v>
      </c>
      <c r="F824" t="s">
        <v>2962</v>
      </c>
    </row>
    <row r="825" spans="3:6">
      <c r="C825" s="259"/>
      <c r="D825" s="261"/>
    </row>
    <row r="826" spans="3:6">
      <c r="C826" s="259"/>
      <c r="D826" s="260">
        <v>44823</v>
      </c>
      <c r="E826" s="95" t="s">
        <v>2966</v>
      </c>
      <c r="F826" t="s">
        <v>2967</v>
      </c>
    </row>
    <row r="827" spans="3:6">
      <c r="C827" s="259"/>
      <c r="D827" s="261"/>
    </row>
    <row r="828" spans="3:6">
      <c r="C828" s="259"/>
      <c r="D828" s="261"/>
      <c r="E828" s="95" t="s">
        <v>4141</v>
      </c>
      <c r="F828" t="s">
        <v>4142</v>
      </c>
    </row>
    <row r="829" spans="3:6">
      <c r="C829" s="259"/>
      <c r="D829" s="261"/>
    </row>
    <row r="830" spans="3:6">
      <c r="C830" s="259"/>
      <c r="D830" s="260">
        <v>44930</v>
      </c>
      <c r="E830" s="95" t="s">
        <v>4163</v>
      </c>
      <c r="F830" t="s">
        <v>4164</v>
      </c>
    </row>
    <row r="831" spans="3:6">
      <c r="C831" s="259"/>
      <c r="D831" s="261"/>
    </row>
    <row r="832" spans="3:6">
      <c r="C832" s="259"/>
      <c r="D832" s="260">
        <v>45001</v>
      </c>
      <c r="E832" s="95" t="s">
        <v>4235</v>
      </c>
      <c r="F832" t="s">
        <v>4236</v>
      </c>
    </row>
    <row r="833" spans="3:6">
      <c r="C833" s="259"/>
      <c r="D833" s="261"/>
    </row>
    <row r="834" spans="3:6">
      <c r="C834" s="259"/>
      <c r="D834" s="260">
        <v>45080</v>
      </c>
      <c r="E834" s="95" t="s">
        <v>4370</v>
      </c>
      <c r="F834" t="s">
        <v>4371</v>
      </c>
    </row>
    <row r="835" spans="3:6">
      <c r="C835" s="259"/>
      <c r="D835" s="261"/>
    </row>
    <row r="836" spans="3:6">
      <c r="C836" s="259"/>
      <c r="D836" s="260">
        <v>45082</v>
      </c>
      <c r="E836" s="95" t="s">
        <v>4372</v>
      </c>
      <c r="F836" t="s">
        <v>4373</v>
      </c>
    </row>
    <row r="837" spans="3:6">
      <c r="C837" s="259"/>
      <c r="D837" s="261"/>
    </row>
    <row r="838" spans="3:6">
      <c r="C838" s="259"/>
      <c r="D838" s="260">
        <v>45148</v>
      </c>
      <c r="E838" s="95" t="s">
        <v>4448</v>
      </c>
      <c r="F838" t="s">
        <v>4449</v>
      </c>
    </row>
    <row r="839" spans="3:6">
      <c r="C839" s="259"/>
      <c r="D839" s="261"/>
    </row>
    <row r="840" spans="3:6">
      <c r="C840" s="259"/>
      <c r="D840" s="260">
        <v>45171</v>
      </c>
      <c r="E840" s="95" t="s">
        <v>3210</v>
      </c>
      <c r="F840" t="s">
        <v>4374</v>
      </c>
    </row>
    <row r="841" spans="3:6">
      <c r="C841" s="259"/>
      <c r="D841" s="261"/>
    </row>
    <row r="842" spans="3:6">
      <c r="C842" s="259"/>
      <c r="D842" s="260">
        <v>45176</v>
      </c>
      <c r="E842" s="95" t="s">
        <v>4470</v>
      </c>
      <c r="F842" t="s">
        <v>4471</v>
      </c>
    </row>
    <row r="843" spans="3:6">
      <c r="C843" s="259"/>
      <c r="D843" s="261"/>
    </row>
    <row r="844" spans="3:6">
      <c r="C844" s="259"/>
      <c r="D844" s="260">
        <v>45210</v>
      </c>
      <c r="E844" s="95" t="s">
        <v>4581</v>
      </c>
      <c r="F844" t="s">
        <v>4166</v>
      </c>
    </row>
    <row r="845" spans="3:6">
      <c r="C845" s="259"/>
      <c r="D845" s="261"/>
    </row>
    <row r="846" spans="3:6">
      <c r="C846" s="259"/>
      <c r="D846" s="260">
        <v>45267</v>
      </c>
      <c r="E846" s="95" t="s">
        <v>4528</v>
      </c>
      <c r="F846" t="s">
        <v>4060</v>
      </c>
    </row>
    <row r="847" spans="3:6">
      <c r="C847" s="259"/>
      <c r="D847" s="261"/>
    </row>
    <row r="848" spans="3:6">
      <c r="C848" s="259" t="s">
        <v>792</v>
      </c>
      <c r="D848" s="260">
        <v>43686</v>
      </c>
      <c r="E848" s="95" t="s">
        <v>793</v>
      </c>
      <c r="F848" t="s">
        <v>794</v>
      </c>
    </row>
    <row r="849" spans="3:6">
      <c r="C849" s="259"/>
      <c r="D849" s="261"/>
    </row>
    <row r="850" spans="3:6">
      <c r="C850" s="259" t="s">
        <v>1244</v>
      </c>
      <c r="D850" s="260">
        <v>43826</v>
      </c>
      <c r="E850" s="95" t="s">
        <v>631</v>
      </c>
      <c r="F850" t="s">
        <v>1246</v>
      </c>
    </row>
    <row r="851" spans="3:6">
      <c r="C851" s="259"/>
      <c r="D851" s="261"/>
    </row>
    <row r="852" spans="3:6">
      <c r="C852" s="259" t="s">
        <v>294</v>
      </c>
      <c r="D852" s="260">
        <v>44272</v>
      </c>
      <c r="E852" s="95" t="s">
        <v>2416</v>
      </c>
      <c r="F852" t="s">
        <v>2417</v>
      </c>
    </row>
    <row r="853" spans="3:6">
      <c r="C853" s="259"/>
      <c r="D853" s="261"/>
    </row>
    <row r="854" spans="3:6">
      <c r="C854" s="259"/>
      <c r="D854" s="260">
        <v>44282</v>
      </c>
      <c r="E854" s="95" t="s">
        <v>2457</v>
      </c>
      <c r="F854" t="s">
        <v>2458</v>
      </c>
    </row>
    <row r="855" spans="3:6">
      <c r="C855" s="259"/>
      <c r="D855" s="261"/>
    </row>
    <row r="856" spans="3:6">
      <c r="C856" s="259"/>
      <c r="D856" s="260">
        <v>44288</v>
      </c>
      <c r="E856" s="95" t="s">
        <v>2520</v>
      </c>
      <c r="F856" t="s">
        <v>2521</v>
      </c>
    </row>
    <row r="857" spans="3:6">
      <c r="C857" s="259"/>
      <c r="D857" s="261"/>
    </row>
    <row r="858" spans="3:6">
      <c r="C858" s="259"/>
      <c r="D858" s="260">
        <v>44295</v>
      </c>
      <c r="E858" s="95" t="s">
        <v>2589</v>
      </c>
      <c r="F858" t="s">
        <v>2590</v>
      </c>
    </row>
    <row r="859" spans="3:6">
      <c r="C859" s="259"/>
      <c r="D859" s="261"/>
    </row>
    <row r="860" spans="3:6" ht="30">
      <c r="C860" s="259"/>
      <c r="D860" s="261"/>
      <c r="E860" s="95" t="s">
        <v>2585</v>
      </c>
      <c r="F860" t="s">
        <v>2586</v>
      </c>
    </row>
    <row r="861" spans="3:6">
      <c r="C861" s="259"/>
      <c r="D861" s="261"/>
    </row>
    <row r="862" spans="3:6">
      <c r="C862" s="259"/>
      <c r="D862" s="260">
        <v>44296</v>
      </c>
      <c r="E862" s="95" t="s">
        <v>294</v>
      </c>
      <c r="F862" t="s">
        <v>2594</v>
      </c>
    </row>
    <row r="863" spans="3:6">
      <c r="C863" s="259"/>
      <c r="D863" s="261"/>
    </row>
    <row r="864" spans="3:6">
      <c r="C864" s="259" t="s">
        <v>1388</v>
      </c>
      <c r="D864" s="260">
        <v>43858</v>
      </c>
      <c r="E864" s="95" t="s">
        <v>691</v>
      </c>
      <c r="F864" t="s">
        <v>1389</v>
      </c>
    </row>
    <row r="865" spans="3:6">
      <c r="C865" s="259"/>
      <c r="D865" s="261"/>
    </row>
    <row r="866" spans="3:6">
      <c r="C866" s="259" t="s">
        <v>1479</v>
      </c>
      <c r="D866" s="260">
        <v>45233</v>
      </c>
      <c r="E866" s="95" t="s">
        <v>4510</v>
      </c>
      <c r="F866" t="s">
        <v>4239</v>
      </c>
    </row>
    <row r="867" spans="3:6">
      <c r="C867" s="259"/>
      <c r="D867" s="261"/>
    </row>
    <row r="868" spans="3:6">
      <c r="C868" s="259" t="s">
        <v>1484</v>
      </c>
      <c r="D868" s="260">
        <v>43885</v>
      </c>
      <c r="E868" s="95" t="s">
        <v>1485</v>
      </c>
      <c r="F868" t="s">
        <v>1486</v>
      </c>
    </row>
    <row r="869" spans="3:6">
      <c r="C869" s="259"/>
      <c r="D869" s="261"/>
    </row>
    <row r="870" spans="3:6">
      <c r="C870" s="259" t="s">
        <v>1544</v>
      </c>
      <c r="D870" s="260">
        <v>43897</v>
      </c>
      <c r="E870" s="95" t="s">
        <v>863</v>
      </c>
      <c r="F870" t="s">
        <v>1545</v>
      </c>
    </row>
    <row r="871" spans="3:6">
      <c r="C871" s="259"/>
      <c r="D871" s="261"/>
    </row>
    <row r="872" spans="3:6">
      <c r="C872" s="259" t="s">
        <v>1624</v>
      </c>
      <c r="D872" s="260">
        <v>44666</v>
      </c>
      <c r="E872" s="95" t="s">
        <v>4080</v>
      </c>
      <c r="F872" t="s">
        <v>4081</v>
      </c>
    </row>
    <row r="873" spans="3:6">
      <c r="C873" s="259"/>
      <c r="D873" s="261"/>
    </row>
    <row r="874" spans="3:6">
      <c r="C874" s="259" t="s">
        <v>1666</v>
      </c>
      <c r="D874" s="260">
        <v>44004</v>
      </c>
      <c r="E874" s="95" t="s">
        <v>1667</v>
      </c>
      <c r="F874" t="s">
        <v>1668</v>
      </c>
    </row>
    <row r="875" spans="3:6">
      <c r="C875" s="259"/>
      <c r="D875" s="261"/>
    </row>
    <row r="876" spans="3:6">
      <c r="C876" s="259"/>
      <c r="D876" s="260">
        <v>44257</v>
      </c>
      <c r="E876" s="95" t="s">
        <v>2352</v>
      </c>
      <c r="F876" t="s">
        <v>2307</v>
      </c>
    </row>
    <row r="877" spans="3:6">
      <c r="C877" s="259"/>
      <c r="D877" s="261"/>
    </row>
    <row r="878" spans="3:6">
      <c r="C878" s="259" t="s">
        <v>1700</v>
      </c>
      <c r="D878" s="260">
        <v>44019</v>
      </c>
      <c r="E878" s="95" t="s">
        <v>1701</v>
      </c>
      <c r="F878" t="s">
        <v>1702</v>
      </c>
    </row>
    <row r="879" spans="3:6">
      <c r="C879" s="259"/>
      <c r="D879" s="260">
        <v>44142</v>
      </c>
      <c r="E879" s="95" t="s">
        <v>1701</v>
      </c>
      <c r="F879" t="s">
        <v>1702</v>
      </c>
    </row>
    <row r="880" spans="3:6">
      <c r="C880" s="259"/>
      <c r="D880" s="261"/>
    </row>
    <row r="881" spans="3:6">
      <c r="C881" s="259"/>
      <c r="D881" s="260">
        <v>45128</v>
      </c>
      <c r="E881" s="95" t="s">
        <v>2076</v>
      </c>
      <c r="F881" t="s">
        <v>4402</v>
      </c>
    </row>
    <row r="882" spans="3:6">
      <c r="C882" s="259"/>
      <c r="D882" s="261"/>
    </row>
    <row r="883" spans="3:6">
      <c r="C883" s="259" t="s">
        <v>1706</v>
      </c>
      <c r="D883" s="260">
        <v>44020</v>
      </c>
      <c r="E883" s="95" t="s">
        <v>1405</v>
      </c>
      <c r="F883" t="s">
        <v>725</v>
      </c>
    </row>
    <row r="884" spans="3:6">
      <c r="C884" s="259"/>
      <c r="D884" s="260">
        <v>44143</v>
      </c>
      <c r="E884" s="95" t="s">
        <v>1405</v>
      </c>
      <c r="F884" t="s">
        <v>725</v>
      </c>
    </row>
    <row r="885" spans="3:6">
      <c r="C885" s="259"/>
      <c r="D885" s="261"/>
    </row>
    <row r="886" spans="3:6">
      <c r="C886" s="259" t="s">
        <v>230</v>
      </c>
      <c r="D886" s="260">
        <v>44079</v>
      </c>
      <c r="E886" s="95" t="s">
        <v>1833</v>
      </c>
      <c r="F886" t="s">
        <v>1834</v>
      </c>
    </row>
    <row r="887" spans="3:6">
      <c r="C887" s="259"/>
      <c r="D887" s="261"/>
    </row>
    <row r="888" spans="3:6">
      <c r="C888" s="259"/>
      <c r="D888" s="260">
        <v>44123</v>
      </c>
      <c r="E888" s="95" t="s">
        <v>1902</v>
      </c>
      <c r="F888" t="s">
        <v>898</v>
      </c>
    </row>
    <row r="889" spans="3:6">
      <c r="C889" s="259"/>
      <c r="D889" s="261"/>
    </row>
    <row r="890" spans="3:6">
      <c r="C890" s="259"/>
      <c r="D890" s="260">
        <v>44126</v>
      </c>
      <c r="E890" s="95" t="s">
        <v>1909</v>
      </c>
      <c r="F890" t="s">
        <v>1908</v>
      </c>
    </row>
    <row r="891" spans="3:6">
      <c r="C891" s="259"/>
      <c r="D891" s="261"/>
    </row>
    <row r="892" spans="3:6">
      <c r="C892" s="259" t="s">
        <v>1847</v>
      </c>
      <c r="D892" s="260">
        <v>44305</v>
      </c>
      <c r="E892" s="95" t="s">
        <v>2642</v>
      </c>
      <c r="F892" t="s">
        <v>2643</v>
      </c>
    </row>
    <row r="893" spans="3:6">
      <c r="C893" s="259"/>
      <c r="D893" s="261"/>
    </row>
    <row r="894" spans="3:6">
      <c r="C894" s="259" t="s">
        <v>1888</v>
      </c>
      <c r="D894" s="260">
        <v>44114</v>
      </c>
      <c r="E894" s="95" t="s">
        <v>1889</v>
      </c>
      <c r="F894" t="s">
        <v>1038</v>
      </c>
    </row>
    <row r="895" spans="3:6">
      <c r="C895" s="259"/>
      <c r="D895" s="261"/>
    </row>
    <row r="896" spans="3:6">
      <c r="C896" s="259"/>
      <c r="D896" s="260">
        <v>44117</v>
      </c>
      <c r="E896" s="95" t="s">
        <v>520</v>
      </c>
      <c r="F896" t="s">
        <v>1732</v>
      </c>
    </row>
    <row r="897" spans="3:6">
      <c r="C897" s="259"/>
      <c r="D897" s="261"/>
    </row>
    <row r="898" spans="3:6">
      <c r="C898" s="259" t="s">
        <v>1905</v>
      </c>
      <c r="D898" s="260">
        <v>45093</v>
      </c>
      <c r="E898" s="95" t="s">
        <v>810</v>
      </c>
      <c r="F898" t="s">
        <v>4379</v>
      </c>
    </row>
    <row r="899" spans="3:6">
      <c r="C899" s="259"/>
      <c r="D899" s="261"/>
    </row>
    <row r="900" spans="3:6">
      <c r="C900" s="259" t="s">
        <v>1972</v>
      </c>
      <c r="D900" s="260">
        <v>44170</v>
      </c>
      <c r="E900" s="95" t="s">
        <v>1973</v>
      </c>
      <c r="F900" t="s">
        <v>1974</v>
      </c>
    </row>
    <row r="901" spans="3:6">
      <c r="C901" s="259"/>
      <c r="D901" s="261"/>
    </row>
    <row r="902" spans="3:6">
      <c r="C902" s="259" t="s">
        <v>1976</v>
      </c>
      <c r="D902" s="260">
        <v>44174</v>
      </c>
      <c r="E902" s="95" t="s">
        <v>1710</v>
      </c>
      <c r="F902" t="s">
        <v>1977</v>
      </c>
    </row>
    <row r="903" spans="3:6">
      <c r="C903" s="259"/>
      <c r="D903" s="261"/>
    </row>
    <row r="904" spans="3:6">
      <c r="C904" s="259"/>
      <c r="D904" s="260">
        <v>44214</v>
      </c>
      <c r="E904" s="95" t="s">
        <v>2380</v>
      </c>
      <c r="F904" t="s">
        <v>2381</v>
      </c>
    </row>
    <row r="905" spans="3:6">
      <c r="C905" s="259"/>
      <c r="D905" s="261"/>
    </row>
    <row r="906" spans="3:6">
      <c r="C906" s="259" t="s">
        <v>2105</v>
      </c>
      <c r="D906" s="260">
        <v>44224</v>
      </c>
      <c r="E906" s="95" t="s">
        <v>1944</v>
      </c>
      <c r="F906" t="s">
        <v>2018</v>
      </c>
    </row>
    <row r="907" spans="3:6">
      <c r="C907" s="259"/>
      <c r="D907" s="261"/>
    </row>
    <row r="908" spans="3:6">
      <c r="C908" s="259" t="s">
        <v>2143</v>
      </c>
      <c r="D908" s="260">
        <v>44232</v>
      </c>
      <c r="E908" s="95" t="s">
        <v>2244</v>
      </c>
      <c r="F908" t="s">
        <v>2144</v>
      </c>
    </row>
    <row r="909" spans="3:6">
      <c r="C909" s="259"/>
      <c r="D909" s="261"/>
    </row>
    <row r="910" spans="3:6">
      <c r="C910" s="259" t="s">
        <v>2253</v>
      </c>
      <c r="D910" s="260">
        <v>44244</v>
      </c>
      <c r="E910" s="95" t="s">
        <v>2176</v>
      </c>
      <c r="F910" t="s">
        <v>2177</v>
      </c>
    </row>
    <row r="911" spans="3:6">
      <c r="C911" s="259"/>
      <c r="D911" s="261"/>
    </row>
    <row r="912" spans="3:6">
      <c r="C912" s="259" t="s">
        <v>2240</v>
      </c>
      <c r="D912" s="260">
        <v>44228</v>
      </c>
      <c r="E912" s="95" t="s">
        <v>2110</v>
      </c>
      <c r="F912" t="s">
        <v>2111</v>
      </c>
    </row>
    <row r="913" spans="3:6">
      <c r="C913" s="259"/>
      <c r="D913" s="261"/>
    </row>
    <row r="914" spans="3:6">
      <c r="C914" s="259" t="s">
        <v>2257</v>
      </c>
      <c r="D914" s="260">
        <v>44250</v>
      </c>
      <c r="E914" s="95" t="s">
        <v>2258</v>
      </c>
      <c r="F914" t="s">
        <v>2216</v>
      </c>
    </row>
    <row r="915" spans="3:6">
      <c r="C915" s="259"/>
      <c r="D915" s="261"/>
    </row>
    <row r="916" spans="3:6">
      <c r="C916" s="259" t="s">
        <v>2261</v>
      </c>
      <c r="D916" s="260">
        <v>44252</v>
      </c>
      <c r="E916" s="95" t="s">
        <v>2262</v>
      </c>
      <c r="F916" t="s">
        <v>2233</v>
      </c>
    </row>
    <row r="917" spans="3:6">
      <c r="C917" s="259"/>
      <c r="D917" s="261"/>
    </row>
    <row r="918" spans="3:6">
      <c r="C918" s="259" t="s">
        <v>2315</v>
      </c>
      <c r="D918" s="260">
        <v>44375</v>
      </c>
      <c r="E918" s="95" t="s">
        <v>2891</v>
      </c>
      <c r="F918" t="s">
        <v>2144</v>
      </c>
    </row>
    <row r="919" spans="3:6">
      <c r="C919" s="259"/>
      <c r="D919" s="260">
        <v>44740</v>
      </c>
      <c r="E919" s="95" t="s">
        <v>2891</v>
      </c>
      <c r="F919" t="s">
        <v>2144</v>
      </c>
    </row>
    <row r="920" spans="3:6">
      <c r="C920" s="259"/>
      <c r="D920" s="261"/>
    </row>
    <row r="921" spans="3:6">
      <c r="C921" s="259" t="s">
        <v>2378</v>
      </c>
      <c r="D921" s="260">
        <v>44211</v>
      </c>
      <c r="E921" s="95" t="s">
        <v>2244</v>
      </c>
      <c r="F921" t="s">
        <v>2379</v>
      </c>
    </row>
    <row r="922" spans="3:6">
      <c r="C922" s="259"/>
      <c r="D922" s="261"/>
    </row>
    <row r="923" spans="3:6">
      <c r="C923" s="259" t="s">
        <v>2398</v>
      </c>
      <c r="D923" s="260">
        <v>44498</v>
      </c>
      <c r="E923" s="95" t="s">
        <v>3143</v>
      </c>
      <c r="F923" t="s">
        <v>3144</v>
      </c>
    </row>
    <row r="924" spans="3:6">
      <c r="C924" s="259"/>
      <c r="D924" s="261"/>
    </row>
    <row r="925" spans="3:6" ht="30">
      <c r="C925" s="259"/>
      <c r="D925" s="260">
        <v>44520</v>
      </c>
      <c r="E925" s="95" t="s">
        <v>3190</v>
      </c>
      <c r="F925" t="s">
        <v>3191</v>
      </c>
    </row>
    <row r="926" spans="3:6">
      <c r="C926" s="259"/>
      <c r="D926" s="261"/>
    </row>
    <row r="927" spans="3:6">
      <c r="C927" s="259" t="s">
        <v>2535</v>
      </c>
      <c r="D927" s="260">
        <v>44289</v>
      </c>
      <c r="E927" s="95" t="s">
        <v>1284</v>
      </c>
      <c r="F927" t="s">
        <v>2536</v>
      </c>
    </row>
    <row r="928" spans="3:6">
      <c r="C928" s="259"/>
      <c r="D928" s="261"/>
    </row>
    <row r="929" spans="3:6">
      <c r="C929" s="259"/>
      <c r="D929" s="260">
        <v>44298</v>
      </c>
      <c r="E929" s="95" t="s">
        <v>2609</v>
      </c>
      <c r="F929" t="s">
        <v>2610</v>
      </c>
    </row>
    <row r="930" spans="3:6">
      <c r="C930" s="259"/>
      <c r="D930" s="261"/>
    </row>
    <row r="931" spans="3:6">
      <c r="C931" s="259" t="s">
        <v>2619</v>
      </c>
      <c r="D931" s="260">
        <v>44299</v>
      </c>
      <c r="E931" s="95" t="s">
        <v>2620</v>
      </c>
      <c r="F931" t="s">
        <v>294</v>
      </c>
    </row>
    <row r="932" spans="3:6">
      <c r="C932" s="259"/>
      <c r="D932" s="261"/>
    </row>
    <row r="933" spans="3:6">
      <c r="C933" s="259" t="s">
        <v>2661</v>
      </c>
      <c r="D933" s="260">
        <v>44312</v>
      </c>
      <c r="E933" s="95" t="s">
        <v>294</v>
      </c>
      <c r="F933" t="s">
        <v>2662</v>
      </c>
    </row>
    <row r="934" spans="3:6">
      <c r="C934" s="259"/>
      <c r="D934" s="261"/>
    </row>
    <row r="935" spans="3:6">
      <c r="C935" s="259" t="s">
        <v>2663</v>
      </c>
      <c r="D935" s="260">
        <v>44312</v>
      </c>
      <c r="E935" s="95" t="s">
        <v>294</v>
      </c>
      <c r="F935" t="s">
        <v>2664</v>
      </c>
    </row>
    <row r="936" spans="3:6">
      <c r="C936" s="259"/>
      <c r="D936" s="261"/>
    </row>
    <row r="937" spans="3:6">
      <c r="C937" s="259" t="s">
        <v>2673</v>
      </c>
      <c r="D937" s="260">
        <v>44634</v>
      </c>
      <c r="E937" s="95" t="s">
        <v>3868</v>
      </c>
      <c r="F937" t="s">
        <v>3869</v>
      </c>
    </row>
    <row r="938" spans="3:6">
      <c r="C938" s="259"/>
      <c r="D938" s="261"/>
    </row>
    <row r="939" spans="3:6">
      <c r="C939" s="259" t="s">
        <v>2689</v>
      </c>
      <c r="D939" s="260">
        <v>44319</v>
      </c>
      <c r="E939" s="95" t="s">
        <v>2690</v>
      </c>
      <c r="F939" t="s">
        <v>2691</v>
      </c>
    </row>
    <row r="940" spans="3:6">
      <c r="C940" s="259"/>
      <c r="D940" s="261"/>
    </row>
    <row r="941" spans="3:6">
      <c r="C941" s="259" t="s">
        <v>2718</v>
      </c>
      <c r="D941" s="260">
        <v>44322</v>
      </c>
      <c r="E941" s="95" t="s">
        <v>2719</v>
      </c>
      <c r="F941" t="s">
        <v>2720</v>
      </c>
    </row>
    <row r="942" spans="3:6">
      <c r="C942" s="259"/>
      <c r="D942" s="261"/>
    </row>
    <row r="943" spans="3:6">
      <c r="C943" s="259" t="s">
        <v>2721</v>
      </c>
      <c r="D943" s="260">
        <v>44933</v>
      </c>
      <c r="E943" s="95" t="s">
        <v>1134</v>
      </c>
      <c r="F943" t="s">
        <v>4177</v>
      </c>
    </row>
    <row r="944" spans="3:6">
      <c r="C944" s="259"/>
      <c r="D944" s="261"/>
    </row>
    <row r="945" spans="3:6" ht="30">
      <c r="C945" s="259" t="s">
        <v>2816</v>
      </c>
      <c r="D945" s="260">
        <v>44348</v>
      </c>
      <c r="E945" s="95" t="s">
        <v>2870</v>
      </c>
      <c r="F945" t="s">
        <v>2817</v>
      </c>
    </row>
    <row r="946" spans="3:6" ht="30">
      <c r="C946" s="259"/>
      <c r="D946" s="260">
        <v>44713</v>
      </c>
      <c r="E946" s="95" t="s">
        <v>2870</v>
      </c>
      <c r="F946" t="s">
        <v>2817</v>
      </c>
    </row>
    <row r="947" spans="3:6">
      <c r="C947" s="259"/>
      <c r="D947" s="261"/>
    </row>
    <row r="948" spans="3:6">
      <c r="C948" s="259" t="s">
        <v>2818</v>
      </c>
      <c r="D948" s="260">
        <v>44348</v>
      </c>
      <c r="E948" s="95" t="s">
        <v>2819</v>
      </c>
      <c r="F948" t="s">
        <v>2820</v>
      </c>
    </row>
    <row r="949" spans="3:6">
      <c r="C949" s="259"/>
      <c r="D949" s="260">
        <v>44713</v>
      </c>
      <c r="E949" s="95" t="s">
        <v>2819</v>
      </c>
      <c r="F949" t="s">
        <v>2820</v>
      </c>
    </row>
    <row r="950" spans="3:6">
      <c r="C950" s="259"/>
      <c r="D950" s="261"/>
    </row>
    <row r="951" spans="3:6">
      <c r="C951" s="259" t="s">
        <v>2827</v>
      </c>
      <c r="D951" s="260">
        <v>44350</v>
      </c>
      <c r="E951" s="95" t="s">
        <v>2828</v>
      </c>
      <c r="F951" t="s">
        <v>2829</v>
      </c>
    </row>
    <row r="952" spans="3:6">
      <c r="C952" s="259"/>
      <c r="D952" s="260">
        <v>44715</v>
      </c>
      <c r="E952" s="95" t="s">
        <v>2828</v>
      </c>
      <c r="F952" t="s">
        <v>2829</v>
      </c>
    </row>
    <row r="953" spans="3:6">
      <c r="C953" s="259"/>
      <c r="D953" s="261"/>
    </row>
    <row r="954" spans="3:6">
      <c r="C954" s="259" t="s">
        <v>2832</v>
      </c>
      <c r="D954" s="260">
        <v>44352</v>
      </c>
      <c r="E954" s="95" t="s">
        <v>2833</v>
      </c>
      <c r="F954" t="s">
        <v>2834</v>
      </c>
    </row>
    <row r="955" spans="3:6">
      <c r="C955" s="259"/>
      <c r="D955" s="260">
        <v>44717</v>
      </c>
      <c r="E955" s="95" t="s">
        <v>2833</v>
      </c>
      <c r="F955" t="s">
        <v>2834</v>
      </c>
    </row>
    <row r="956" spans="3:6">
      <c r="C956" s="259"/>
      <c r="D956" s="261"/>
    </row>
    <row r="957" spans="3:6" ht="30">
      <c r="C957" s="259" t="s">
        <v>2842</v>
      </c>
      <c r="D957" s="260">
        <v>44357</v>
      </c>
      <c r="E957" s="95" t="s">
        <v>2843</v>
      </c>
      <c r="F957" t="s">
        <v>2844</v>
      </c>
    </row>
    <row r="958" spans="3:6" ht="30">
      <c r="C958" s="259"/>
      <c r="D958" s="260">
        <v>44722</v>
      </c>
      <c r="E958" s="95" t="s">
        <v>2843</v>
      </c>
      <c r="F958" t="s">
        <v>2844</v>
      </c>
    </row>
    <row r="959" spans="3:6">
      <c r="C959" s="259"/>
      <c r="D959" s="261"/>
    </row>
    <row r="960" spans="3:6">
      <c r="C960" s="259" t="s">
        <v>2888</v>
      </c>
      <c r="D960" s="260">
        <v>44372</v>
      </c>
      <c r="E960" s="95" t="s">
        <v>2889</v>
      </c>
      <c r="F960" t="s">
        <v>2890</v>
      </c>
    </row>
    <row r="961" spans="3:6">
      <c r="C961" s="259"/>
      <c r="D961" s="260">
        <v>44737</v>
      </c>
      <c r="E961" s="95" t="s">
        <v>2889</v>
      </c>
      <c r="F961" t="s">
        <v>2890</v>
      </c>
    </row>
    <row r="962" spans="3:6">
      <c r="C962" s="259"/>
      <c r="D962" s="261"/>
    </row>
    <row r="963" spans="3:6">
      <c r="C963" s="259" t="s">
        <v>3104</v>
      </c>
      <c r="D963" s="260">
        <v>44473</v>
      </c>
      <c r="E963" s="95" t="s">
        <v>3105</v>
      </c>
      <c r="F963" t="s">
        <v>3106</v>
      </c>
    </row>
    <row r="964" spans="3:6">
      <c r="C964" s="259"/>
      <c r="D964" s="261"/>
    </row>
    <row r="965" spans="3:6">
      <c r="C965" s="259" t="s">
        <v>3210</v>
      </c>
      <c r="D965" s="260">
        <v>44532</v>
      </c>
      <c r="E965" s="95" t="s">
        <v>3210</v>
      </c>
      <c r="F965" t="s">
        <v>1966</v>
      </c>
    </row>
    <row r="966" spans="3:6">
      <c r="C966" s="259"/>
      <c r="D966" s="261"/>
    </row>
    <row r="967" spans="3:6">
      <c r="C967" s="259" t="s">
        <v>3334</v>
      </c>
      <c r="D967" s="260">
        <v>44459</v>
      </c>
      <c r="E967" s="95" t="s">
        <v>3335</v>
      </c>
      <c r="F967" t="s">
        <v>3336</v>
      </c>
    </row>
    <row r="968" spans="3:6">
      <c r="C968" s="259"/>
      <c r="D968" s="261"/>
    </row>
    <row r="969" spans="3:6">
      <c r="C969" s="259" t="s">
        <v>3342</v>
      </c>
      <c r="D969" s="260">
        <v>44459</v>
      </c>
      <c r="E969" s="95" t="s">
        <v>294</v>
      </c>
      <c r="F969" t="s">
        <v>3343</v>
      </c>
    </row>
    <row r="970" spans="3:6">
      <c r="C970" s="259"/>
      <c r="D970" s="261"/>
    </row>
    <row r="971" spans="3:6">
      <c r="C971" s="259" t="s">
        <v>3354</v>
      </c>
      <c r="D971" s="260">
        <v>44461</v>
      </c>
      <c r="E971" s="95" t="s">
        <v>3355</v>
      </c>
      <c r="F971" t="s">
        <v>2984</v>
      </c>
    </row>
    <row r="972" spans="3:6">
      <c r="C972" s="259"/>
      <c r="D972" s="261"/>
    </row>
    <row r="973" spans="3:6">
      <c r="C973" s="259"/>
      <c r="D973" s="260">
        <v>44462</v>
      </c>
      <c r="E973" s="95" t="s">
        <v>3384</v>
      </c>
      <c r="F973" t="s">
        <v>3385</v>
      </c>
    </row>
    <row r="974" spans="3:6">
      <c r="C974" s="259"/>
      <c r="D974" s="261"/>
    </row>
    <row r="975" spans="3:6">
      <c r="C975" s="259" t="s">
        <v>3328</v>
      </c>
      <c r="D975" s="260">
        <v>44462</v>
      </c>
      <c r="E975" s="95" t="s">
        <v>3329</v>
      </c>
      <c r="F975" t="s">
        <v>3330</v>
      </c>
    </row>
    <row r="976" spans="3:6">
      <c r="C976" s="259"/>
      <c r="D976" s="261"/>
    </row>
    <row r="977" spans="3:6">
      <c r="C977" s="259" t="s">
        <v>3386</v>
      </c>
      <c r="D977" s="260">
        <v>44462</v>
      </c>
      <c r="E977" s="95" t="s">
        <v>3387</v>
      </c>
      <c r="F977" t="s">
        <v>3388</v>
      </c>
    </row>
    <row r="978" spans="3:6">
      <c r="C978" s="259"/>
      <c r="D978" s="261"/>
    </row>
    <row r="979" spans="3:6">
      <c r="C979" s="259" t="s">
        <v>3374</v>
      </c>
      <c r="D979" s="260">
        <v>44463</v>
      </c>
      <c r="E979" s="95" t="s">
        <v>3375</v>
      </c>
      <c r="F979" t="s">
        <v>3376</v>
      </c>
    </row>
    <row r="980" spans="3:6">
      <c r="C980" s="259"/>
      <c r="D980" s="261"/>
    </row>
    <row r="981" spans="3:6">
      <c r="C981" s="259" t="s">
        <v>3379</v>
      </c>
      <c r="D981" s="260">
        <v>44463</v>
      </c>
      <c r="E981" s="95" t="s">
        <v>3377</v>
      </c>
      <c r="F981" t="s">
        <v>3378</v>
      </c>
    </row>
    <row r="982" spans="3:6">
      <c r="C982" s="259"/>
      <c r="D982" s="261"/>
    </row>
    <row r="983" spans="3:6">
      <c r="C983" s="259" t="s">
        <v>3427</v>
      </c>
      <c r="D983" s="260">
        <v>44463</v>
      </c>
      <c r="E983" s="95" t="s">
        <v>294</v>
      </c>
      <c r="F983" t="s">
        <v>3385</v>
      </c>
    </row>
    <row r="984" spans="3:6">
      <c r="C984" s="259"/>
      <c r="D984" s="261"/>
    </row>
    <row r="985" spans="3:6">
      <c r="C985" s="259" t="s">
        <v>3437</v>
      </c>
      <c r="D985" s="260">
        <v>44463</v>
      </c>
      <c r="E985" s="95" t="s">
        <v>3438</v>
      </c>
      <c r="F985" t="s">
        <v>3439</v>
      </c>
    </row>
    <row r="986" spans="3:6">
      <c r="C986" s="259"/>
      <c r="D986" s="261"/>
    </row>
    <row r="987" spans="3:6">
      <c r="C987" s="259" t="s">
        <v>3446</v>
      </c>
      <c r="D987" s="260">
        <v>44464</v>
      </c>
      <c r="E987" s="95" t="s">
        <v>3447</v>
      </c>
      <c r="F987" t="s">
        <v>3448</v>
      </c>
    </row>
    <row r="988" spans="3:6">
      <c r="C988" s="259"/>
      <c r="D988" s="261"/>
    </row>
    <row r="989" spans="3:6">
      <c r="C989" s="259" t="s">
        <v>3450</v>
      </c>
      <c r="D989" s="260">
        <v>44537</v>
      </c>
      <c r="E989" s="95" t="s">
        <v>3496</v>
      </c>
      <c r="F989" t="s">
        <v>3498</v>
      </c>
    </row>
    <row r="990" spans="3:6">
      <c r="C990" s="259"/>
      <c r="D990" s="261"/>
    </row>
    <row r="991" spans="3:6">
      <c r="C991" s="259"/>
      <c r="D991" s="260">
        <v>44553</v>
      </c>
      <c r="E991" s="95" t="s">
        <v>3517</v>
      </c>
      <c r="F991" t="s">
        <v>3518</v>
      </c>
    </row>
    <row r="992" spans="3:6">
      <c r="C992" s="259"/>
      <c r="D992" s="261"/>
    </row>
    <row r="993" spans="3:6">
      <c r="C993" s="259" t="s">
        <v>3633</v>
      </c>
      <c r="D993" s="260">
        <v>44500</v>
      </c>
      <c r="E993" s="95" t="s">
        <v>3634</v>
      </c>
      <c r="F993" t="s">
        <v>3635</v>
      </c>
    </row>
    <row r="994" spans="3:6">
      <c r="C994" s="259"/>
      <c r="D994" s="261"/>
    </row>
    <row r="995" spans="3:6">
      <c r="C995" s="259" t="s">
        <v>3460</v>
      </c>
      <c r="D995" s="260">
        <v>44509</v>
      </c>
      <c r="E995" s="95" t="s">
        <v>3461</v>
      </c>
      <c r="F995" t="s">
        <v>3462</v>
      </c>
    </row>
    <row r="996" spans="3:6">
      <c r="C996" s="259"/>
      <c r="D996" s="261"/>
    </row>
    <row r="997" spans="3:6" ht="30">
      <c r="C997" s="259" t="s">
        <v>3463</v>
      </c>
      <c r="D997" s="260">
        <v>44510</v>
      </c>
      <c r="E997" s="95" t="s">
        <v>3464</v>
      </c>
      <c r="F997" t="s">
        <v>3465</v>
      </c>
    </row>
    <row r="998" spans="3:6">
      <c r="C998" s="259"/>
      <c r="D998" s="261"/>
    </row>
    <row r="999" spans="3:6">
      <c r="C999" s="259" t="s">
        <v>3466</v>
      </c>
      <c r="D999" s="260">
        <v>44511</v>
      </c>
      <c r="E999" s="95" t="s">
        <v>3467</v>
      </c>
      <c r="F999" t="s">
        <v>3468</v>
      </c>
    </row>
    <row r="1000" spans="3:6">
      <c r="C1000" s="259"/>
      <c r="D1000" s="261"/>
    </row>
    <row r="1001" spans="3:6">
      <c r="C1001" s="259" t="s">
        <v>3479</v>
      </c>
      <c r="D1001" s="260">
        <v>44529</v>
      </c>
      <c r="E1001" s="95" t="s">
        <v>3480</v>
      </c>
      <c r="F1001" t="s">
        <v>3481</v>
      </c>
    </row>
    <row r="1002" spans="3:6">
      <c r="C1002" s="259"/>
      <c r="D1002" s="261"/>
    </row>
    <row r="1003" spans="3:6">
      <c r="C1003" s="259" t="s">
        <v>3276</v>
      </c>
      <c r="D1003" s="260">
        <v>44550</v>
      </c>
      <c r="E1003" s="95" t="s">
        <v>3277</v>
      </c>
      <c r="F1003" t="s">
        <v>3279</v>
      </c>
    </row>
    <row r="1004" spans="3:6">
      <c r="C1004" s="259"/>
      <c r="D1004" s="261"/>
    </row>
    <row r="1005" spans="3:6">
      <c r="C1005" s="259"/>
      <c r="D1005" s="260">
        <v>45266</v>
      </c>
      <c r="E1005" s="95" t="s">
        <v>4521</v>
      </c>
      <c r="F1005" t="s">
        <v>4522</v>
      </c>
    </row>
    <row r="1006" spans="3:6">
      <c r="C1006" s="259"/>
      <c r="D1006" s="261"/>
    </row>
    <row r="1007" spans="3:6">
      <c r="C1007" s="259" t="s">
        <v>3285</v>
      </c>
      <c r="D1007" s="260">
        <v>44551</v>
      </c>
      <c r="E1007" s="95" t="s">
        <v>3286</v>
      </c>
      <c r="F1007" t="s">
        <v>3288</v>
      </c>
    </row>
    <row r="1008" spans="3:6">
      <c r="C1008" s="259"/>
      <c r="D1008" s="261"/>
    </row>
    <row r="1009" spans="3:6">
      <c r="C1009" s="259" t="s">
        <v>3289</v>
      </c>
      <c r="D1009" s="260">
        <v>44551</v>
      </c>
      <c r="E1009" s="95" t="s">
        <v>3290</v>
      </c>
      <c r="F1009" t="s">
        <v>3292</v>
      </c>
    </row>
    <row r="1010" spans="3:6">
      <c r="C1010" s="259"/>
      <c r="D1010" s="261"/>
    </row>
    <row r="1011" spans="3:6" ht="30">
      <c r="C1011" s="259" t="s">
        <v>3295</v>
      </c>
      <c r="D1011" s="260">
        <v>44557</v>
      </c>
      <c r="E1011" s="95" t="s">
        <v>3296</v>
      </c>
      <c r="F1011" t="s">
        <v>3297</v>
      </c>
    </row>
    <row r="1012" spans="3:6">
      <c r="C1012" s="259"/>
      <c r="D1012" s="261"/>
    </row>
    <row r="1013" spans="3:6">
      <c r="C1013" s="259" t="s">
        <v>3298</v>
      </c>
      <c r="D1013" s="260">
        <v>44558</v>
      </c>
      <c r="E1013" s="95" t="s">
        <v>3299</v>
      </c>
      <c r="F1013" t="s">
        <v>3300</v>
      </c>
    </row>
    <row r="1014" spans="3:6">
      <c r="C1014" s="259"/>
      <c r="D1014" s="261"/>
    </row>
    <row r="1015" spans="3:6" ht="45">
      <c r="C1015" s="259" t="s">
        <v>3301</v>
      </c>
      <c r="D1015" s="260">
        <v>44560</v>
      </c>
      <c r="E1015" s="95" t="s">
        <v>3302</v>
      </c>
      <c r="F1015" t="s">
        <v>3303</v>
      </c>
    </row>
    <row r="1016" spans="3:6">
      <c r="C1016" s="259"/>
      <c r="D1016" s="261"/>
    </row>
    <row r="1017" spans="3:6">
      <c r="C1017" s="259" t="s">
        <v>3304</v>
      </c>
      <c r="D1017" s="260">
        <v>44561</v>
      </c>
      <c r="E1017" s="95" t="s">
        <v>3305</v>
      </c>
      <c r="F1017" t="s">
        <v>3306</v>
      </c>
    </row>
    <row r="1018" spans="3:6">
      <c r="C1018" s="259"/>
      <c r="D1018" s="261"/>
    </row>
    <row r="1019" spans="3:6">
      <c r="C1019" s="259" t="s">
        <v>3307</v>
      </c>
      <c r="D1019" s="260">
        <v>44561</v>
      </c>
      <c r="E1019" s="95" t="s">
        <v>294</v>
      </c>
      <c r="F1019" t="s">
        <v>3308</v>
      </c>
    </row>
    <row r="1020" spans="3:6">
      <c r="C1020" s="259"/>
      <c r="D1020" s="261"/>
    </row>
    <row r="1021" spans="3:6">
      <c r="C1021" s="259" t="s">
        <v>3309</v>
      </c>
      <c r="D1021" s="260">
        <v>44566</v>
      </c>
      <c r="E1021" s="95" t="s">
        <v>3310</v>
      </c>
      <c r="F1021" t="s">
        <v>3311</v>
      </c>
    </row>
    <row r="1022" spans="3:6">
      <c r="C1022" s="259"/>
      <c r="D1022" s="261"/>
    </row>
    <row r="1023" spans="3:6">
      <c r="C1023" s="259" t="s">
        <v>3317</v>
      </c>
      <c r="D1023" s="260">
        <v>44574</v>
      </c>
      <c r="E1023" s="95" t="s">
        <v>3318</v>
      </c>
      <c r="F1023" t="s">
        <v>3319</v>
      </c>
    </row>
    <row r="1024" spans="3:6">
      <c r="C1024" s="259"/>
      <c r="D1024" s="261"/>
    </row>
    <row r="1025" spans="3:6">
      <c r="C1025" s="259" t="s">
        <v>3320</v>
      </c>
      <c r="D1025" s="260">
        <v>44579</v>
      </c>
      <c r="E1025" s="95" t="s">
        <v>294</v>
      </c>
      <c r="F1025" t="s">
        <v>3321</v>
      </c>
    </row>
    <row r="1026" spans="3:6">
      <c r="C1026" s="259"/>
      <c r="D1026" s="261"/>
    </row>
    <row r="1027" spans="3:6">
      <c r="C1027" s="259" t="s">
        <v>3519</v>
      </c>
      <c r="D1027" s="260">
        <v>44558</v>
      </c>
      <c r="E1027" s="95" t="s">
        <v>3802</v>
      </c>
      <c r="F1027" t="s">
        <v>3520</v>
      </c>
    </row>
    <row r="1028" spans="3:6">
      <c r="C1028" s="259"/>
      <c r="D1028" s="261"/>
    </row>
    <row r="1029" spans="3:6">
      <c r="C1029" s="259" t="s">
        <v>3879</v>
      </c>
      <c r="D1029" s="260">
        <v>44613</v>
      </c>
      <c r="E1029" s="95" t="s">
        <v>3880</v>
      </c>
      <c r="F1029" t="s">
        <v>3881</v>
      </c>
    </row>
    <row r="1030" spans="3:6">
      <c r="C1030" s="259"/>
      <c r="D1030" s="261"/>
    </row>
    <row r="1031" spans="3:6">
      <c r="C1031" s="259" t="s">
        <v>4001</v>
      </c>
      <c r="D1031" s="260">
        <v>44690</v>
      </c>
      <c r="E1031" s="95" t="s">
        <v>4002</v>
      </c>
      <c r="F1031" t="s">
        <v>4003</v>
      </c>
    </row>
    <row r="1032" spans="3:6">
      <c r="C1032" s="259"/>
      <c r="D1032" s="261"/>
    </row>
    <row r="1033" spans="3:6">
      <c r="C1033" s="259" t="s">
        <v>4100</v>
      </c>
      <c r="D1033" s="260">
        <v>44716</v>
      </c>
      <c r="E1033" s="95" t="s">
        <v>4101</v>
      </c>
      <c r="F1033" t="s">
        <v>4102</v>
      </c>
    </row>
    <row r="1034" spans="3:6">
      <c r="C1034" s="259"/>
      <c r="D1034" s="261"/>
    </row>
    <row r="1035" spans="3:6">
      <c r="C1035" s="259" t="s">
        <v>4130</v>
      </c>
      <c r="D1035" s="260">
        <v>44442</v>
      </c>
      <c r="E1035" s="95" t="s">
        <v>4120</v>
      </c>
      <c r="F1035" t="s">
        <v>1387</v>
      </c>
    </row>
    <row r="1036" spans="3:6">
      <c r="C1036" s="259"/>
      <c r="D1036" s="260">
        <v>44807</v>
      </c>
      <c r="E1036" s="95" t="s">
        <v>4120</v>
      </c>
      <c r="F1036" t="s">
        <v>1387</v>
      </c>
    </row>
    <row r="1037" spans="3:6">
      <c r="C1037" s="259"/>
      <c r="D1037" s="261"/>
    </row>
    <row r="1038" spans="3:6">
      <c r="C1038" s="259" t="s">
        <v>4167</v>
      </c>
      <c r="D1038" s="260">
        <v>44932</v>
      </c>
      <c r="E1038" s="95" t="s">
        <v>4168</v>
      </c>
      <c r="F1038" t="s">
        <v>4169</v>
      </c>
    </row>
    <row r="1039" spans="3:6">
      <c r="C1039" s="259"/>
      <c r="D1039" s="261"/>
    </row>
    <row r="1040" spans="3:6">
      <c r="C1040" s="259" t="s">
        <v>4206</v>
      </c>
      <c r="D1040" s="260">
        <v>44980</v>
      </c>
      <c r="E1040" s="95" t="s">
        <v>4163</v>
      </c>
      <c r="F1040" t="s">
        <v>4207</v>
      </c>
    </row>
    <row r="1041" spans="3:6">
      <c r="C1041" s="259"/>
      <c r="D1041" s="261"/>
    </row>
    <row r="1042" spans="3:6">
      <c r="C1042" s="259" t="s">
        <v>4253</v>
      </c>
      <c r="D1042" s="260">
        <v>45021</v>
      </c>
      <c r="E1042" s="95" t="s">
        <v>4254</v>
      </c>
      <c r="F1042" t="s">
        <v>4255</v>
      </c>
    </row>
    <row r="1043" spans="3:6">
      <c r="C1043" s="259"/>
      <c r="D1043" s="261"/>
    </row>
    <row r="1044" spans="3:6">
      <c r="C1044" s="259" t="s">
        <v>4256</v>
      </c>
      <c r="D1044" s="260">
        <v>45022</v>
      </c>
      <c r="E1044" s="95" t="s">
        <v>4257</v>
      </c>
      <c r="F1044" t="s">
        <v>4258</v>
      </c>
    </row>
    <row r="1045" spans="3:6">
      <c r="C1045" s="259"/>
      <c r="D1045" s="261"/>
    </row>
    <row r="1046" spans="3:6">
      <c r="C1046" s="259" t="s">
        <v>4366</v>
      </c>
      <c r="D1046" s="260">
        <v>45078</v>
      </c>
      <c r="E1046" s="95" t="s">
        <v>2915</v>
      </c>
      <c r="F1046" t="s">
        <v>4367</v>
      </c>
    </row>
    <row r="1047" spans="3:6">
      <c r="C1047" s="259"/>
      <c r="D1047" s="261"/>
    </row>
    <row r="1048" spans="3:6">
      <c r="C1048" s="259" t="s">
        <v>4440</v>
      </c>
      <c r="D1048" s="260">
        <v>45139</v>
      </c>
      <c r="E1048" s="95" t="s">
        <v>4009</v>
      </c>
      <c r="F1048" t="s">
        <v>4374</v>
      </c>
    </row>
    <row r="1049" spans="3:6">
      <c r="C1049" s="259"/>
      <c r="D1049" s="261"/>
    </row>
    <row r="1050" spans="3:6" ht="30">
      <c r="C1050" s="259" t="s">
        <v>4558</v>
      </c>
      <c r="D1050" s="260">
        <v>45283</v>
      </c>
      <c r="E1050" s="95" t="s">
        <v>2870</v>
      </c>
      <c r="F1050" t="s">
        <v>4559</v>
      </c>
    </row>
    <row r="1051" spans="3:6">
      <c r="C1051" s="259"/>
      <c r="D1051" s="261"/>
    </row>
    <row r="1052" spans="3:6">
      <c r="D1052"/>
    </row>
    <row r="1053" spans="3:6">
      <c r="D1053"/>
    </row>
    <row r="1054" spans="3:6">
      <c r="D1054"/>
    </row>
    <row r="1055" spans="3:6">
      <c r="D1055"/>
    </row>
    <row r="1056" spans="3:6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  <row r="1485" spans="4:4">
      <c r="D1485"/>
    </row>
    <row r="1486" spans="4:4">
      <c r="D1486"/>
    </row>
    <row r="1487" spans="4:4">
      <c r="D1487"/>
    </row>
    <row r="1488" spans="4:4">
      <c r="D1488"/>
    </row>
    <row r="1489" spans="4:4">
      <c r="D1489"/>
    </row>
    <row r="1490" spans="4:4">
      <c r="D1490"/>
    </row>
    <row r="1491" spans="4:4">
      <c r="D1491"/>
    </row>
    <row r="1492" spans="4:4">
      <c r="D1492"/>
    </row>
    <row r="1493" spans="4:4">
      <c r="D1493"/>
    </row>
    <row r="1494" spans="4:4">
      <c r="D1494"/>
    </row>
    <row r="1495" spans="4:4">
      <c r="D1495"/>
    </row>
    <row r="1496" spans="4:4">
      <c r="D1496"/>
    </row>
    <row r="1497" spans="4:4">
      <c r="D1497"/>
    </row>
    <row r="1498" spans="4:4">
      <c r="D1498"/>
    </row>
    <row r="1499" spans="4:4">
      <c r="D1499"/>
    </row>
    <row r="1500" spans="4:4">
      <c r="D1500"/>
    </row>
    <row r="1501" spans="4:4">
      <c r="D1501"/>
    </row>
    <row r="1502" spans="4:4">
      <c r="D1502"/>
    </row>
    <row r="1503" spans="4:4">
      <c r="D1503"/>
    </row>
    <row r="1504" spans="4:4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>
      <c r="D1876"/>
    </row>
    <row r="1877" spans="4:4">
      <c r="D1877"/>
    </row>
    <row r="1878" spans="4:4">
      <c r="D1878"/>
    </row>
    <row r="1879" spans="4:4">
      <c r="D1879"/>
    </row>
    <row r="1880" spans="4:4">
      <c r="D1880"/>
    </row>
    <row r="1881" spans="4:4">
      <c r="D1881"/>
    </row>
    <row r="1882" spans="4:4">
      <c r="D1882"/>
    </row>
    <row r="1883" spans="4:4">
      <c r="D1883"/>
    </row>
    <row r="1884" spans="4:4">
      <c r="D1884"/>
    </row>
    <row r="1885" spans="4:4">
      <c r="D1885"/>
    </row>
    <row r="1886" spans="4:4">
      <c r="D1886"/>
    </row>
    <row r="1887" spans="4:4">
      <c r="D1887"/>
    </row>
    <row r="1888" spans="4:4">
      <c r="D1888"/>
    </row>
    <row r="1889" spans="4:4">
      <c r="D1889"/>
    </row>
    <row r="1890" spans="4:4">
      <c r="D1890"/>
    </row>
    <row r="1891" spans="4:4">
      <c r="D1891"/>
    </row>
    <row r="1892" spans="4:4">
      <c r="D1892"/>
    </row>
    <row r="1893" spans="4:4">
      <c r="D1893"/>
    </row>
    <row r="1894" spans="4:4">
      <c r="D1894"/>
    </row>
    <row r="1895" spans="4:4">
      <c r="D1895"/>
    </row>
    <row r="1896" spans="4:4">
      <c r="D1896"/>
    </row>
    <row r="1897" spans="4:4">
      <c r="D1897"/>
    </row>
    <row r="1898" spans="4:4">
      <c r="D1898"/>
    </row>
    <row r="1899" spans="4:4">
      <c r="D1899"/>
    </row>
    <row r="1900" spans="4:4">
      <c r="D1900"/>
    </row>
    <row r="1901" spans="4:4">
      <c r="D1901"/>
    </row>
    <row r="1902" spans="4:4">
      <c r="D1902"/>
    </row>
    <row r="1903" spans="4:4">
      <c r="D1903"/>
    </row>
    <row r="1904" spans="4:4">
      <c r="D1904"/>
    </row>
    <row r="1905" spans="4:4">
      <c r="D1905"/>
    </row>
    <row r="1906" spans="4:4">
      <c r="D1906"/>
    </row>
    <row r="1907" spans="4:4">
      <c r="D1907"/>
    </row>
    <row r="1908" spans="4:4">
      <c r="D1908"/>
    </row>
    <row r="1909" spans="4:4">
      <c r="D1909"/>
    </row>
    <row r="1910" spans="4:4">
      <c r="D1910"/>
    </row>
    <row r="1911" spans="4:4">
      <c r="D1911"/>
    </row>
    <row r="1912" spans="4:4">
      <c r="D1912"/>
    </row>
    <row r="1913" spans="4:4">
      <c r="D1913"/>
    </row>
    <row r="1914" spans="4:4">
      <c r="D1914"/>
    </row>
    <row r="1915" spans="4:4">
      <c r="D1915"/>
    </row>
    <row r="1916" spans="4:4">
      <c r="D1916"/>
    </row>
    <row r="1917" spans="4:4">
      <c r="D1917"/>
    </row>
    <row r="1918" spans="4:4">
      <c r="D1918"/>
    </row>
    <row r="1919" spans="4:4">
      <c r="D1919"/>
    </row>
    <row r="1920" spans="4:4">
      <c r="D1920"/>
    </row>
    <row r="1921" spans="4:4">
      <c r="D1921"/>
    </row>
    <row r="1922" spans="4:4">
      <c r="D1922"/>
    </row>
    <row r="1923" spans="4:4">
      <c r="D1923"/>
    </row>
    <row r="1924" spans="4:4">
      <c r="D1924"/>
    </row>
    <row r="1925" spans="4:4">
      <c r="D1925"/>
    </row>
    <row r="1926" spans="4:4">
      <c r="D1926"/>
    </row>
    <row r="1927" spans="4:4">
      <c r="D1927"/>
    </row>
    <row r="1928" spans="4:4">
      <c r="D1928"/>
    </row>
    <row r="1929" spans="4:4">
      <c r="D1929"/>
    </row>
    <row r="1930" spans="4:4">
      <c r="D1930"/>
    </row>
    <row r="1931" spans="4:4">
      <c r="D1931"/>
    </row>
    <row r="1932" spans="4:4">
      <c r="D1932"/>
    </row>
    <row r="1933" spans="4:4">
      <c r="D1933"/>
    </row>
    <row r="1934" spans="4:4">
      <c r="D1934"/>
    </row>
    <row r="1935" spans="4:4">
      <c r="D1935"/>
    </row>
    <row r="1936" spans="4:4">
      <c r="D1936"/>
    </row>
    <row r="1937" spans="4:4">
      <c r="D1937"/>
    </row>
    <row r="1938" spans="4:4">
      <c r="D1938"/>
    </row>
    <row r="1939" spans="4:4">
      <c r="D1939"/>
    </row>
    <row r="1940" spans="4:4">
      <c r="D1940"/>
    </row>
    <row r="1941" spans="4:4">
      <c r="D1941"/>
    </row>
    <row r="1942" spans="4:4">
      <c r="D1942"/>
    </row>
    <row r="1943" spans="4:4">
      <c r="D1943"/>
    </row>
    <row r="1944" spans="4:4">
      <c r="D1944"/>
    </row>
    <row r="1945" spans="4:4">
      <c r="D1945"/>
    </row>
    <row r="1946" spans="4:4">
      <c r="D1946"/>
    </row>
    <row r="1947" spans="4:4">
      <c r="D1947"/>
    </row>
    <row r="1948" spans="4:4">
      <c r="D1948"/>
    </row>
    <row r="1949" spans="4:4">
      <c r="D1949"/>
    </row>
    <row r="1950" spans="4:4">
      <c r="D1950"/>
    </row>
    <row r="1951" spans="4:4">
      <c r="D1951"/>
    </row>
    <row r="1952" spans="4:4">
      <c r="D1952"/>
    </row>
    <row r="1953" spans="4:4">
      <c r="D1953"/>
    </row>
    <row r="1954" spans="4:4">
      <c r="D1954"/>
    </row>
    <row r="1955" spans="4:4">
      <c r="D1955"/>
    </row>
    <row r="1956" spans="4:4">
      <c r="D1956"/>
    </row>
    <row r="1957" spans="4:4">
      <c r="D1957"/>
    </row>
    <row r="1958" spans="4:4">
      <c r="D1958"/>
    </row>
    <row r="1959" spans="4:4">
      <c r="D1959"/>
    </row>
    <row r="1960" spans="4:4">
      <c r="D1960"/>
    </row>
    <row r="1961" spans="4:4">
      <c r="D1961"/>
    </row>
    <row r="1962" spans="4:4">
      <c r="D1962"/>
    </row>
    <row r="1963" spans="4:4">
      <c r="D1963"/>
    </row>
    <row r="1964" spans="4:4">
      <c r="D1964"/>
    </row>
    <row r="1965" spans="4:4">
      <c r="D1965"/>
    </row>
    <row r="1966" spans="4:4">
      <c r="D1966"/>
    </row>
    <row r="1967" spans="4:4">
      <c r="D1967"/>
    </row>
    <row r="1968" spans="4:4">
      <c r="D1968"/>
    </row>
    <row r="1969" spans="4:4">
      <c r="D1969"/>
    </row>
    <row r="1970" spans="4:4">
      <c r="D1970"/>
    </row>
    <row r="1971" spans="4:4">
      <c r="D1971"/>
    </row>
    <row r="1972" spans="4:4">
      <c r="D1972"/>
    </row>
    <row r="1973" spans="4:4">
      <c r="D1973"/>
    </row>
    <row r="1974" spans="4:4">
      <c r="D1974"/>
    </row>
    <row r="1975" spans="4:4">
      <c r="D1975"/>
    </row>
    <row r="1976" spans="4:4">
      <c r="D1976"/>
    </row>
    <row r="1977" spans="4:4">
      <c r="D1977"/>
    </row>
    <row r="1978" spans="4:4">
      <c r="D1978"/>
    </row>
    <row r="1979" spans="4:4">
      <c r="D1979"/>
    </row>
    <row r="1980" spans="4:4">
      <c r="D1980"/>
    </row>
    <row r="1981" spans="4:4">
      <c r="D1981"/>
    </row>
    <row r="1982" spans="4:4">
      <c r="D1982"/>
    </row>
    <row r="1983" spans="4:4">
      <c r="D1983"/>
    </row>
    <row r="1984" spans="4:4">
      <c r="D1984"/>
    </row>
    <row r="1985" spans="4:4">
      <c r="D1985"/>
    </row>
    <row r="1986" spans="4:4">
      <c r="D1986"/>
    </row>
    <row r="1987" spans="4:4">
      <c r="D1987"/>
    </row>
    <row r="1988" spans="4:4">
      <c r="D1988"/>
    </row>
    <row r="1989" spans="4:4">
      <c r="D1989"/>
    </row>
    <row r="1990" spans="4:4">
      <c r="D1990"/>
    </row>
    <row r="1991" spans="4:4">
      <c r="D1991"/>
    </row>
    <row r="1992" spans="4:4">
      <c r="D1992"/>
    </row>
    <row r="1993" spans="4:4">
      <c r="D1993"/>
    </row>
    <row r="1994" spans="4:4">
      <c r="D1994"/>
    </row>
    <row r="1995" spans="4:4">
      <c r="D1995"/>
    </row>
    <row r="1996" spans="4:4">
      <c r="D1996"/>
    </row>
    <row r="1997" spans="4:4">
      <c r="D1997"/>
    </row>
    <row r="1998" spans="4:4">
      <c r="D1998"/>
    </row>
    <row r="1999" spans="4:4">
      <c r="D1999"/>
    </row>
    <row r="2000" spans="4:4">
      <c r="D2000"/>
    </row>
    <row r="2001" spans="4:4">
      <c r="D2001"/>
    </row>
    <row r="2002" spans="4:4">
      <c r="D2002"/>
    </row>
    <row r="2003" spans="4:4">
      <c r="D2003"/>
    </row>
    <row r="2004" spans="4:4">
      <c r="D2004"/>
    </row>
    <row r="2005" spans="4:4">
      <c r="D2005"/>
    </row>
    <row r="2006" spans="4:4">
      <c r="D2006"/>
    </row>
    <row r="2007" spans="4:4">
      <c r="D2007"/>
    </row>
    <row r="2008" spans="4:4">
      <c r="D2008"/>
    </row>
    <row r="2009" spans="4:4">
      <c r="D2009"/>
    </row>
    <row r="2010" spans="4:4">
      <c r="D2010"/>
    </row>
    <row r="2011" spans="4:4">
      <c r="D2011"/>
    </row>
    <row r="2012" spans="4:4">
      <c r="D2012"/>
    </row>
    <row r="2013" spans="4:4">
      <c r="D2013"/>
    </row>
    <row r="2014" spans="4:4">
      <c r="D2014"/>
    </row>
    <row r="2015" spans="4:4">
      <c r="D2015"/>
    </row>
    <row r="2016" spans="4:4">
      <c r="D2016"/>
    </row>
    <row r="2017" spans="4:4">
      <c r="D2017"/>
    </row>
    <row r="2018" spans="4:4">
      <c r="D2018"/>
    </row>
    <row r="2019" spans="4:4">
      <c r="D2019"/>
    </row>
    <row r="2020" spans="4:4">
      <c r="D2020"/>
    </row>
    <row r="2021" spans="4:4">
      <c r="D2021"/>
    </row>
    <row r="2022" spans="4:4">
      <c r="D2022"/>
    </row>
    <row r="2023" spans="4:4">
      <c r="D2023"/>
    </row>
    <row r="2024" spans="4:4">
      <c r="D2024"/>
    </row>
    <row r="2025" spans="4:4">
      <c r="D2025"/>
    </row>
    <row r="2026" spans="4:4">
      <c r="D2026"/>
    </row>
    <row r="2027" spans="4:4">
      <c r="D2027"/>
    </row>
    <row r="2028" spans="4:4">
      <c r="D2028"/>
    </row>
    <row r="2029" spans="4:4">
      <c r="D2029"/>
    </row>
    <row r="2030" spans="4:4">
      <c r="D2030"/>
    </row>
    <row r="2031" spans="4:4">
      <c r="D2031"/>
    </row>
    <row r="2032" spans="4:4">
      <c r="D2032"/>
    </row>
    <row r="2033" spans="4:4">
      <c r="D2033"/>
    </row>
    <row r="2034" spans="4:4">
      <c r="D2034"/>
    </row>
    <row r="2035" spans="4:4">
      <c r="D2035"/>
    </row>
    <row r="2036" spans="4:4">
      <c r="D2036"/>
    </row>
    <row r="2037" spans="4:4">
      <c r="D2037"/>
    </row>
    <row r="2038" spans="4:4">
      <c r="D2038"/>
    </row>
    <row r="2039" spans="4:4">
      <c r="D2039"/>
    </row>
    <row r="2040" spans="4:4">
      <c r="D2040"/>
    </row>
    <row r="2041" spans="4:4">
      <c r="D2041"/>
    </row>
    <row r="2042" spans="4:4">
      <c r="D2042"/>
    </row>
    <row r="2043" spans="4:4">
      <c r="D2043"/>
    </row>
    <row r="2044" spans="4:4">
      <c r="D2044"/>
    </row>
    <row r="2045" spans="4:4">
      <c r="D2045"/>
    </row>
    <row r="2046" spans="4:4">
      <c r="D2046"/>
    </row>
    <row r="2047" spans="4:4">
      <c r="D2047"/>
    </row>
    <row r="2048" spans="4:4">
      <c r="D2048"/>
    </row>
    <row r="2049" spans="4:4">
      <c r="D2049"/>
    </row>
    <row r="2050" spans="4:4">
      <c r="D2050"/>
    </row>
    <row r="2051" spans="4:4">
      <c r="D2051"/>
    </row>
    <row r="2052" spans="4:4">
      <c r="D2052"/>
    </row>
    <row r="2053" spans="4:4">
      <c r="D2053"/>
    </row>
    <row r="2054" spans="4:4">
      <c r="D2054"/>
    </row>
    <row r="2055" spans="4:4">
      <c r="D2055"/>
    </row>
    <row r="2056" spans="4:4">
      <c r="D2056"/>
    </row>
    <row r="2057" spans="4:4">
      <c r="D2057"/>
    </row>
    <row r="2058" spans="4:4">
      <c r="D2058"/>
    </row>
    <row r="2059" spans="4:4">
      <c r="D2059"/>
    </row>
    <row r="2060" spans="4:4">
      <c r="D2060"/>
    </row>
    <row r="2061" spans="4:4">
      <c r="D2061"/>
    </row>
    <row r="2062" spans="4:4">
      <c r="D2062"/>
    </row>
    <row r="2063" spans="4:4">
      <c r="D2063"/>
    </row>
    <row r="2064" spans="4:4">
      <c r="D2064"/>
    </row>
    <row r="2065" spans="4:4">
      <c r="D2065"/>
    </row>
    <row r="2066" spans="4:4">
      <c r="D2066"/>
    </row>
    <row r="2067" spans="4:4">
      <c r="D2067"/>
    </row>
    <row r="2068" spans="4:4">
      <c r="D2068"/>
    </row>
    <row r="2069" spans="4:4">
      <c r="D2069"/>
    </row>
    <row r="2070" spans="4:4">
      <c r="D2070"/>
    </row>
    <row r="2071" spans="4:4">
      <c r="D2071"/>
    </row>
    <row r="2072" spans="4:4">
      <c r="D2072"/>
    </row>
    <row r="2073" spans="4:4">
      <c r="D2073"/>
    </row>
    <row r="2074" spans="4:4">
      <c r="D2074"/>
    </row>
    <row r="2075" spans="4:4">
      <c r="D2075"/>
    </row>
    <row r="2076" spans="4:4">
      <c r="D2076"/>
    </row>
    <row r="2077" spans="4:4">
      <c r="D2077"/>
    </row>
    <row r="2078" spans="4:4">
      <c r="D2078"/>
    </row>
    <row r="2079" spans="4:4">
      <c r="D2079"/>
    </row>
    <row r="2080" spans="4:4">
      <c r="D2080"/>
    </row>
    <row r="2081" spans="4:4">
      <c r="D2081"/>
    </row>
    <row r="2082" spans="4:4">
      <c r="D2082"/>
    </row>
    <row r="2083" spans="4:4">
      <c r="D2083"/>
    </row>
    <row r="2084" spans="4:4">
      <c r="D2084"/>
    </row>
    <row r="2085" spans="4:4">
      <c r="D2085"/>
    </row>
    <row r="2086" spans="4:4">
      <c r="D2086"/>
    </row>
    <row r="2087" spans="4:4">
      <c r="D2087"/>
    </row>
    <row r="2088" spans="4:4">
      <c r="D2088"/>
    </row>
    <row r="2089" spans="4:4">
      <c r="D2089"/>
    </row>
    <row r="2090" spans="4:4">
      <c r="D2090"/>
    </row>
    <row r="2091" spans="4:4">
      <c r="D2091"/>
    </row>
    <row r="2092" spans="4:4">
      <c r="D2092"/>
    </row>
    <row r="2093" spans="4:4">
      <c r="D2093"/>
    </row>
    <row r="2094" spans="4:4">
      <c r="D2094"/>
    </row>
    <row r="2095" spans="4:4">
      <c r="D2095"/>
    </row>
    <row r="2096" spans="4:4">
      <c r="D2096"/>
    </row>
    <row r="2097" spans="4:4">
      <c r="D2097"/>
    </row>
    <row r="2098" spans="4:4">
      <c r="D2098"/>
    </row>
    <row r="2099" spans="4:4">
      <c r="D2099"/>
    </row>
    <row r="2100" spans="4:4">
      <c r="D2100"/>
    </row>
    <row r="2101" spans="4:4">
      <c r="D2101"/>
    </row>
    <row r="2102" spans="4:4">
      <c r="D2102"/>
    </row>
    <row r="2103" spans="4:4">
      <c r="D2103"/>
    </row>
    <row r="2104" spans="4:4">
      <c r="D2104"/>
    </row>
    <row r="2105" spans="4:4">
      <c r="D2105"/>
    </row>
    <row r="2106" spans="4:4">
      <c r="D2106"/>
    </row>
    <row r="2107" spans="4:4">
      <c r="D2107"/>
    </row>
    <row r="2108" spans="4:4">
      <c r="D2108"/>
    </row>
    <row r="2109" spans="4:4">
      <c r="D2109"/>
    </row>
    <row r="2110" spans="4:4">
      <c r="D2110"/>
    </row>
    <row r="2111" spans="4:4">
      <c r="D2111"/>
    </row>
    <row r="2112" spans="4:4">
      <c r="D2112"/>
    </row>
    <row r="2113" spans="4:4">
      <c r="D2113"/>
    </row>
    <row r="2114" spans="4:4">
      <c r="D2114"/>
    </row>
    <row r="2115" spans="4:4">
      <c r="D2115"/>
    </row>
    <row r="2116" spans="4:4">
      <c r="D2116"/>
    </row>
    <row r="2117" spans="4:4">
      <c r="D2117"/>
    </row>
    <row r="2118" spans="4:4">
      <c r="D2118"/>
    </row>
    <row r="2119" spans="4:4">
      <c r="D2119"/>
    </row>
    <row r="2120" spans="4:4">
      <c r="D2120"/>
    </row>
    <row r="2121" spans="4:4">
      <c r="D2121"/>
    </row>
    <row r="2122" spans="4:4">
      <c r="D2122"/>
    </row>
    <row r="2123" spans="4:4">
      <c r="D2123"/>
    </row>
    <row r="2124" spans="4:4">
      <c r="D2124"/>
    </row>
    <row r="2125" spans="4:4">
      <c r="D2125"/>
    </row>
    <row r="2126" spans="4:4">
      <c r="D2126"/>
    </row>
    <row r="2127" spans="4:4">
      <c r="D2127"/>
    </row>
    <row r="2128" spans="4:4">
      <c r="D2128"/>
    </row>
    <row r="2129" spans="4:4">
      <c r="D2129"/>
    </row>
    <row r="2130" spans="4:4">
      <c r="D2130"/>
    </row>
    <row r="2131" spans="4:4">
      <c r="D2131"/>
    </row>
    <row r="2132" spans="4:4">
      <c r="D2132"/>
    </row>
    <row r="2133" spans="4:4">
      <c r="D2133"/>
    </row>
    <row r="2134" spans="4:4">
      <c r="D2134"/>
    </row>
    <row r="2135" spans="4:4">
      <c r="D2135"/>
    </row>
    <row r="2136" spans="4:4">
      <c r="D2136"/>
    </row>
    <row r="2137" spans="4:4">
      <c r="D2137"/>
    </row>
    <row r="2138" spans="4:4">
      <c r="D2138"/>
    </row>
    <row r="2139" spans="4:4">
      <c r="D2139"/>
    </row>
    <row r="2140" spans="4:4">
      <c r="D2140"/>
    </row>
    <row r="2141" spans="4:4">
      <c r="D2141"/>
    </row>
    <row r="2142" spans="4:4">
      <c r="D2142"/>
    </row>
    <row r="2143" spans="4:4">
      <c r="D2143"/>
    </row>
    <row r="2144" spans="4:4">
      <c r="D2144"/>
    </row>
    <row r="2145" spans="4:4">
      <c r="D2145"/>
    </row>
    <row r="2146" spans="4:4">
      <c r="D2146"/>
    </row>
    <row r="2147" spans="4:4">
      <c r="D2147"/>
    </row>
    <row r="2148" spans="4:4">
      <c r="D2148"/>
    </row>
    <row r="2149" spans="4:4">
      <c r="D2149"/>
    </row>
    <row r="2150" spans="4:4">
      <c r="D2150"/>
    </row>
    <row r="2151" spans="4:4">
      <c r="D2151"/>
    </row>
    <row r="2152" spans="4:4">
      <c r="D2152"/>
    </row>
    <row r="2153" spans="4:4">
      <c r="D2153"/>
    </row>
    <row r="2154" spans="4:4">
      <c r="D2154"/>
    </row>
    <row r="2155" spans="4:4">
      <c r="D2155"/>
    </row>
    <row r="2156" spans="4:4">
      <c r="D2156"/>
    </row>
    <row r="2157" spans="4:4">
      <c r="D2157"/>
    </row>
    <row r="2158" spans="4:4">
      <c r="D2158"/>
    </row>
    <row r="2159" spans="4:4">
      <c r="D2159"/>
    </row>
    <row r="2160" spans="4:4">
      <c r="D2160"/>
    </row>
    <row r="2161" spans="4:4">
      <c r="D2161"/>
    </row>
    <row r="2162" spans="4:4">
      <c r="D2162"/>
    </row>
    <row r="2163" spans="4:4">
      <c r="D2163"/>
    </row>
    <row r="2164" spans="4:4">
      <c r="D2164"/>
    </row>
    <row r="2165" spans="4:4">
      <c r="D2165"/>
    </row>
    <row r="2166" spans="4:4">
      <c r="D2166"/>
    </row>
    <row r="2167" spans="4:4">
      <c r="D2167"/>
    </row>
    <row r="2168" spans="4:4">
      <c r="D2168"/>
    </row>
    <row r="2169" spans="4:4">
      <c r="D2169"/>
    </row>
    <row r="2170" spans="4:4">
      <c r="D2170"/>
    </row>
    <row r="2171" spans="4:4">
      <c r="D2171"/>
    </row>
    <row r="2172" spans="4:4">
      <c r="D2172"/>
    </row>
    <row r="2173" spans="4:4">
      <c r="D2173"/>
    </row>
    <row r="2174" spans="4:4">
      <c r="D2174"/>
    </row>
    <row r="2175" spans="4:4">
      <c r="D2175"/>
    </row>
    <row r="2176" spans="4:4">
      <c r="D2176"/>
    </row>
    <row r="2177" spans="4:4">
      <c r="D2177"/>
    </row>
    <row r="2178" spans="4:4">
      <c r="D2178"/>
    </row>
    <row r="2179" spans="4:4">
      <c r="D2179"/>
    </row>
    <row r="2180" spans="4:4">
      <c r="D2180"/>
    </row>
    <row r="2181" spans="4:4">
      <c r="D2181"/>
    </row>
    <row r="2182" spans="4:4">
      <c r="D2182"/>
    </row>
    <row r="2183" spans="4:4">
      <c r="D2183"/>
    </row>
    <row r="2184" spans="4:4">
      <c r="D2184"/>
    </row>
    <row r="2185" spans="4:4">
      <c r="D2185"/>
    </row>
    <row r="2186" spans="4:4">
      <c r="D2186"/>
    </row>
    <row r="2187" spans="4:4">
      <c r="D2187"/>
    </row>
    <row r="2188" spans="4:4">
      <c r="D2188"/>
    </row>
    <row r="2189" spans="4:4">
      <c r="D2189"/>
    </row>
    <row r="2190" spans="4:4">
      <c r="D2190"/>
    </row>
    <row r="2191" spans="4:4">
      <c r="D2191"/>
    </row>
    <row r="2192" spans="4:4">
      <c r="D2192"/>
    </row>
    <row r="2193" spans="4:4">
      <c r="D2193"/>
    </row>
    <row r="2194" spans="4:4">
      <c r="D2194"/>
    </row>
    <row r="2195" spans="4:4">
      <c r="D2195"/>
    </row>
    <row r="2196" spans="4:4">
      <c r="D2196"/>
    </row>
    <row r="2197" spans="4:4">
      <c r="D2197"/>
    </row>
    <row r="2198" spans="4:4">
      <c r="D2198"/>
    </row>
    <row r="2199" spans="4:4">
      <c r="D2199"/>
    </row>
    <row r="2200" spans="4:4">
      <c r="D2200"/>
    </row>
    <row r="2201" spans="4:4">
      <c r="D2201"/>
    </row>
    <row r="2202" spans="4:4">
      <c r="D2202"/>
    </row>
    <row r="2203" spans="4:4">
      <c r="D2203"/>
    </row>
    <row r="2204" spans="4:4">
      <c r="D2204"/>
    </row>
    <row r="2205" spans="4:4">
      <c r="D2205"/>
    </row>
    <row r="2206" spans="4:4">
      <c r="D2206"/>
    </row>
    <row r="2207" spans="4:4">
      <c r="D2207"/>
    </row>
    <row r="2208" spans="4:4">
      <c r="D2208"/>
    </row>
    <row r="2209" spans="4:4">
      <c r="D2209"/>
    </row>
    <row r="2210" spans="4:4">
      <c r="D2210"/>
    </row>
    <row r="2211" spans="4:4">
      <c r="D2211"/>
    </row>
    <row r="2212" spans="4:4">
      <c r="D2212"/>
    </row>
    <row r="2213" spans="4:4">
      <c r="D2213"/>
    </row>
    <row r="2214" spans="4:4">
      <c r="D2214"/>
    </row>
    <row r="2215" spans="4:4">
      <c r="D2215"/>
    </row>
    <row r="2216" spans="4:4">
      <c r="D2216"/>
    </row>
    <row r="2217" spans="4:4">
      <c r="D2217"/>
    </row>
    <row r="2218" spans="4:4">
      <c r="D2218"/>
    </row>
    <row r="2219" spans="4:4">
      <c r="D2219"/>
    </row>
    <row r="2220" spans="4:4">
      <c r="D2220"/>
    </row>
    <row r="2221" spans="4:4">
      <c r="D2221"/>
    </row>
    <row r="2222" spans="4:4">
      <c r="D2222"/>
    </row>
    <row r="2223" spans="4:4">
      <c r="D2223"/>
    </row>
    <row r="2224" spans="4:4">
      <c r="D2224"/>
    </row>
    <row r="2225" spans="4:4">
      <c r="D2225"/>
    </row>
    <row r="2226" spans="4:4">
      <c r="D2226"/>
    </row>
    <row r="2227" spans="4:4">
      <c r="D2227"/>
    </row>
    <row r="2228" spans="4:4">
      <c r="D2228"/>
    </row>
    <row r="2229" spans="4:4">
      <c r="D2229"/>
    </row>
    <row r="2230" spans="4:4">
      <c r="D2230"/>
    </row>
    <row r="2231" spans="4:4">
      <c r="D2231"/>
    </row>
    <row r="2232" spans="4:4">
      <c r="D2232"/>
    </row>
    <row r="2233" spans="4:4">
      <c r="D2233"/>
    </row>
    <row r="2234" spans="4:4">
      <c r="D2234"/>
    </row>
    <row r="2235" spans="4:4">
      <c r="D2235"/>
    </row>
    <row r="2236" spans="4:4">
      <c r="D2236"/>
    </row>
    <row r="2237" spans="4:4">
      <c r="D2237"/>
    </row>
    <row r="2238" spans="4:4">
      <c r="D2238"/>
    </row>
    <row r="2239" spans="4:4">
      <c r="D2239"/>
    </row>
    <row r="2240" spans="4:4">
      <c r="D2240"/>
    </row>
    <row r="2241" spans="4:4">
      <c r="D2241"/>
    </row>
    <row r="2242" spans="4:4">
      <c r="D2242"/>
    </row>
    <row r="2243" spans="4:4">
      <c r="D2243"/>
    </row>
    <row r="2244" spans="4:4">
      <c r="D2244"/>
    </row>
    <row r="2245" spans="4:4">
      <c r="D2245"/>
    </row>
    <row r="2246" spans="4:4">
      <c r="D2246"/>
    </row>
    <row r="2247" spans="4:4">
      <c r="D2247"/>
    </row>
    <row r="2248" spans="4:4">
      <c r="D2248"/>
    </row>
    <row r="2249" spans="4:4">
      <c r="D2249"/>
    </row>
    <row r="2250" spans="4:4">
      <c r="D2250"/>
    </row>
    <row r="2251" spans="4:4">
      <c r="D2251"/>
    </row>
    <row r="2252" spans="4:4">
      <c r="D2252"/>
    </row>
    <row r="2253" spans="4:4">
      <c r="D2253"/>
    </row>
    <row r="2254" spans="4:4">
      <c r="D2254"/>
    </row>
    <row r="2255" spans="4:4">
      <c r="D2255"/>
    </row>
    <row r="2256" spans="4:4">
      <c r="D2256"/>
    </row>
    <row r="2257" spans="4:4">
      <c r="D2257"/>
    </row>
    <row r="2258" spans="4:4">
      <c r="D2258"/>
    </row>
    <row r="2259" spans="4:4">
      <c r="D2259"/>
    </row>
    <row r="2260" spans="4:4">
      <c r="D2260"/>
    </row>
    <row r="2261" spans="4:4">
      <c r="D2261"/>
    </row>
    <row r="2262" spans="4:4">
      <c r="D2262"/>
    </row>
    <row r="2263" spans="4:4">
      <c r="D2263"/>
    </row>
    <row r="2264" spans="4:4">
      <c r="D2264"/>
    </row>
    <row r="2265" spans="4:4">
      <c r="D2265"/>
    </row>
    <row r="2266" spans="4:4">
      <c r="D2266"/>
    </row>
    <row r="2267" spans="4:4">
      <c r="D2267"/>
    </row>
    <row r="2268" spans="4:4">
      <c r="D2268"/>
    </row>
    <row r="2269" spans="4:4">
      <c r="D2269"/>
    </row>
    <row r="2270" spans="4:4">
      <c r="D2270"/>
    </row>
    <row r="2271" spans="4:4">
      <c r="D2271"/>
    </row>
    <row r="2272" spans="4:4">
      <c r="D2272"/>
    </row>
    <row r="2273" spans="4:4">
      <c r="D2273"/>
    </row>
    <row r="2274" spans="4:4">
      <c r="D2274"/>
    </row>
    <row r="2275" spans="4:4">
      <c r="D2275"/>
    </row>
    <row r="2276" spans="4:4">
      <c r="D2276"/>
    </row>
    <row r="2277" spans="4:4">
      <c r="D2277"/>
    </row>
    <row r="2278" spans="4:4">
      <c r="D2278"/>
    </row>
    <row r="2279" spans="4:4">
      <c r="D2279"/>
    </row>
    <row r="2280" spans="4:4">
      <c r="D2280"/>
    </row>
    <row r="2281" spans="4:4">
      <c r="D2281"/>
    </row>
    <row r="2282" spans="4:4">
      <c r="D2282"/>
    </row>
    <row r="2283" spans="4:4">
      <c r="D2283"/>
    </row>
    <row r="2284" spans="4:4">
      <c r="D2284"/>
    </row>
    <row r="2285" spans="4:4">
      <c r="D2285"/>
    </row>
    <row r="2286" spans="4:4">
      <c r="D2286"/>
    </row>
    <row r="2287" spans="4:4">
      <c r="D2287"/>
    </row>
    <row r="2288" spans="4:4">
      <c r="D2288"/>
    </row>
    <row r="2289" spans="4:4">
      <c r="D2289"/>
    </row>
    <row r="2290" spans="4:4">
      <c r="D2290"/>
    </row>
    <row r="2291" spans="4:4">
      <c r="D2291"/>
    </row>
    <row r="2292" spans="4:4">
      <c r="D2292"/>
    </row>
    <row r="2293" spans="4:4">
      <c r="D2293"/>
    </row>
    <row r="2294" spans="4:4">
      <c r="D2294"/>
    </row>
    <row r="2295" spans="4:4">
      <c r="D2295"/>
    </row>
    <row r="2296" spans="4:4">
      <c r="D2296"/>
    </row>
    <row r="2297" spans="4:4">
      <c r="D2297"/>
    </row>
    <row r="2298" spans="4:4">
      <c r="D2298"/>
    </row>
    <row r="2299" spans="4:4">
      <c r="D2299"/>
    </row>
    <row r="2300" spans="4:4">
      <c r="D2300"/>
    </row>
    <row r="2301" spans="4:4">
      <c r="D2301"/>
    </row>
    <row r="2302" spans="4:4">
      <c r="D2302"/>
    </row>
    <row r="2303" spans="4:4">
      <c r="D2303"/>
    </row>
    <row r="2304" spans="4:4">
      <c r="D2304"/>
    </row>
    <row r="2305" spans="4:4">
      <c r="D2305"/>
    </row>
    <row r="2306" spans="4:4">
      <c r="D2306"/>
    </row>
    <row r="2307" spans="4:4">
      <c r="D2307"/>
    </row>
    <row r="2308" spans="4:4">
      <c r="D2308"/>
    </row>
    <row r="2309" spans="4:4">
      <c r="D2309"/>
    </row>
    <row r="2310" spans="4:4">
      <c r="D2310"/>
    </row>
    <row r="2311" spans="4:4">
      <c r="D2311"/>
    </row>
    <row r="2312" spans="4:4">
      <c r="D2312"/>
    </row>
    <row r="2313" spans="4:4">
      <c r="D2313"/>
    </row>
    <row r="2314" spans="4:4">
      <c r="D2314"/>
    </row>
    <row r="2315" spans="4:4">
      <c r="D2315"/>
    </row>
    <row r="2316" spans="4:4">
      <c r="D2316"/>
    </row>
    <row r="2317" spans="4:4">
      <c r="D2317"/>
    </row>
    <row r="2318" spans="4:4">
      <c r="D2318"/>
    </row>
    <row r="2319" spans="4:4">
      <c r="D2319"/>
    </row>
    <row r="2320" spans="4:4">
      <c r="D2320"/>
    </row>
    <row r="2321" spans="4:4">
      <c r="D2321"/>
    </row>
    <row r="2322" spans="4:4">
      <c r="D2322"/>
    </row>
    <row r="2323" spans="4:4">
      <c r="D2323"/>
    </row>
    <row r="2324" spans="4:4">
      <c r="D2324"/>
    </row>
    <row r="2325" spans="4:4">
      <c r="D2325"/>
    </row>
    <row r="2326" spans="4:4">
      <c r="D2326"/>
    </row>
    <row r="2327" spans="4:4">
      <c r="D2327"/>
    </row>
    <row r="2328" spans="4:4">
      <c r="D2328"/>
    </row>
    <row r="2329" spans="4:4">
      <c r="D2329"/>
    </row>
    <row r="2330" spans="4:4">
      <c r="D2330"/>
    </row>
    <row r="2331" spans="4:4">
      <c r="D2331"/>
    </row>
    <row r="2332" spans="4:4">
      <c r="D2332"/>
    </row>
    <row r="2333" spans="4:4">
      <c r="D2333"/>
    </row>
    <row r="2334" spans="4:4">
      <c r="D2334"/>
    </row>
    <row r="2335" spans="4:4">
      <c r="D2335"/>
    </row>
    <row r="2336" spans="4:4">
      <c r="D2336"/>
    </row>
    <row r="2337" spans="4:4">
      <c r="D2337"/>
    </row>
    <row r="2338" spans="4:4">
      <c r="D2338"/>
    </row>
    <row r="2339" spans="4:4">
      <c r="D2339"/>
    </row>
    <row r="2340" spans="4:4">
      <c r="D2340"/>
    </row>
    <row r="2341" spans="4:4">
      <c r="D2341"/>
    </row>
    <row r="2342" spans="4:4">
      <c r="D2342"/>
    </row>
    <row r="2343" spans="4:4">
      <c r="D2343"/>
    </row>
    <row r="2344" spans="4:4">
      <c r="D2344"/>
    </row>
    <row r="2345" spans="4:4">
      <c r="D2345"/>
    </row>
    <row r="2346" spans="4:4">
      <c r="D2346"/>
    </row>
    <row r="2347" spans="4:4">
      <c r="D2347"/>
    </row>
    <row r="2348" spans="4:4">
      <c r="D2348"/>
    </row>
    <row r="2349" spans="4:4">
      <c r="D2349"/>
    </row>
    <row r="2350" spans="4:4">
      <c r="D2350"/>
    </row>
    <row r="2351" spans="4:4">
      <c r="D2351"/>
    </row>
    <row r="2352" spans="4:4">
      <c r="D2352"/>
    </row>
    <row r="2353" spans="4:4">
      <c r="D2353"/>
    </row>
    <row r="2354" spans="4:4">
      <c r="D2354"/>
    </row>
    <row r="2355" spans="4:4">
      <c r="D2355"/>
    </row>
    <row r="2356" spans="4:4">
      <c r="D2356"/>
    </row>
    <row r="2357" spans="4:4">
      <c r="D2357"/>
    </row>
    <row r="2358" spans="4:4">
      <c r="D2358"/>
    </row>
    <row r="2359" spans="4:4">
      <c r="D2359"/>
    </row>
    <row r="2360" spans="4:4">
      <c r="D2360"/>
    </row>
    <row r="2361" spans="4:4">
      <c r="D2361"/>
    </row>
    <row r="2362" spans="4:4">
      <c r="D2362"/>
    </row>
    <row r="2363" spans="4:4">
      <c r="D2363"/>
    </row>
    <row r="2364" spans="4:4">
      <c r="D2364"/>
    </row>
    <row r="2365" spans="4:4">
      <c r="D2365"/>
    </row>
    <row r="2366" spans="4:4">
      <c r="D2366"/>
    </row>
    <row r="2367" spans="4:4">
      <c r="D2367"/>
    </row>
    <row r="2368" spans="4:4">
      <c r="D2368"/>
    </row>
    <row r="2369" spans="4:4">
      <c r="D2369"/>
    </row>
    <row r="2370" spans="4:4">
      <c r="D2370"/>
    </row>
    <row r="2371" spans="4:4">
      <c r="D2371"/>
    </row>
    <row r="2372" spans="4:4">
      <c r="D2372"/>
    </row>
    <row r="2373" spans="4:4">
      <c r="D2373"/>
    </row>
    <row r="2374" spans="4:4">
      <c r="D2374"/>
    </row>
    <row r="2375" spans="4:4">
      <c r="D2375"/>
    </row>
    <row r="2376" spans="4:4">
      <c r="D2376"/>
    </row>
    <row r="2377" spans="4:4">
      <c r="D2377"/>
    </row>
    <row r="2378" spans="4:4">
      <c r="D2378"/>
    </row>
    <row r="2379" spans="4:4">
      <c r="D2379"/>
    </row>
    <row r="2380" spans="4:4">
      <c r="D2380"/>
    </row>
    <row r="2381" spans="4:4">
      <c r="D2381"/>
    </row>
    <row r="2382" spans="4:4">
      <c r="D2382"/>
    </row>
    <row r="2383" spans="4:4">
      <c r="D2383"/>
    </row>
    <row r="2384" spans="4:4">
      <c r="D2384"/>
    </row>
    <row r="2385" spans="4:4">
      <c r="D2385"/>
    </row>
    <row r="2386" spans="4:4">
      <c r="D2386"/>
    </row>
    <row r="2387" spans="4:4">
      <c r="D2387"/>
    </row>
    <row r="2388" spans="4:4">
      <c r="D2388"/>
    </row>
    <row r="2389" spans="4:4">
      <c r="D2389"/>
    </row>
    <row r="2390" spans="4:4">
      <c r="D2390"/>
    </row>
    <row r="2391" spans="4:4">
      <c r="D2391"/>
    </row>
    <row r="2392" spans="4:4">
      <c r="D2392"/>
    </row>
    <row r="2393" spans="4:4">
      <c r="D2393"/>
    </row>
    <row r="2394" spans="4:4">
      <c r="D2394"/>
    </row>
    <row r="2395" spans="4:4">
      <c r="D2395"/>
    </row>
    <row r="2396" spans="4:4">
      <c r="D2396"/>
    </row>
    <row r="2397" spans="4:4">
      <c r="D2397"/>
    </row>
    <row r="2398" spans="4:4">
      <c r="D2398"/>
    </row>
    <row r="2399" spans="4:4">
      <c r="D2399"/>
    </row>
    <row r="2400" spans="4:4">
      <c r="D2400"/>
    </row>
    <row r="2401" spans="4:4">
      <c r="D2401"/>
    </row>
    <row r="2402" spans="4:4">
      <c r="D2402"/>
    </row>
    <row r="2403" spans="4:4">
      <c r="D2403"/>
    </row>
    <row r="2404" spans="4:4">
      <c r="D2404"/>
    </row>
    <row r="2405" spans="4:4">
      <c r="D2405"/>
    </row>
    <row r="2406" spans="4:4">
      <c r="D2406"/>
    </row>
    <row r="2407" spans="4:4">
      <c r="D2407"/>
    </row>
    <row r="2408" spans="4:4">
      <c r="D2408"/>
    </row>
    <row r="2409" spans="4:4">
      <c r="D2409"/>
    </row>
    <row r="2410" spans="4:4">
      <c r="D2410"/>
    </row>
    <row r="2411" spans="4:4">
      <c r="D2411"/>
    </row>
    <row r="2412" spans="4:4">
      <c r="D2412"/>
    </row>
    <row r="2413" spans="4:4">
      <c r="D2413"/>
    </row>
    <row r="2414" spans="4:4">
      <c r="D2414"/>
    </row>
    <row r="2415" spans="4:4">
      <c r="D2415"/>
    </row>
    <row r="2416" spans="4:4">
      <c r="D2416"/>
    </row>
    <row r="2417" spans="4:4">
      <c r="D2417"/>
    </row>
    <row r="2418" spans="4:4">
      <c r="D2418"/>
    </row>
    <row r="2419" spans="4:4">
      <c r="D2419"/>
    </row>
    <row r="2420" spans="4:4">
      <c r="D2420"/>
    </row>
    <row r="2421" spans="4:4">
      <c r="D2421"/>
    </row>
    <row r="2422" spans="4:4">
      <c r="D2422"/>
    </row>
    <row r="2423" spans="4:4">
      <c r="D2423"/>
    </row>
    <row r="2424" spans="4:4">
      <c r="D2424"/>
    </row>
    <row r="2425" spans="4:4">
      <c r="D2425"/>
    </row>
    <row r="2426" spans="4:4">
      <c r="D2426"/>
    </row>
    <row r="2427" spans="4:4">
      <c r="D2427"/>
    </row>
    <row r="2428" spans="4:4">
      <c r="D2428"/>
    </row>
    <row r="2429" spans="4:4">
      <c r="D2429"/>
    </row>
    <row r="2430" spans="4:4">
      <c r="D2430"/>
    </row>
    <row r="2431" spans="4:4">
      <c r="D2431"/>
    </row>
    <row r="2432" spans="4:4">
      <c r="D2432"/>
    </row>
    <row r="2433" spans="4:4">
      <c r="D2433"/>
    </row>
    <row r="2434" spans="4:4">
      <c r="D2434"/>
    </row>
    <row r="2435" spans="4:4">
      <c r="D2435"/>
    </row>
    <row r="2436" spans="4:4">
      <c r="D2436"/>
    </row>
    <row r="2437" spans="4:4">
      <c r="D2437"/>
    </row>
    <row r="2438" spans="4:4">
      <c r="D2438"/>
    </row>
    <row r="2439" spans="4:4">
      <c r="D2439"/>
    </row>
    <row r="2440" spans="4:4">
      <c r="D2440"/>
    </row>
    <row r="2441" spans="4:4">
      <c r="D2441"/>
    </row>
    <row r="2442" spans="4:4">
      <c r="D2442"/>
    </row>
    <row r="2443" spans="4:4">
      <c r="D2443"/>
    </row>
    <row r="2444" spans="4:4">
      <c r="D2444"/>
    </row>
    <row r="2445" spans="4:4">
      <c r="D2445"/>
    </row>
    <row r="2446" spans="4:4">
      <c r="D2446"/>
    </row>
    <row r="2447" spans="4:4">
      <c r="D2447"/>
    </row>
    <row r="2448" spans="4:4">
      <c r="D2448"/>
    </row>
    <row r="2449" spans="4:4">
      <c r="D2449"/>
    </row>
    <row r="2450" spans="4:4">
      <c r="D2450"/>
    </row>
    <row r="2451" spans="4:4">
      <c r="D2451"/>
    </row>
    <row r="2452" spans="4:4">
      <c r="D2452"/>
    </row>
    <row r="2453" spans="4:4">
      <c r="D2453"/>
    </row>
    <row r="2454" spans="4:4">
      <c r="D2454"/>
    </row>
    <row r="2455" spans="4:4">
      <c r="D2455"/>
    </row>
    <row r="2456" spans="4:4">
      <c r="D2456"/>
    </row>
    <row r="2457" spans="4:4">
      <c r="D2457"/>
    </row>
    <row r="2458" spans="4:4">
      <c r="D2458"/>
    </row>
    <row r="2459" spans="4:4">
      <c r="D2459"/>
    </row>
    <row r="2460" spans="4:4">
      <c r="D2460"/>
    </row>
    <row r="2461" spans="4:4">
      <c r="D2461"/>
    </row>
    <row r="2462" spans="4:4">
      <c r="D2462"/>
    </row>
    <row r="2463" spans="4:4">
      <c r="D2463"/>
    </row>
    <row r="2464" spans="4:4">
      <c r="D2464"/>
    </row>
    <row r="2465" spans="4:4">
      <c r="D2465"/>
    </row>
    <row r="2466" spans="4:4">
      <c r="D2466"/>
    </row>
    <row r="2467" spans="4:4">
      <c r="D2467"/>
    </row>
    <row r="2468" spans="4:4">
      <c r="D2468"/>
    </row>
    <row r="2469" spans="4:4">
      <c r="D2469"/>
    </row>
    <row r="2470" spans="4:4">
      <c r="D2470"/>
    </row>
    <row r="2471" spans="4:4">
      <c r="D2471"/>
    </row>
    <row r="2472" spans="4:4">
      <c r="D2472"/>
    </row>
    <row r="2473" spans="4:4">
      <c r="D2473"/>
    </row>
    <row r="2474" spans="4:4">
      <c r="D2474"/>
    </row>
    <row r="2475" spans="4:4">
      <c r="D2475"/>
    </row>
    <row r="2476" spans="4:4">
      <c r="D2476"/>
    </row>
    <row r="2477" spans="4:4">
      <c r="D2477"/>
    </row>
    <row r="2478" spans="4:4">
      <c r="D2478"/>
    </row>
    <row r="2479" spans="4:4">
      <c r="D2479"/>
    </row>
    <row r="2480" spans="4:4">
      <c r="D2480"/>
    </row>
    <row r="2481" spans="4:4">
      <c r="D2481"/>
    </row>
    <row r="2482" spans="4:4">
      <c r="D2482"/>
    </row>
    <row r="2483" spans="4:4">
      <c r="D2483"/>
    </row>
    <row r="2484" spans="4:4">
      <c r="D2484"/>
    </row>
    <row r="2485" spans="4:4">
      <c r="D2485"/>
    </row>
    <row r="2486" spans="4:4">
      <c r="D2486"/>
    </row>
    <row r="2487" spans="4:4">
      <c r="D2487"/>
    </row>
    <row r="2488" spans="4:4">
      <c r="D2488"/>
    </row>
    <row r="2489" spans="4:4">
      <c r="D2489"/>
    </row>
    <row r="2490" spans="4:4">
      <c r="D2490"/>
    </row>
    <row r="2491" spans="4:4">
      <c r="D2491"/>
    </row>
    <row r="2492" spans="4:4">
      <c r="D2492"/>
    </row>
    <row r="2493" spans="4:4">
      <c r="D2493"/>
    </row>
    <row r="2494" spans="4:4">
      <c r="D2494"/>
    </row>
    <row r="2495" spans="4:4">
      <c r="D2495"/>
    </row>
    <row r="2496" spans="4:4">
      <c r="D2496"/>
    </row>
    <row r="2497" spans="4:4">
      <c r="D2497"/>
    </row>
    <row r="2498" spans="4:4">
      <c r="D2498"/>
    </row>
    <row r="2499" spans="4:4">
      <c r="D2499"/>
    </row>
    <row r="2500" spans="4:4">
      <c r="D2500"/>
    </row>
    <row r="2501" spans="4:4">
      <c r="D2501"/>
    </row>
    <row r="2502" spans="4:4">
      <c r="D2502"/>
    </row>
    <row r="2503" spans="4:4">
      <c r="D2503"/>
    </row>
    <row r="2504" spans="4:4">
      <c r="D2504"/>
    </row>
    <row r="2505" spans="4:4">
      <c r="D2505"/>
    </row>
    <row r="2506" spans="4:4">
      <c r="D2506"/>
    </row>
    <row r="2507" spans="4:4">
      <c r="D2507"/>
    </row>
    <row r="2508" spans="4:4">
      <c r="D2508"/>
    </row>
    <row r="2509" spans="4:4">
      <c r="D2509"/>
    </row>
    <row r="2510" spans="4:4">
      <c r="D2510"/>
    </row>
    <row r="2511" spans="4:4">
      <c r="D2511"/>
    </row>
    <row r="2512" spans="4:4">
      <c r="D2512"/>
    </row>
    <row r="2513" spans="4:4">
      <c r="D2513"/>
    </row>
    <row r="2514" spans="4:4">
      <c r="D2514"/>
    </row>
    <row r="2515" spans="4:4">
      <c r="D2515"/>
    </row>
    <row r="2516" spans="4:4">
      <c r="D2516"/>
    </row>
    <row r="2517" spans="4:4">
      <c r="D2517"/>
    </row>
    <row r="2518" spans="4:4">
      <c r="D2518"/>
    </row>
    <row r="2519" spans="4:4">
      <c r="D2519"/>
    </row>
    <row r="2520" spans="4:4">
      <c r="D2520"/>
    </row>
    <row r="2521" spans="4:4">
      <c r="D2521"/>
    </row>
    <row r="2522" spans="4:4">
      <c r="D2522"/>
    </row>
    <row r="2523" spans="4:4">
      <c r="D2523"/>
    </row>
    <row r="2524" spans="4:4">
      <c r="D2524"/>
    </row>
    <row r="2525" spans="4:4">
      <c r="D2525"/>
    </row>
    <row r="2526" spans="4:4">
      <c r="D2526"/>
    </row>
    <row r="2527" spans="4:4">
      <c r="D2527"/>
    </row>
    <row r="2528" spans="4:4">
      <c r="D2528"/>
    </row>
    <row r="2529" spans="4:4">
      <c r="D2529"/>
    </row>
    <row r="2530" spans="4:4">
      <c r="D2530"/>
    </row>
    <row r="2531" spans="4:4">
      <c r="D2531"/>
    </row>
    <row r="2532" spans="4:4">
      <c r="D2532"/>
    </row>
    <row r="2533" spans="4:4">
      <c r="D2533"/>
    </row>
    <row r="2534" spans="4:4">
      <c r="D2534"/>
    </row>
    <row r="2535" spans="4:4">
      <c r="D2535"/>
    </row>
    <row r="2536" spans="4:4">
      <c r="D2536"/>
    </row>
    <row r="2537" spans="4:4">
      <c r="D2537"/>
    </row>
    <row r="2538" spans="4:4">
      <c r="D2538"/>
    </row>
    <row r="2539" spans="4:4">
      <c r="D2539"/>
    </row>
    <row r="2540" spans="4:4">
      <c r="D2540"/>
    </row>
    <row r="2541" spans="4:4">
      <c r="D2541"/>
    </row>
    <row r="2542" spans="4:4">
      <c r="D2542"/>
    </row>
    <row r="2543" spans="4:4">
      <c r="D2543"/>
    </row>
    <row r="2544" spans="4:4">
      <c r="D2544"/>
    </row>
    <row r="2545" spans="4:4">
      <c r="D2545"/>
    </row>
    <row r="2546" spans="4:4">
      <c r="D2546"/>
    </row>
    <row r="2547" spans="4:4">
      <c r="D2547"/>
    </row>
    <row r="2548" spans="4:4">
      <c r="D2548"/>
    </row>
    <row r="2549" spans="4:4">
      <c r="D2549"/>
    </row>
    <row r="2550" spans="4:4">
      <c r="D2550"/>
    </row>
    <row r="2551" spans="4:4">
      <c r="D2551"/>
    </row>
    <row r="2552" spans="4:4">
      <c r="D2552"/>
    </row>
    <row r="2553" spans="4:4">
      <c r="D2553"/>
    </row>
    <row r="2554" spans="4:4">
      <c r="D2554"/>
    </row>
    <row r="2555" spans="4:4">
      <c r="D2555"/>
    </row>
    <row r="2556" spans="4:4">
      <c r="D2556"/>
    </row>
    <row r="2557" spans="4:4">
      <c r="D2557"/>
    </row>
    <row r="2558" spans="4:4">
      <c r="D2558"/>
    </row>
    <row r="2559" spans="4:4">
      <c r="D2559"/>
    </row>
    <row r="2560" spans="4:4">
      <c r="D2560"/>
    </row>
    <row r="2561" spans="4:4">
      <c r="D2561"/>
    </row>
    <row r="2562" spans="4:4">
      <c r="D2562"/>
    </row>
    <row r="2563" spans="4:4">
      <c r="D2563"/>
    </row>
    <row r="2564" spans="4:4">
      <c r="D2564"/>
    </row>
    <row r="2565" spans="4:4">
      <c r="D2565"/>
    </row>
    <row r="2566" spans="4:4">
      <c r="D2566"/>
    </row>
    <row r="2567" spans="4:4">
      <c r="D2567"/>
    </row>
    <row r="2568" spans="4:4">
      <c r="D2568"/>
    </row>
    <row r="2569" spans="4:4">
      <c r="D2569"/>
    </row>
    <row r="2570" spans="4:4">
      <c r="D2570"/>
    </row>
    <row r="2571" spans="4:4">
      <c r="D2571"/>
    </row>
    <row r="2572" spans="4:4">
      <c r="D2572"/>
    </row>
    <row r="2573" spans="4:4">
      <c r="D2573"/>
    </row>
    <row r="2574" spans="4:4">
      <c r="D2574"/>
    </row>
    <row r="2575" spans="4:4">
      <c r="D2575"/>
    </row>
    <row r="2576" spans="4:4">
      <c r="D2576"/>
    </row>
    <row r="2577" spans="4:4">
      <c r="D2577"/>
    </row>
    <row r="2578" spans="4:4">
      <c r="D2578"/>
    </row>
    <row r="2579" spans="4:4">
      <c r="D2579"/>
    </row>
    <row r="2580" spans="4:4">
      <c r="D2580"/>
    </row>
    <row r="2581" spans="4:4">
      <c r="D2581"/>
    </row>
    <row r="2582" spans="4:4">
      <c r="D2582"/>
    </row>
    <row r="2583" spans="4:4">
      <c r="D2583"/>
    </row>
    <row r="2584" spans="4:4">
      <c r="D2584"/>
    </row>
    <row r="2585" spans="4:4">
      <c r="D2585"/>
    </row>
    <row r="2586" spans="4:4">
      <c r="D2586"/>
    </row>
    <row r="2587" spans="4:4">
      <c r="D2587"/>
    </row>
    <row r="2588" spans="4:4">
      <c r="D2588"/>
    </row>
    <row r="2589" spans="4:4">
      <c r="D2589"/>
    </row>
    <row r="2590" spans="4:4">
      <c r="D2590"/>
    </row>
    <row r="2591" spans="4:4">
      <c r="D2591"/>
    </row>
    <row r="2592" spans="4:4">
      <c r="D2592"/>
    </row>
    <row r="2593" spans="4:4">
      <c r="D2593"/>
    </row>
    <row r="2594" spans="4:4">
      <c r="D2594"/>
    </row>
    <row r="2595" spans="4:4">
      <c r="D2595"/>
    </row>
    <row r="2596" spans="4:4">
      <c r="D2596"/>
    </row>
    <row r="2597" spans="4:4">
      <c r="D2597"/>
    </row>
    <row r="2598" spans="4:4">
      <c r="D2598"/>
    </row>
    <row r="2599" spans="4:4">
      <c r="D2599"/>
    </row>
    <row r="2600" spans="4:4">
      <c r="D2600"/>
    </row>
    <row r="2601" spans="4:4">
      <c r="D2601"/>
    </row>
    <row r="2602" spans="4:4">
      <c r="D2602"/>
    </row>
    <row r="2603" spans="4:4">
      <c r="D2603"/>
    </row>
    <row r="2604" spans="4:4">
      <c r="D2604"/>
    </row>
    <row r="2605" spans="4:4">
      <c r="D2605"/>
    </row>
    <row r="2606" spans="4:4">
      <c r="D2606"/>
    </row>
    <row r="2607" spans="4:4">
      <c r="D2607"/>
    </row>
    <row r="2608" spans="4:4">
      <c r="D2608"/>
    </row>
    <row r="2609" spans="4:4">
      <c r="D2609"/>
    </row>
    <row r="2610" spans="4:4">
      <c r="D2610"/>
    </row>
    <row r="2611" spans="4:4">
      <c r="D2611"/>
    </row>
    <row r="2612" spans="4:4">
      <c r="D2612"/>
    </row>
    <row r="2613" spans="4:4">
      <c r="D2613"/>
    </row>
    <row r="2614" spans="4:4">
      <c r="D2614"/>
    </row>
    <row r="2615" spans="4:4">
      <c r="D2615"/>
    </row>
    <row r="2616" spans="4:4">
      <c r="D2616"/>
    </row>
    <row r="2617" spans="4:4">
      <c r="D2617"/>
    </row>
    <row r="2618" spans="4:4">
      <c r="D2618"/>
    </row>
    <row r="2619" spans="4:4">
      <c r="D2619"/>
    </row>
    <row r="2620" spans="4:4">
      <c r="D2620"/>
    </row>
    <row r="2621" spans="4:4">
      <c r="D2621"/>
    </row>
    <row r="2622" spans="4:4">
      <c r="D2622"/>
    </row>
    <row r="2623" spans="4:4">
      <c r="D2623"/>
    </row>
    <row r="2624" spans="4:4">
      <c r="D2624"/>
    </row>
    <row r="2625" spans="4:4">
      <c r="D2625"/>
    </row>
    <row r="2626" spans="4:4">
      <c r="D2626"/>
    </row>
    <row r="2627" spans="4:4">
      <c r="D2627"/>
    </row>
    <row r="2628" spans="4:4">
      <c r="D2628"/>
    </row>
    <row r="2629" spans="4:4">
      <c r="D2629"/>
    </row>
    <row r="2630" spans="4:4">
      <c r="D2630"/>
    </row>
    <row r="2631" spans="4:4">
      <c r="D2631"/>
    </row>
    <row r="2632" spans="4:4">
      <c r="D2632"/>
    </row>
    <row r="2633" spans="4:4">
      <c r="D2633"/>
    </row>
    <row r="2634" spans="4:4">
      <c r="D2634"/>
    </row>
    <row r="2635" spans="4:4">
      <c r="D2635"/>
    </row>
    <row r="2636" spans="4:4">
      <c r="D2636"/>
    </row>
    <row r="2637" spans="4:4">
      <c r="D2637"/>
    </row>
    <row r="2638" spans="4:4">
      <c r="D2638"/>
    </row>
    <row r="2639" spans="4:4">
      <c r="D2639"/>
    </row>
    <row r="2640" spans="4:4">
      <c r="D2640"/>
    </row>
    <row r="2641" spans="4:4">
      <c r="D2641"/>
    </row>
    <row r="2642" spans="4:4">
      <c r="D2642"/>
    </row>
    <row r="2643" spans="4:4">
      <c r="D2643"/>
    </row>
    <row r="2644" spans="4:4">
      <c r="D2644"/>
    </row>
    <row r="2645" spans="4:4">
      <c r="D2645"/>
    </row>
    <row r="2646" spans="4:4">
      <c r="D2646"/>
    </row>
    <row r="2647" spans="4:4">
      <c r="D2647"/>
    </row>
    <row r="2648" spans="4:4">
      <c r="D2648"/>
    </row>
    <row r="2649" spans="4:4">
      <c r="D2649"/>
    </row>
    <row r="2650" spans="4:4">
      <c r="D2650"/>
    </row>
    <row r="2651" spans="4:4">
      <c r="D2651"/>
    </row>
    <row r="2652" spans="4:4">
      <c r="D2652"/>
    </row>
    <row r="2653" spans="4:4">
      <c r="D2653"/>
    </row>
    <row r="2654" spans="4:4">
      <c r="D2654"/>
    </row>
    <row r="2655" spans="4:4">
      <c r="D2655"/>
    </row>
    <row r="2656" spans="4:4">
      <c r="D2656"/>
    </row>
    <row r="2657" spans="4:4">
      <c r="D2657"/>
    </row>
    <row r="2658" spans="4:4">
      <c r="D2658"/>
    </row>
    <row r="2659" spans="4:4">
      <c r="D2659"/>
    </row>
    <row r="2660" spans="4:4">
      <c r="D2660"/>
    </row>
    <row r="2661" spans="4:4">
      <c r="D2661"/>
    </row>
    <row r="2662" spans="4:4">
      <c r="D2662"/>
    </row>
    <row r="2663" spans="4:4">
      <c r="D2663"/>
    </row>
    <row r="2664" spans="4:4">
      <c r="D2664"/>
    </row>
    <row r="2665" spans="4:4">
      <c r="D2665"/>
    </row>
    <row r="2666" spans="4:4">
      <c r="D2666"/>
    </row>
    <row r="2667" spans="4:4">
      <c r="D2667"/>
    </row>
    <row r="2668" spans="4:4">
      <c r="D2668"/>
    </row>
    <row r="2669" spans="4:4">
      <c r="D2669"/>
    </row>
    <row r="2670" spans="4:4">
      <c r="D2670"/>
    </row>
    <row r="2671" spans="4:4">
      <c r="D2671"/>
    </row>
    <row r="2672" spans="4:4">
      <c r="D2672"/>
    </row>
    <row r="2673" spans="4:4">
      <c r="D2673"/>
    </row>
    <row r="2674" spans="4:4">
      <c r="D2674"/>
    </row>
    <row r="2675" spans="4:4">
      <c r="D2675"/>
    </row>
    <row r="2676" spans="4:4">
      <c r="D2676"/>
    </row>
    <row r="2677" spans="4:4">
      <c r="D2677"/>
    </row>
    <row r="2678" spans="4:4">
      <c r="D2678"/>
    </row>
    <row r="2679" spans="4:4">
      <c r="D2679"/>
    </row>
    <row r="2680" spans="4:4">
      <c r="D2680"/>
    </row>
    <row r="2681" spans="4:4">
      <c r="D2681"/>
    </row>
    <row r="2682" spans="4:4">
      <c r="D2682"/>
    </row>
    <row r="2683" spans="4:4">
      <c r="D2683"/>
    </row>
    <row r="2684" spans="4:4">
      <c r="D2684"/>
    </row>
    <row r="2685" spans="4:4">
      <c r="D2685"/>
    </row>
    <row r="2686" spans="4:4">
      <c r="D2686"/>
    </row>
    <row r="2687" spans="4:4">
      <c r="D2687"/>
    </row>
    <row r="2688" spans="4:4">
      <c r="D2688"/>
    </row>
    <row r="2689" spans="4:4">
      <c r="D2689"/>
    </row>
    <row r="2690" spans="4:4">
      <c r="D2690"/>
    </row>
    <row r="2691" spans="4:4">
      <c r="D2691"/>
    </row>
    <row r="2692" spans="4:4">
      <c r="D2692"/>
    </row>
    <row r="2693" spans="4:4">
      <c r="D2693"/>
    </row>
    <row r="2694" spans="4:4">
      <c r="D2694"/>
    </row>
    <row r="2695" spans="4:4">
      <c r="D2695"/>
    </row>
    <row r="2696" spans="4:4">
      <c r="D2696"/>
    </row>
    <row r="2697" spans="4:4">
      <c r="D2697"/>
    </row>
    <row r="2698" spans="4:4">
      <c r="D2698"/>
    </row>
    <row r="2699" spans="4:4">
      <c r="D2699"/>
    </row>
    <row r="2700" spans="4:4">
      <c r="D2700"/>
    </row>
    <row r="2701" spans="4:4">
      <c r="D2701"/>
    </row>
    <row r="2702" spans="4:4">
      <c r="D2702"/>
    </row>
    <row r="2703" spans="4:4">
      <c r="D2703"/>
    </row>
    <row r="2704" spans="4:4">
      <c r="D2704"/>
    </row>
    <row r="2705" spans="4:4">
      <c r="D2705"/>
    </row>
    <row r="2706" spans="4:4">
      <c r="D2706"/>
    </row>
    <row r="2707" spans="4:4">
      <c r="D2707"/>
    </row>
    <row r="2708" spans="4:4">
      <c r="D2708"/>
    </row>
    <row r="2709" spans="4:4">
      <c r="D2709"/>
    </row>
    <row r="2710" spans="4:4">
      <c r="D2710"/>
    </row>
    <row r="2711" spans="4:4">
      <c r="D2711"/>
    </row>
    <row r="2712" spans="4:4">
      <c r="D2712"/>
    </row>
    <row r="2713" spans="4:4">
      <c r="D2713"/>
    </row>
    <row r="2714" spans="4:4">
      <c r="D2714"/>
    </row>
    <row r="2715" spans="4:4">
      <c r="D2715"/>
    </row>
    <row r="2716" spans="4:4">
      <c r="D2716"/>
    </row>
    <row r="2717" spans="4:4">
      <c r="D2717"/>
    </row>
    <row r="2718" spans="4:4">
      <c r="D2718"/>
    </row>
    <row r="2719" spans="4:4">
      <c r="D2719"/>
    </row>
    <row r="2720" spans="4:4">
      <c r="D2720"/>
    </row>
    <row r="2721" spans="4:4">
      <c r="D2721"/>
    </row>
    <row r="2722" spans="4:4">
      <c r="D2722"/>
    </row>
    <row r="2723" spans="4:4">
      <c r="D2723"/>
    </row>
    <row r="2724" spans="4:4">
      <c r="D2724"/>
    </row>
    <row r="2725" spans="4:4">
      <c r="D2725"/>
    </row>
    <row r="2726" spans="4:4">
      <c r="D2726"/>
    </row>
    <row r="2727" spans="4:4">
      <c r="D2727"/>
    </row>
    <row r="2728" spans="4:4">
      <c r="D2728"/>
    </row>
    <row r="2729" spans="4:4">
      <c r="D2729"/>
    </row>
    <row r="2730" spans="4:4">
      <c r="D2730"/>
    </row>
    <row r="2731" spans="4:4">
      <c r="D2731"/>
    </row>
    <row r="2732" spans="4:4">
      <c r="D2732"/>
    </row>
    <row r="2733" spans="4:4">
      <c r="D2733"/>
    </row>
    <row r="2734" spans="4:4">
      <c r="D2734"/>
    </row>
    <row r="2735" spans="4:4">
      <c r="D2735"/>
    </row>
    <row r="2736" spans="4:4">
      <c r="D2736"/>
    </row>
    <row r="2737" spans="4:4">
      <c r="D2737"/>
    </row>
    <row r="2738" spans="4:4">
      <c r="D2738"/>
    </row>
    <row r="2739" spans="4:4">
      <c r="D2739"/>
    </row>
    <row r="2740" spans="4:4">
      <c r="D2740"/>
    </row>
    <row r="2741" spans="4:4">
      <c r="D2741"/>
    </row>
    <row r="2742" spans="4:4">
      <c r="D2742"/>
    </row>
    <row r="2743" spans="4:4">
      <c r="D2743"/>
    </row>
    <row r="2744" spans="4:4">
      <c r="D2744"/>
    </row>
    <row r="2745" spans="4:4">
      <c r="D2745"/>
    </row>
    <row r="2746" spans="4:4">
      <c r="D2746"/>
    </row>
    <row r="2747" spans="4:4">
      <c r="D2747"/>
    </row>
    <row r="2748" spans="4:4">
      <c r="D2748"/>
    </row>
    <row r="2749" spans="4:4">
      <c r="D2749"/>
    </row>
    <row r="2750" spans="4:4">
      <c r="D2750"/>
    </row>
    <row r="2751" spans="4:4">
      <c r="D2751"/>
    </row>
    <row r="2752" spans="4:4">
      <c r="D2752"/>
    </row>
    <row r="2753" spans="4:4">
      <c r="D2753"/>
    </row>
    <row r="2754" spans="4:4">
      <c r="D2754"/>
    </row>
    <row r="2755" spans="4:4">
      <c r="D2755"/>
    </row>
    <row r="2756" spans="4:4">
      <c r="D2756"/>
    </row>
    <row r="2757" spans="4:4">
      <c r="D2757"/>
    </row>
    <row r="2758" spans="4:4">
      <c r="D2758"/>
    </row>
    <row r="2759" spans="4:4">
      <c r="D2759"/>
    </row>
    <row r="2760" spans="4:4">
      <c r="D2760"/>
    </row>
    <row r="2761" spans="4:4">
      <c r="D2761"/>
    </row>
    <row r="2762" spans="4:4">
      <c r="D2762"/>
    </row>
    <row r="2763" spans="4:4">
      <c r="D2763"/>
    </row>
    <row r="2764" spans="4:4">
      <c r="D2764"/>
    </row>
    <row r="2765" spans="4:4">
      <c r="D2765"/>
    </row>
    <row r="2766" spans="4:4">
      <c r="D2766"/>
    </row>
    <row r="2767" spans="4:4">
      <c r="D2767"/>
    </row>
    <row r="2768" spans="4:4">
      <c r="D2768"/>
    </row>
    <row r="2769" spans="4:4">
      <c r="D2769"/>
    </row>
    <row r="2770" spans="4:4">
      <c r="D2770"/>
    </row>
    <row r="2771" spans="4:4">
      <c r="D2771"/>
    </row>
    <row r="2772" spans="4:4">
      <c r="D2772"/>
    </row>
    <row r="2773" spans="4:4">
      <c r="D2773"/>
    </row>
    <row r="2774" spans="4:4">
      <c r="D2774"/>
    </row>
    <row r="2775" spans="4:4">
      <c r="D2775"/>
    </row>
    <row r="2776" spans="4:4">
      <c r="D2776"/>
    </row>
    <row r="2777" spans="4:4">
      <c r="D2777"/>
    </row>
    <row r="2778" spans="4:4">
      <c r="D2778"/>
    </row>
    <row r="2779" spans="4:4">
      <c r="D2779"/>
    </row>
    <row r="2780" spans="4:4">
      <c r="D2780"/>
    </row>
    <row r="2781" spans="4:4">
      <c r="D2781"/>
    </row>
    <row r="2782" spans="4:4">
      <c r="D2782"/>
    </row>
    <row r="2783" spans="4:4">
      <c r="D2783"/>
    </row>
    <row r="2784" spans="4:4">
      <c r="D2784"/>
    </row>
    <row r="2785" spans="4:4">
      <c r="D2785"/>
    </row>
    <row r="2786" spans="4:4">
      <c r="D2786"/>
    </row>
    <row r="2787" spans="4:4">
      <c r="D2787"/>
    </row>
    <row r="2788" spans="4:4">
      <c r="D2788"/>
    </row>
    <row r="2789" spans="4:4">
      <c r="D2789"/>
    </row>
    <row r="2790" spans="4:4">
      <c r="D2790"/>
    </row>
    <row r="2791" spans="4:4">
      <c r="D2791"/>
    </row>
    <row r="2792" spans="4:4">
      <c r="D2792"/>
    </row>
    <row r="2793" spans="4:4">
      <c r="D2793"/>
    </row>
    <row r="2794" spans="4:4">
      <c r="D2794"/>
    </row>
    <row r="2795" spans="4:4">
      <c r="D2795"/>
    </row>
    <row r="2796" spans="4:4">
      <c r="D2796"/>
    </row>
    <row r="2797" spans="4:4">
      <c r="D2797"/>
    </row>
    <row r="2798" spans="4:4">
      <c r="D2798"/>
    </row>
    <row r="2799" spans="4:4">
      <c r="D2799"/>
    </row>
    <row r="2800" spans="4:4">
      <c r="D2800"/>
    </row>
    <row r="2801" spans="4:4">
      <c r="D2801"/>
    </row>
    <row r="2802" spans="4:4">
      <c r="D2802"/>
    </row>
    <row r="2803" spans="4:4">
      <c r="D2803"/>
    </row>
    <row r="2804" spans="4:4">
      <c r="D2804"/>
    </row>
    <row r="2805" spans="4:4">
      <c r="D2805"/>
    </row>
    <row r="2806" spans="4:4">
      <c r="D2806"/>
    </row>
    <row r="2807" spans="4:4">
      <c r="D2807"/>
    </row>
    <row r="2808" spans="4:4">
      <c r="D2808"/>
    </row>
    <row r="2809" spans="4:4">
      <c r="D2809"/>
    </row>
    <row r="2810" spans="4:4">
      <c r="D2810"/>
    </row>
    <row r="2811" spans="4:4">
      <c r="D2811"/>
    </row>
    <row r="2812" spans="4:4">
      <c r="D2812"/>
    </row>
    <row r="2813" spans="4:4">
      <c r="D2813"/>
    </row>
    <row r="2814" spans="4:4">
      <c r="D2814"/>
    </row>
    <row r="2815" spans="4:4">
      <c r="D2815"/>
    </row>
    <row r="2816" spans="4:4">
      <c r="D2816"/>
    </row>
    <row r="2817" spans="4:4">
      <c r="D2817"/>
    </row>
    <row r="2818" spans="4:4">
      <c r="D2818"/>
    </row>
    <row r="2819" spans="4:4">
      <c r="D2819"/>
    </row>
    <row r="2820" spans="4:4">
      <c r="D2820"/>
    </row>
    <row r="2821" spans="4:4">
      <c r="D2821"/>
    </row>
    <row r="2822" spans="4:4">
      <c r="D2822"/>
    </row>
    <row r="2823" spans="4:4">
      <c r="D2823"/>
    </row>
    <row r="2824" spans="4:4">
      <c r="D2824"/>
    </row>
    <row r="2825" spans="4:4">
      <c r="D2825"/>
    </row>
    <row r="2826" spans="4:4">
      <c r="D2826"/>
    </row>
    <row r="2827" spans="4:4">
      <c r="D2827"/>
    </row>
    <row r="2828" spans="4:4">
      <c r="D2828"/>
    </row>
    <row r="2829" spans="4:4">
      <c r="D2829"/>
    </row>
    <row r="2830" spans="4:4">
      <c r="D2830"/>
    </row>
    <row r="2831" spans="4:4">
      <c r="D2831"/>
    </row>
    <row r="2832" spans="4:4">
      <c r="D2832"/>
    </row>
    <row r="2833" spans="4:4">
      <c r="D2833"/>
    </row>
    <row r="2834" spans="4:4">
      <c r="D2834"/>
    </row>
    <row r="2835" spans="4:4">
      <c r="D2835"/>
    </row>
    <row r="2836" spans="4:4">
      <c r="D2836"/>
    </row>
    <row r="2837" spans="4:4">
      <c r="D2837"/>
    </row>
    <row r="2838" spans="4:4">
      <c r="D2838"/>
    </row>
    <row r="2839" spans="4:4">
      <c r="D2839"/>
    </row>
    <row r="2840" spans="4:4">
      <c r="D2840"/>
    </row>
    <row r="2841" spans="4:4">
      <c r="D2841"/>
    </row>
    <row r="2842" spans="4:4">
      <c r="D2842"/>
    </row>
    <row r="2843" spans="4:4">
      <c r="D2843"/>
    </row>
    <row r="2844" spans="4:4">
      <c r="D2844"/>
    </row>
    <row r="2845" spans="4:4">
      <c r="D2845"/>
    </row>
    <row r="2846" spans="4:4">
      <c r="D2846"/>
    </row>
    <row r="2847" spans="4:4">
      <c r="D2847"/>
    </row>
    <row r="2848" spans="4:4">
      <c r="D2848"/>
    </row>
    <row r="2849" spans="4:4">
      <c r="D2849"/>
    </row>
    <row r="2850" spans="4:4">
      <c r="D2850"/>
    </row>
    <row r="2851" spans="4:4">
      <c r="D2851"/>
    </row>
    <row r="2852" spans="4:4">
      <c r="D2852"/>
    </row>
    <row r="2853" spans="4:4">
      <c r="D2853"/>
    </row>
    <row r="2854" spans="4:4">
      <c r="D2854"/>
    </row>
    <row r="2855" spans="4:4">
      <c r="D2855"/>
    </row>
    <row r="2856" spans="4:4">
      <c r="D2856"/>
    </row>
    <row r="2857" spans="4:4">
      <c r="D2857"/>
    </row>
    <row r="2858" spans="4:4">
      <c r="D2858"/>
    </row>
    <row r="2859" spans="4:4">
      <c r="D2859"/>
    </row>
    <row r="2860" spans="4:4">
      <c r="D2860"/>
    </row>
    <row r="2861" spans="4:4">
      <c r="D2861"/>
    </row>
    <row r="2862" spans="4:4">
      <c r="D2862"/>
    </row>
    <row r="2863" spans="4:4">
      <c r="D2863"/>
    </row>
    <row r="2864" spans="4:4">
      <c r="D2864"/>
    </row>
    <row r="2865" spans="4:4">
      <c r="D2865"/>
    </row>
    <row r="2866" spans="4:4">
      <c r="D2866"/>
    </row>
    <row r="2867" spans="4:4">
      <c r="D2867"/>
    </row>
    <row r="2868" spans="4:4">
      <c r="D2868"/>
    </row>
    <row r="2869" spans="4:4">
      <c r="D2869"/>
    </row>
    <row r="2870" spans="4:4">
      <c r="D2870"/>
    </row>
    <row r="2871" spans="4:4">
      <c r="D2871"/>
    </row>
    <row r="2872" spans="4:4">
      <c r="D2872"/>
    </row>
    <row r="2873" spans="4:4">
      <c r="D2873"/>
    </row>
    <row r="2874" spans="4:4">
      <c r="D2874"/>
    </row>
    <row r="2875" spans="4:4">
      <c r="D2875"/>
    </row>
    <row r="2876" spans="4:4">
      <c r="D2876"/>
    </row>
    <row r="2877" spans="4:4">
      <c r="D2877"/>
    </row>
    <row r="2878" spans="4:4">
      <c r="D2878"/>
    </row>
    <row r="2879" spans="4:4">
      <c r="D2879"/>
    </row>
    <row r="2880" spans="4:4">
      <c r="D2880"/>
    </row>
    <row r="2881" spans="4:4">
      <c r="D2881"/>
    </row>
    <row r="2882" spans="4:4">
      <c r="D2882"/>
    </row>
    <row r="2883" spans="4:4">
      <c r="D2883"/>
    </row>
    <row r="2884" spans="4:4">
      <c r="D2884"/>
    </row>
    <row r="2885" spans="4:4">
      <c r="D2885"/>
    </row>
    <row r="2886" spans="4:4">
      <c r="D2886"/>
    </row>
    <row r="2887" spans="4:4">
      <c r="D2887"/>
    </row>
    <row r="2888" spans="4:4">
      <c r="D2888"/>
    </row>
    <row r="2889" spans="4:4">
      <c r="D2889"/>
    </row>
    <row r="2890" spans="4:4">
      <c r="D2890"/>
    </row>
    <row r="2891" spans="4:4">
      <c r="D2891"/>
    </row>
    <row r="2892" spans="4:4">
      <c r="D2892"/>
    </row>
    <row r="2893" spans="4:4">
      <c r="D2893"/>
    </row>
    <row r="2894" spans="4:4">
      <c r="D2894"/>
    </row>
    <row r="2895" spans="4:4">
      <c r="D2895"/>
    </row>
    <row r="2896" spans="4:4">
      <c r="D2896"/>
    </row>
    <row r="2897" spans="4:4">
      <c r="D2897"/>
    </row>
    <row r="2898" spans="4:4">
      <c r="D2898"/>
    </row>
    <row r="2899" spans="4:4">
      <c r="D2899"/>
    </row>
    <row r="2900" spans="4:4">
      <c r="D2900"/>
    </row>
    <row r="2901" spans="4:4">
      <c r="D2901"/>
    </row>
    <row r="2902" spans="4:4">
      <c r="D2902"/>
    </row>
    <row r="2903" spans="4:4">
      <c r="D2903"/>
    </row>
    <row r="2904" spans="4:4">
      <c r="D2904"/>
    </row>
    <row r="2905" spans="4:4">
      <c r="D2905"/>
    </row>
    <row r="2906" spans="4:4">
      <c r="D2906"/>
    </row>
    <row r="2907" spans="4:4">
      <c r="D2907"/>
    </row>
    <row r="2908" spans="4:4">
      <c r="D2908"/>
    </row>
    <row r="2909" spans="4:4">
      <c r="D2909"/>
    </row>
    <row r="2910" spans="4:4">
      <c r="D2910"/>
    </row>
    <row r="2911" spans="4:4">
      <c r="D2911"/>
    </row>
    <row r="2912" spans="4:4">
      <c r="D2912"/>
    </row>
    <row r="2913" spans="4:4">
      <c r="D2913"/>
    </row>
    <row r="2914" spans="4:4">
      <c r="D2914"/>
    </row>
    <row r="2915" spans="4:4">
      <c r="D2915"/>
    </row>
    <row r="2916" spans="4:4">
      <c r="D2916"/>
    </row>
    <row r="2917" spans="4:4">
      <c r="D2917"/>
    </row>
    <row r="2918" spans="4:4">
      <c r="D2918"/>
    </row>
    <row r="2919" spans="4:4">
      <c r="D2919"/>
    </row>
    <row r="2920" spans="4:4">
      <c r="D2920"/>
    </row>
    <row r="2921" spans="4:4">
      <c r="D2921"/>
    </row>
    <row r="2922" spans="4:4">
      <c r="D2922"/>
    </row>
    <row r="2923" spans="4:4">
      <c r="D2923"/>
    </row>
    <row r="2924" spans="4:4">
      <c r="D2924"/>
    </row>
    <row r="2925" spans="4:4">
      <c r="D2925"/>
    </row>
    <row r="2926" spans="4:4">
      <c r="D2926"/>
    </row>
    <row r="2927" spans="4:4">
      <c r="D2927"/>
    </row>
    <row r="2928" spans="4:4">
      <c r="D2928"/>
    </row>
    <row r="2929" spans="4:4">
      <c r="D2929"/>
    </row>
    <row r="2930" spans="4:4">
      <c r="D2930"/>
    </row>
    <row r="2931" spans="4:4">
      <c r="D2931"/>
    </row>
    <row r="2932" spans="4:4">
      <c r="D2932"/>
    </row>
    <row r="2933" spans="4:4">
      <c r="D2933"/>
    </row>
    <row r="2934" spans="4:4">
      <c r="D2934"/>
    </row>
    <row r="2935" spans="4:4">
      <c r="D2935"/>
    </row>
    <row r="2936" spans="4:4">
      <c r="D2936"/>
    </row>
    <row r="2937" spans="4:4">
      <c r="D2937"/>
    </row>
    <row r="2938" spans="4:4">
      <c r="D2938"/>
    </row>
    <row r="2939" spans="4:4">
      <c r="D2939"/>
    </row>
    <row r="2940" spans="4:4">
      <c r="D2940"/>
    </row>
    <row r="2941" spans="4:4">
      <c r="D2941"/>
    </row>
    <row r="2942" spans="4:4">
      <c r="D2942"/>
    </row>
    <row r="2943" spans="4:4">
      <c r="D2943"/>
    </row>
    <row r="2944" spans="4:4">
      <c r="D2944"/>
    </row>
    <row r="2945" spans="4:4">
      <c r="D2945"/>
    </row>
    <row r="2946" spans="4:4">
      <c r="D2946"/>
    </row>
    <row r="2947" spans="4:4">
      <c r="D2947"/>
    </row>
    <row r="2948" spans="4:4">
      <c r="D2948"/>
    </row>
    <row r="2949" spans="4:4">
      <c r="D2949"/>
    </row>
    <row r="2950" spans="4:4">
      <c r="D2950"/>
    </row>
    <row r="2951" spans="4:4">
      <c r="D2951"/>
    </row>
    <row r="2952" spans="4:4">
      <c r="D2952"/>
    </row>
    <row r="2953" spans="4:4">
      <c r="D2953"/>
    </row>
    <row r="2954" spans="4:4">
      <c r="D2954"/>
    </row>
    <row r="2955" spans="4:4">
      <c r="D2955"/>
    </row>
    <row r="2956" spans="4:4">
      <c r="D2956"/>
    </row>
    <row r="2957" spans="4:4">
      <c r="D2957"/>
    </row>
    <row r="2958" spans="4:4">
      <c r="D2958"/>
    </row>
    <row r="2959" spans="4:4">
      <c r="D2959"/>
    </row>
    <row r="2960" spans="4:4">
      <c r="D2960"/>
    </row>
    <row r="2961" spans="4:4">
      <c r="D2961"/>
    </row>
    <row r="2962" spans="4:4">
      <c r="D2962"/>
    </row>
    <row r="2963" spans="4:4">
      <c r="D2963"/>
    </row>
    <row r="2964" spans="4:4">
      <c r="D2964"/>
    </row>
    <row r="2965" spans="4:4">
      <c r="D2965"/>
    </row>
    <row r="2966" spans="4:4">
      <c r="D2966"/>
    </row>
    <row r="2967" spans="4:4">
      <c r="D2967"/>
    </row>
    <row r="2968" spans="4:4">
      <c r="D2968"/>
    </row>
    <row r="2969" spans="4:4">
      <c r="D2969"/>
    </row>
    <row r="2970" spans="4:4">
      <c r="D2970"/>
    </row>
    <row r="2971" spans="4:4">
      <c r="D2971"/>
    </row>
    <row r="2972" spans="4:4">
      <c r="D2972"/>
    </row>
    <row r="2973" spans="4:4">
      <c r="D2973"/>
    </row>
    <row r="2974" spans="4:4">
      <c r="D2974"/>
    </row>
    <row r="2975" spans="4:4">
      <c r="D2975"/>
    </row>
    <row r="2976" spans="4:4">
      <c r="D2976"/>
    </row>
    <row r="2977" spans="4:4">
      <c r="D2977"/>
    </row>
    <row r="2978" spans="4:4">
      <c r="D2978"/>
    </row>
    <row r="2979" spans="4:4">
      <c r="D2979"/>
    </row>
    <row r="2980" spans="4:4">
      <c r="D2980"/>
    </row>
    <row r="2981" spans="4:4">
      <c r="D2981"/>
    </row>
    <row r="2982" spans="4:4">
      <c r="D2982"/>
    </row>
    <row r="2983" spans="4:4">
      <c r="D2983"/>
    </row>
    <row r="2984" spans="4:4">
      <c r="D2984"/>
    </row>
    <row r="2985" spans="4:4">
      <c r="D2985"/>
    </row>
    <row r="2986" spans="4:4">
      <c r="D2986"/>
    </row>
    <row r="2987" spans="4:4">
      <c r="D2987"/>
    </row>
    <row r="2988" spans="4:4">
      <c r="D2988"/>
    </row>
    <row r="2989" spans="4:4">
      <c r="D2989"/>
    </row>
    <row r="2990" spans="4:4">
      <c r="D2990"/>
    </row>
    <row r="2991" spans="4:4">
      <c r="D2991"/>
    </row>
    <row r="2992" spans="4:4">
      <c r="D2992"/>
    </row>
    <row r="2993" spans="4:4">
      <c r="D2993"/>
    </row>
    <row r="2994" spans="4:4">
      <c r="D2994"/>
    </row>
    <row r="2995" spans="4:4">
      <c r="D2995"/>
    </row>
    <row r="2996" spans="4:4">
      <c r="D2996"/>
    </row>
    <row r="2997" spans="4:4">
      <c r="D2997"/>
    </row>
    <row r="2998" spans="4:4">
      <c r="D2998"/>
    </row>
    <row r="2999" spans="4:4">
      <c r="D2999"/>
    </row>
    <row r="3000" spans="4:4">
      <c r="D3000"/>
    </row>
    <row r="3001" spans="4:4">
      <c r="D3001"/>
    </row>
    <row r="3002" spans="4:4">
      <c r="D3002"/>
    </row>
    <row r="3003" spans="4:4">
      <c r="D3003"/>
    </row>
    <row r="3004" spans="4:4">
      <c r="D3004"/>
    </row>
    <row r="3005" spans="4:4">
      <c r="D3005"/>
    </row>
    <row r="3006" spans="4:4">
      <c r="D3006"/>
    </row>
    <row r="3007" spans="4:4">
      <c r="D3007"/>
    </row>
    <row r="3008" spans="4:4">
      <c r="D3008"/>
    </row>
    <row r="3009" spans="4:4">
      <c r="D3009"/>
    </row>
    <row r="3010" spans="4:4">
      <c r="D3010"/>
    </row>
    <row r="3011" spans="4:4">
      <c r="D3011"/>
    </row>
    <row r="3012" spans="4:4">
      <c r="D3012"/>
    </row>
    <row r="3013" spans="4:4">
      <c r="D3013"/>
    </row>
    <row r="3014" spans="4:4">
      <c r="D3014"/>
    </row>
    <row r="3015" spans="4:4">
      <c r="D3015"/>
    </row>
    <row r="3016" spans="4:4">
      <c r="D3016"/>
    </row>
    <row r="3017" spans="4:4">
      <c r="D3017"/>
    </row>
    <row r="3018" spans="4:4">
      <c r="D3018"/>
    </row>
    <row r="3019" spans="4:4">
      <c r="D3019"/>
    </row>
    <row r="3020" spans="4:4">
      <c r="D3020"/>
    </row>
    <row r="3021" spans="4:4">
      <c r="D3021"/>
    </row>
    <row r="3022" spans="4:4">
      <c r="D3022"/>
    </row>
    <row r="3023" spans="4:4">
      <c r="D3023"/>
    </row>
    <row r="3024" spans="4:4">
      <c r="D3024"/>
    </row>
    <row r="3025" spans="4:4">
      <c r="D3025"/>
    </row>
    <row r="3026" spans="4:4">
      <c r="D3026"/>
    </row>
    <row r="3027" spans="4:4">
      <c r="D3027"/>
    </row>
    <row r="3028" spans="4:4">
      <c r="D3028"/>
    </row>
    <row r="3029" spans="4:4">
      <c r="D3029"/>
    </row>
    <row r="3030" spans="4:4">
      <c r="D3030"/>
    </row>
    <row r="3031" spans="4:4">
      <c r="D3031"/>
    </row>
    <row r="3032" spans="4:4">
      <c r="D3032"/>
    </row>
    <row r="3033" spans="4:4">
      <c r="D3033"/>
    </row>
    <row r="3034" spans="4:4">
      <c r="D3034"/>
    </row>
    <row r="3035" spans="4:4">
      <c r="D3035"/>
    </row>
    <row r="3036" spans="4:4">
      <c r="D3036"/>
    </row>
    <row r="3037" spans="4:4">
      <c r="D3037"/>
    </row>
    <row r="3038" spans="4:4">
      <c r="D3038"/>
    </row>
    <row r="3039" spans="4:4">
      <c r="D3039"/>
    </row>
    <row r="3040" spans="4:4">
      <c r="D3040"/>
    </row>
    <row r="3041" spans="4:4">
      <c r="D3041"/>
    </row>
    <row r="3042" spans="4:4">
      <c r="D3042"/>
    </row>
    <row r="3043" spans="4:4">
      <c r="D3043"/>
    </row>
    <row r="3044" spans="4:4">
      <c r="D3044"/>
    </row>
    <row r="3045" spans="4:4">
      <c r="D3045"/>
    </row>
    <row r="3046" spans="4:4">
      <c r="D3046"/>
    </row>
    <row r="3047" spans="4:4">
      <c r="D3047"/>
    </row>
    <row r="3048" spans="4:4">
      <c r="D3048"/>
    </row>
    <row r="3049" spans="4:4">
      <c r="D3049"/>
    </row>
    <row r="3050" spans="4:4">
      <c r="D3050"/>
    </row>
    <row r="3051" spans="4:4">
      <c r="D3051"/>
    </row>
    <row r="3052" spans="4:4">
      <c r="D3052"/>
    </row>
    <row r="3053" spans="4:4">
      <c r="D3053"/>
    </row>
    <row r="3054" spans="4:4">
      <c r="D3054"/>
    </row>
    <row r="3055" spans="4:4">
      <c r="D3055"/>
    </row>
    <row r="3056" spans="4:4">
      <c r="D3056"/>
    </row>
    <row r="3057" spans="4:4">
      <c r="D3057"/>
    </row>
    <row r="3058" spans="4:4">
      <c r="D3058"/>
    </row>
    <row r="3059" spans="4:4">
      <c r="D3059"/>
    </row>
    <row r="3060" spans="4:4">
      <c r="D3060"/>
    </row>
    <row r="3061" spans="4:4">
      <c r="D3061"/>
    </row>
    <row r="3062" spans="4:4">
      <c r="D3062"/>
    </row>
    <row r="3063" spans="4:4">
      <c r="D3063"/>
    </row>
    <row r="3064" spans="4:4">
      <c r="D3064"/>
    </row>
    <row r="3065" spans="4:4">
      <c r="D3065"/>
    </row>
    <row r="3066" spans="4:4">
      <c r="D3066"/>
    </row>
    <row r="3067" spans="4:4">
      <c r="D3067"/>
    </row>
    <row r="3068" spans="4:4">
      <c r="D3068"/>
    </row>
    <row r="3069" spans="4:4">
      <c r="D3069"/>
    </row>
    <row r="3070" spans="4:4">
      <c r="D3070"/>
    </row>
    <row r="3071" spans="4:4">
      <c r="D3071"/>
    </row>
    <row r="3072" spans="4:4">
      <c r="D3072"/>
    </row>
    <row r="3073" spans="4:4">
      <c r="D3073"/>
    </row>
    <row r="3074" spans="4:4">
      <c r="D3074"/>
    </row>
    <row r="3075" spans="4:4">
      <c r="D3075"/>
    </row>
    <row r="3076" spans="4:4">
      <c r="D3076"/>
    </row>
    <row r="3077" spans="4:4">
      <c r="D3077"/>
    </row>
    <row r="3078" spans="4:4">
      <c r="D3078"/>
    </row>
    <row r="3079" spans="4:4">
      <c r="D3079"/>
    </row>
    <row r="3080" spans="4:4">
      <c r="D3080"/>
    </row>
    <row r="3081" spans="4:4">
      <c r="D3081"/>
    </row>
    <row r="3082" spans="4:4">
      <c r="D3082"/>
    </row>
    <row r="3083" spans="4:4">
      <c r="D3083"/>
    </row>
    <row r="3084" spans="4:4">
      <c r="D3084"/>
    </row>
    <row r="3085" spans="4:4">
      <c r="D3085"/>
    </row>
    <row r="3086" spans="4:4">
      <c r="D3086"/>
    </row>
    <row r="3087" spans="4:4">
      <c r="D3087"/>
    </row>
    <row r="3088" spans="4:4">
      <c r="D3088"/>
    </row>
    <row r="3089" spans="4:4">
      <c r="D3089"/>
    </row>
    <row r="3090" spans="4:4">
      <c r="D3090"/>
    </row>
    <row r="3091" spans="4:4">
      <c r="D3091"/>
    </row>
    <row r="3092" spans="4:4">
      <c r="D3092"/>
    </row>
    <row r="3093" spans="4:4">
      <c r="D3093"/>
    </row>
    <row r="3094" spans="4:4">
      <c r="D3094"/>
    </row>
    <row r="3095" spans="4:4">
      <c r="D3095"/>
    </row>
    <row r="3096" spans="4:4">
      <c r="D3096"/>
    </row>
    <row r="3097" spans="4:4">
      <c r="D3097"/>
    </row>
    <row r="3098" spans="4:4">
      <c r="D3098"/>
    </row>
    <row r="3099" spans="4:4">
      <c r="D3099"/>
    </row>
    <row r="3100" spans="4:4">
      <c r="D3100"/>
    </row>
    <row r="3101" spans="4:4">
      <c r="D3101"/>
    </row>
    <row r="3102" spans="4:4">
      <c r="D3102"/>
    </row>
    <row r="3103" spans="4:4">
      <c r="D3103"/>
    </row>
    <row r="3104" spans="4:4">
      <c r="D3104"/>
    </row>
    <row r="3105" spans="4:4">
      <c r="D3105"/>
    </row>
    <row r="3106" spans="4:4">
      <c r="D3106"/>
    </row>
    <row r="3107" spans="4:4">
      <c r="D3107"/>
    </row>
    <row r="3108" spans="4:4">
      <c r="D3108"/>
    </row>
    <row r="3109" spans="4:4">
      <c r="D3109"/>
    </row>
    <row r="3110" spans="4:4">
      <c r="D3110"/>
    </row>
    <row r="3111" spans="4:4">
      <c r="D3111"/>
    </row>
    <row r="3112" spans="4:4">
      <c r="D3112"/>
    </row>
    <row r="3113" spans="4:4">
      <c r="D3113"/>
    </row>
    <row r="3114" spans="4:4">
      <c r="D3114"/>
    </row>
    <row r="3115" spans="4:4">
      <c r="D3115"/>
    </row>
    <row r="3116" spans="4:4">
      <c r="D3116"/>
    </row>
    <row r="3117" spans="4:4">
      <c r="D3117"/>
    </row>
    <row r="3118" spans="4:4">
      <c r="D3118"/>
    </row>
    <row r="3119" spans="4:4">
      <c r="D3119"/>
    </row>
    <row r="3120" spans="4:4">
      <c r="D3120"/>
    </row>
    <row r="3121" spans="4:4">
      <c r="D3121"/>
    </row>
    <row r="3122" spans="4:4">
      <c r="D3122"/>
    </row>
    <row r="3123" spans="4:4">
      <c r="D3123"/>
    </row>
    <row r="3124" spans="4:4">
      <c r="D3124"/>
    </row>
    <row r="3125" spans="4:4">
      <c r="D3125"/>
    </row>
    <row r="3126" spans="4:4">
      <c r="D3126"/>
    </row>
    <row r="3127" spans="4:4">
      <c r="D3127"/>
    </row>
    <row r="3128" spans="4:4">
      <c r="D3128"/>
    </row>
    <row r="3129" spans="4:4">
      <c r="D3129"/>
    </row>
    <row r="3130" spans="4:4">
      <c r="D3130"/>
    </row>
    <row r="3131" spans="4:4">
      <c r="D3131"/>
    </row>
    <row r="3132" spans="4:4">
      <c r="D3132"/>
    </row>
    <row r="3133" spans="4:4">
      <c r="D3133"/>
    </row>
    <row r="3134" spans="4:4">
      <c r="D3134"/>
    </row>
    <row r="3135" spans="4:4">
      <c r="D3135"/>
    </row>
    <row r="3136" spans="4:4">
      <c r="D3136"/>
    </row>
    <row r="3137" spans="4:4">
      <c r="D3137"/>
    </row>
    <row r="3138" spans="4:4">
      <c r="D3138"/>
    </row>
    <row r="3139" spans="4:4">
      <c r="D3139"/>
    </row>
    <row r="3140" spans="4:4">
      <c r="D3140"/>
    </row>
    <row r="3141" spans="4:4">
      <c r="D3141"/>
    </row>
    <row r="3142" spans="4:4">
      <c r="D3142"/>
    </row>
    <row r="3143" spans="4:4">
      <c r="D3143"/>
    </row>
    <row r="3144" spans="4:4">
      <c r="D3144"/>
    </row>
    <row r="3145" spans="4:4">
      <c r="D3145"/>
    </row>
    <row r="3146" spans="4:4">
      <c r="D3146"/>
    </row>
    <row r="3147" spans="4:4">
      <c r="D3147"/>
    </row>
    <row r="3148" spans="4:4">
      <c r="D3148"/>
    </row>
    <row r="3149" spans="4:4">
      <c r="D3149"/>
    </row>
    <row r="3150" spans="4:4">
      <c r="D3150"/>
    </row>
    <row r="3151" spans="4:4">
      <c r="D3151"/>
    </row>
    <row r="3152" spans="4:4">
      <c r="D3152"/>
    </row>
    <row r="3153" spans="4:4">
      <c r="D3153"/>
    </row>
    <row r="3154" spans="4:4">
      <c r="D3154"/>
    </row>
    <row r="3155" spans="4:4">
      <c r="D3155"/>
    </row>
    <row r="3156" spans="4:4">
      <c r="D3156"/>
    </row>
    <row r="3157" spans="4:4">
      <c r="D3157"/>
    </row>
    <row r="3158" spans="4:4">
      <c r="D3158"/>
    </row>
    <row r="3159" spans="4:4">
      <c r="D3159"/>
    </row>
    <row r="3160" spans="4:4">
      <c r="D3160"/>
    </row>
    <row r="3161" spans="4:4">
      <c r="D3161"/>
    </row>
    <row r="3162" spans="4:4">
      <c r="D3162"/>
    </row>
    <row r="3163" spans="4:4">
      <c r="D3163"/>
    </row>
    <row r="3164" spans="4:4">
      <c r="D3164"/>
    </row>
    <row r="3165" spans="4:4">
      <c r="D3165"/>
    </row>
    <row r="3166" spans="4:4">
      <c r="D3166"/>
    </row>
    <row r="3167" spans="4:4">
      <c r="D3167"/>
    </row>
    <row r="3168" spans="4:4">
      <c r="D3168"/>
    </row>
    <row r="3169" spans="4:4">
      <c r="D3169"/>
    </row>
    <row r="3170" spans="4:4">
      <c r="D3170"/>
    </row>
    <row r="3171" spans="4:4">
      <c r="D3171"/>
    </row>
    <row r="3172" spans="4:4">
      <c r="D3172"/>
    </row>
    <row r="3173" spans="4:4">
      <c r="D3173"/>
    </row>
    <row r="3174" spans="4:4">
      <c r="D3174"/>
    </row>
    <row r="3175" spans="4:4">
      <c r="D3175"/>
    </row>
    <row r="3176" spans="4:4">
      <c r="D3176"/>
    </row>
    <row r="3177" spans="4:4">
      <c r="D3177"/>
    </row>
    <row r="3178" spans="4:4">
      <c r="D3178"/>
    </row>
    <row r="3179" spans="4:4">
      <c r="D3179"/>
    </row>
    <row r="3180" spans="4:4">
      <c r="D3180"/>
    </row>
    <row r="3181" spans="4:4">
      <c r="D3181"/>
    </row>
    <row r="3182" spans="4:4">
      <c r="D3182"/>
    </row>
    <row r="3183" spans="4:4">
      <c r="D3183"/>
    </row>
    <row r="3184" spans="4:4">
      <c r="D3184"/>
    </row>
    <row r="3185" spans="4:4">
      <c r="D3185"/>
    </row>
    <row r="3186" spans="4:4">
      <c r="D3186"/>
    </row>
    <row r="3187" spans="4:4">
      <c r="D3187"/>
    </row>
    <row r="3188" spans="4:4">
      <c r="D3188"/>
    </row>
    <row r="3189" spans="4:4">
      <c r="D3189"/>
    </row>
    <row r="3190" spans="4:4">
      <c r="D3190"/>
    </row>
    <row r="3191" spans="4:4">
      <c r="D3191"/>
    </row>
    <row r="3192" spans="4:4">
      <c r="D3192"/>
    </row>
    <row r="3193" spans="4:4">
      <c r="D3193"/>
    </row>
    <row r="3194" spans="4:4">
      <c r="D3194"/>
    </row>
    <row r="3195" spans="4:4">
      <c r="D3195"/>
    </row>
    <row r="3196" spans="4:4">
      <c r="D3196"/>
    </row>
    <row r="3197" spans="4:4">
      <c r="D3197"/>
    </row>
    <row r="3198" spans="4:4">
      <c r="D3198"/>
    </row>
    <row r="3199" spans="4:4">
      <c r="D3199"/>
    </row>
    <row r="3200" spans="4:4">
      <c r="D3200"/>
    </row>
    <row r="3201" spans="4:4">
      <c r="D3201"/>
    </row>
    <row r="3202" spans="4:4">
      <c r="D3202"/>
    </row>
    <row r="3203" spans="4:4">
      <c r="D3203"/>
    </row>
    <row r="3204" spans="4:4">
      <c r="D3204"/>
    </row>
    <row r="3205" spans="4:4">
      <c r="D3205"/>
    </row>
    <row r="3206" spans="4:4">
      <c r="D3206"/>
    </row>
    <row r="3207" spans="4:4">
      <c r="D3207"/>
    </row>
    <row r="3208" spans="4:4">
      <c r="D3208"/>
    </row>
    <row r="3209" spans="4:4">
      <c r="D3209"/>
    </row>
    <row r="3210" spans="4:4">
      <c r="D3210"/>
    </row>
    <row r="3211" spans="4:4">
      <c r="D3211"/>
    </row>
    <row r="3212" spans="4:4">
      <c r="D3212"/>
    </row>
    <row r="3213" spans="4:4">
      <c r="D3213"/>
    </row>
    <row r="3214" spans="4:4">
      <c r="D3214"/>
    </row>
    <row r="3215" spans="4:4">
      <c r="D3215"/>
    </row>
    <row r="3216" spans="4:4">
      <c r="D3216"/>
    </row>
    <row r="3217" spans="4:4">
      <c r="D3217"/>
    </row>
    <row r="3218" spans="4:4">
      <c r="D3218"/>
    </row>
    <row r="3219" spans="4:4">
      <c r="D3219"/>
    </row>
    <row r="3220" spans="4:4">
      <c r="D3220"/>
    </row>
    <row r="3221" spans="4:4">
      <c r="D3221"/>
    </row>
    <row r="3222" spans="4:4">
      <c r="D3222"/>
    </row>
    <row r="3223" spans="4:4">
      <c r="D3223"/>
    </row>
    <row r="3224" spans="4:4">
      <c r="D3224"/>
    </row>
    <row r="3225" spans="4:4">
      <c r="D3225"/>
    </row>
    <row r="3226" spans="4:4">
      <c r="D3226"/>
    </row>
    <row r="3227" spans="4:4">
      <c r="D3227"/>
    </row>
    <row r="3228" spans="4:4">
      <c r="D3228"/>
    </row>
    <row r="3229" spans="4:4">
      <c r="D3229"/>
    </row>
    <row r="3230" spans="4:4">
      <c r="D3230"/>
    </row>
    <row r="3231" spans="4:4">
      <c r="D3231"/>
    </row>
    <row r="3232" spans="4:4">
      <c r="D3232"/>
    </row>
    <row r="3233" spans="4:4">
      <c r="D3233"/>
    </row>
    <row r="3234" spans="4:4">
      <c r="D3234"/>
    </row>
    <row r="3235" spans="4:4">
      <c r="D3235"/>
    </row>
    <row r="3236" spans="4:4">
      <c r="D3236"/>
    </row>
    <row r="3237" spans="4:4">
      <c r="D3237"/>
    </row>
    <row r="3238" spans="4:4">
      <c r="D3238"/>
    </row>
    <row r="3239" spans="4:4">
      <c r="D3239"/>
    </row>
    <row r="3240" spans="4:4">
      <c r="D3240"/>
    </row>
    <row r="3241" spans="4:4">
      <c r="D3241"/>
    </row>
    <row r="3242" spans="4:4">
      <c r="D3242"/>
    </row>
    <row r="3243" spans="4:4">
      <c r="D3243"/>
    </row>
    <row r="3244" spans="4:4">
      <c r="D3244"/>
    </row>
    <row r="3245" spans="4:4">
      <c r="D3245"/>
    </row>
    <row r="3246" spans="4:4">
      <c r="D3246"/>
    </row>
    <row r="3247" spans="4:4">
      <c r="D3247"/>
    </row>
    <row r="3248" spans="4:4">
      <c r="D3248"/>
    </row>
    <row r="3249" spans="4:4">
      <c r="D3249"/>
    </row>
    <row r="3250" spans="4:4">
      <c r="D3250"/>
    </row>
    <row r="3251" spans="4:4">
      <c r="D3251"/>
    </row>
    <row r="3252" spans="4:4">
      <c r="D3252"/>
    </row>
    <row r="3253" spans="4:4">
      <c r="D3253"/>
    </row>
    <row r="3254" spans="4:4">
      <c r="D3254"/>
    </row>
    <row r="3255" spans="4:4">
      <c r="D3255"/>
    </row>
    <row r="3256" spans="4:4">
      <c r="D3256"/>
    </row>
    <row r="3257" spans="4:4">
      <c r="D3257"/>
    </row>
    <row r="3258" spans="4:4">
      <c r="D3258"/>
    </row>
    <row r="3259" spans="4:4">
      <c r="D3259"/>
    </row>
    <row r="3260" spans="4:4">
      <c r="D3260"/>
    </row>
    <row r="3261" spans="4:4">
      <c r="D3261"/>
    </row>
    <row r="3262" spans="4:4">
      <c r="D3262"/>
    </row>
    <row r="3263" spans="4:4">
      <c r="D3263"/>
    </row>
    <row r="3264" spans="4:4">
      <c r="D3264"/>
    </row>
    <row r="3265" spans="4:4">
      <c r="D3265"/>
    </row>
    <row r="3266" spans="4:4">
      <c r="D3266"/>
    </row>
    <row r="3267" spans="4:4">
      <c r="D3267"/>
    </row>
    <row r="3268" spans="4:4">
      <c r="D3268"/>
    </row>
    <row r="3269" spans="4:4">
      <c r="D3269"/>
    </row>
    <row r="3270" spans="4:4">
      <c r="D3270"/>
    </row>
    <row r="3271" spans="4:4">
      <c r="D3271"/>
    </row>
    <row r="3272" spans="4:4">
      <c r="D3272"/>
    </row>
    <row r="3273" spans="4:4">
      <c r="D3273"/>
    </row>
    <row r="3274" spans="4:4">
      <c r="D3274"/>
    </row>
    <row r="3275" spans="4:4">
      <c r="D3275"/>
    </row>
    <row r="3276" spans="4:4">
      <c r="D3276"/>
    </row>
    <row r="3277" spans="4:4">
      <c r="D3277"/>
    </row>
    <row r="3278" spans="4:4">
      <c r="D3278"/>
    </row>
    <row r="3279" spans="4:4">
      <c r="D3279"/>
    </row>
    <row r="3280" spans="4:4">
      <c r="D3280"/>
    </row>
    <row r="3281" spans="4:4">
      <c r="D3281"/>
    </row>
    <row r="3282" spans="4:4">
      <c r="D3282"/>
    </row>
    <row r="3283" spans="4:4">
      <c r="D3283"/>
    </row>
    <row r="3284" spans="4:4">
      <c r="D3284"/>
    </row>
    <row r="3285" spans="4:4">
      <c r="D3285"/>
    </row>
    <row r="3286" spans="4:4">
      <c r="D3286"/>
    </row>
    <row r="3287" spans="4:4">
      <c r="D3287"/>
    </row>
    <row r="3288" spans="4:4">
      <c r="D3288"/>
    </row>
    <row r="3289" spans="4:4">
      <c r="D3289"/>
    </row>
    <row r="3290" spans="4:4">
      <c r="D3290"/>
    </row>
    <row r="3291" spans="4:4">
      <c r="D3291"/>
    </row>
    <row r="3292" spans="4:4">
      <c r="D3292"/>
    </row>
    <row r="3293" spans="4:4">
      <c r="D3293"/>
    </row>
    <row r="3294" spans="4:4">
      <c r="D3294"/>
    </row>
    <row r="3295" spans="4:4">
      <c r="D3295"/>
    </row>
    <row r="3296" spans="4:4">
      <c r="D3296"/>
    </row>
    <row r="3297" spans="4:4">
      <c r="D3297"/>
    </row>
    <row r="3298" spans="4:4">
      <c r="D3298"/>
    </row>
    <row r="3299" spans="4:4">
      <c r="D3299"/>
    </row>
    <row r="3300" spans="4:4">
      <c r="D3300"/>
    </row>
    <row r="3301" spans="4:4">
      <c r="D3301"/>
    </row>
    <row r="3302" spans="4:4">
      <c r="D3302"/>
    </row>
    <row r="3303" spans="4:4">
      <c r="D3303"/>
    </row>
    <row r="3304" spans="4:4">
      <c r="D3304"/>
    </row>
    <row r="3305" spans="4:4">
      <c r="D3305"/>
    </row>
    <row r="3306" spans="4:4">
      <c r="D3306"/>
    </row>
    <row r="3307" spans="4:4">
      <c r="D3307"/>
    </row>
    <row r="3308" spans="4:4">
      <c r="D3308"/>
    </row>
    <row r="3309" spans="4:4">
      <c r="D3309"/>
    </row>
    <row r="3310" spans="4:4">
      <c r="D3310"/>
    </row>
    <row r="3311" spans="4:4">
      <c r="D3311"/>
    </row>
    <row r="3312" spans="4:4">
      <c r="D3312"/>
    </row>
    <row r="3313" spans="4:4">
      <c r="D3313"/>
    </row>
    <row r="3314" spans="4:4">
      <c r="D3314"/>
    </row>
    <row r="3315" spans="4:4">
      <c r="D3315"/>
    </row>
    <row r="3316" spans="4:4">
      <c r="D3316"/>
    </row>
    <row r="3317" spans="4:4">
      <c r="D3317"/>
    </row>
    <row r="3318" spans="4:4">
      <c r="D3318"/>
    </row>
    <row r="3319" spans="4:4">
      <c r="D3319"/>
    </row>
    <row r="3320" spans="4:4">
      <c r="D3320"/>
    </row>
    <row r="3321" spans="4:4">
      <c r="D3321"/>
    </row>
    <row r="3322" spans="4:4">
      <c r="D3322"/>
    </row>
    <row r="3323" spans="4:4">
      <c r="D3323"/>
    </row>
    <row r="3324" spans="4:4">
      <c r="D3324"/>
    </row>
    <row r="3325" spans="4:4">
      <c r="D3325"/>
    </row>
    <row r="3326" spans="4:4">
      <c r="D3326"/>
    </row>
    <row r="3327" spans="4:4">
      <c r="D3327"/>
    </row>
    <row r="3328" spans="4:4">
      <c r="D3328"/>
    </row>
    <row r="3329" spans="4:4">
      <c r="D3329"/>
    </row>
    <row r="3330" spans="4:4">
      <c r="D3330"/>
    </row>
    <row r="3331" spans="4:4">
      <c r="D3331"/>
    </row>
    <row r="3332" spans="4:4">
      <c r="D3332"/>
    </row>
    <row r="3333" spans="4:4">
      <c r="D3333"/>
    </row>
    <row r="3334" spans="4:4">
      <c r="D3334"/>
    </row>
    <row r="3335" spans="4:4">
      <c r="D3335"/>
    </row>
    <row r="3336" spans="4:4">
      <c r="D3336"/>
    </row>
    <row r="3337" spans="4:4">
      <c r="D3337"/>
    </row>
    <row r="3338" spans="4:4">
      <c r="D3338"/>
    </row>
    <row r="3339" spans="4:4">
      <c r="D3339"/>
    </row>
    <row r="3340" spans="4:4">
      <c r="D3340"/>
    </row>
    <row r="3341" spans="4:4">
      <c r="D3341"/>
    </row>
    <row r="3342" spans="4:4">
      <c r="D3342"/>
    </row>
    <row r="3343" spans="4:4">
      <c r="D3343"/>
    </row>
    <row r="3344" spans="4:4">
      <c r="D3344"/>
    </row>
    <row r="3345" spans="4:4">
      <c r="D3345"/>
    </row>
    <row r="3346" spans="4:4">
      <c r="D3346"/>
    </row>
    <row r="3347" spans="4:4">
      <c r="D3347"/>
    </row>
    <row r="3348" spans="4:4">
      <c r="D3348"/>
    </row>
    <row r="3349" spans="4:4">
      <c r="D3349"/>
    </row>
    <row r="3350" spans="4:4">
      <c r="D3350"/>
    </row>
    <row r="3351" spans="4:4">
      <c r="D3351"/>
    </row>
    <row r="3352" spans="4:4">
      <c r="D3352"/>
    </row>
    <row r="3353" spans="4:4">
      <c r="D3353"/>
    </row>
    <row r="3354" spans="4:4">
      <c r="D3354"/>
    </row>
    <row r="3355" spans="4:4">
      <c r="D3355"/>
    </row>
    <row r="3356" spans="4:4">
      <c r="D3356"/>
    </row>
    <row r="3357" spans="4:4">
      <c r="D3357"/>
    </row>
    <row r="3358" spans="4:4">
      <c r="D3358"/>
    </row>
    <row r="3359" spans="4:4">
      <c r="D3359"/>
    </row>
    <row r="3360" spans="4:4">
      <c r="D3360"/>
    </row>
    <row r="3361" spans="4:4">
      <c r="D3361"/>
    </row>
    <row r="3362" spans="4:4">
      <c r="D3362"/>
    </row>
    <row r="3363" spans="4:4">
      <c r="D3363"/>
    </row>
    <row r="3364" spans="4:4">
      <c r="D3364"/>
    </row>
    <row r="3365" spans="4:4">
      <c r="D3365"/>
    </row>
    <row r="3366" spans="4:4">
      <c r="D3366"/>
    </row>
    <row r="3367" spans="4:4">
      <c r="D3367"/>
    </row>
    <row r="3368" spans="4:4">
      <c r="D3368"/>
    </row>
    <row r="3369" spans="4:4">
      <c r="D3369"/>
    </row>
    <row r="3370" spans="4:4">
      <c r="D3370"/>
    </row>
    <row r="3371" spans="4:4">
      <c r="D3371"/>
    </row>
    <row r="3372" spans="4:4">
      <c r="D3372"/>
    </row>
    <row r="3373" spans="4:4">
      <c r="D3373"/>
    </row>
    <row r="3374" spans="4:4">
      <c r="D3374"/>
    </row>
    <row r="3375" spans="4:4">
      <c r="D3375"/>
    </row>
    <row r="3376" spans="4:4">
      <c r="D3376"/>
    </row>
    <row r="3377" spans="4:4">
      <c r="D3377"/>
    </row>
    <row r="3378" spans="4:4">
      <c r="D3378"/>
    </row>
    <row r="3379" spans="4:4">
      <c r="D3379"/>
    </row>
    <row r="3380" spans="4:4">
      <c r="D3380"/>
    </row>
    <row r="3381" spans="4:4">
      <c r="D3381"/>
    </row>
    <row r="3382" spans="4:4">
      <c r="D3382"/>
    </row>
    <row r="3383" spans="4:4">
      <c r="D3383"/>
    </row>
    <row r="3384" spans="4:4">
      <c r="D3384"/>
    </row>
    <row r="3385" spans="4:4">
      <c r="D3385"/>
    </row>
    <row r="3386" spans="4:4">
      <c r="D3386"/>
    </row>
    <row r="3387" spans="4:4">
      <c r="D3387"/>
    </row>
    <row r="3388" spans="4:4">
      <c r="D3388"/>
    </row>
    <row r="3389" spans="4:4">
      <c r="D3389"/>
    </row>
    <row r="3390" spans="4:4">
      <c r="D3390"/>
    </row>
    <row r="3391" spans="4:4">
      <c r="D3391"/>
    </row>
    <row r="3392" spans="4:4">
      <c r="D3392"/>
    </row>
    <row r="3393" spans="4:4">
      <c r="D3393"/>
    </row>
    <row r="3394" spans="4:4">
      <c r="D3394"/>
    </row>
    <row r="3395" spans="4:4">
      <c r="D3395"/>
    </row>
    <row r="3396" spans="4:4">
      <c r="D3396"/>
    </row>
    <row r="3397" spans="4:4">
      <c r="D3397"/>
    </row>
    <row r="3398" spans="4:4">
      <c r="D3398"/>
    </row>
    <row r="3399" spans="4:4">
      <c r="D3399"/>
    </row>
    <row r="3400" spans="4:4">
      <c r="D3400"/>
    </row>
    <row r="3401" spans="4:4">
      <c r="D3401"/>
    </row>
    <row r="3402" spans="4:4">
      <c r="D3402"/>
    </row>
    <row r="3403" spans="4:4">
      <c r="D3403"/>
    </row>
    <row r="3404" spans="4:4">
      <c r="D3404"/>
    </row>
    <row r="3405" spans="4:4">
      <c r="D3405"/>
    </row>
    <row r="3406" spans="4:4">
      <c r="D3406"/>
    </row>
    <row r="3407" spans="4:4">
      <c r="D3407"/>
    </row>
    <row r="3408" spans="4:4">
      <c r="D3408"/>
    </row>
    <row r="3409" spans="4:4">
      <c r="D3409"/>
    </row>
    <row r="3410" spans="4:4">
      <c r="D3410"/>
    </row>
    <row r="3411" spans="4:4">
      <c r="D3411"/>
    </row>
    <row r="3412" spans="4:4">
      <c r="D3412"/>
    </row>
    <row r="3413" spans="4:4">
      <c r="D3413"/>
    </row>
    <row r="3414" spans="4:4">
      <c r="D3414"/>
    </row>
    <row r="3415" spans="4:4">
      <c r="D3415"/>
    </row>
    <row r="3416" spans="4:4">
      <c r="D3416"/>
    </row>
    <row r="3417" spans="4:4">
      <c r="D3417"/>
    </row>
    <row r="3418" spans="4:4">
      <c r="D3418"/>
    </row>
    <row r="3419" spans="4:4">
      <c r="D3419"/>
    </row>
    <row r="3420" spans="4:4">
      <c r="D3420"/>
    </row>
    <row r="3421" spans="4:4">
      <c r="D3421"/>
    </row>
    <row r="3422" spans="4:4">
      <c r="D3422"/>
    </row>
    <row r="3423" spans="4:4">
      <c r="D3423"/>
    </row>
    <row r="3424" spans="4:4">
      <c r="D3424"/>
    </row>
    <row r="3425" spans="4:4">
      <c r="D3425"/>
    </row>
    <row r="3426" spans="4:4">
      <c r="D3426"/>
    </row>
    <row r="3427" spans="4:4">
      <c r="D3427"/>
    </row>
    <row r="3428" spans="4:4">
      <c r="D3428"/>
    </row>
    <row r="3429" spans="4:4">
      <c r="D3429"/>
    </row>
    <row r="3430" spans="4:4">
      <c r="D3430"/>
    </row>
    <row r="3431" spans="4:4">
      <c r="D3431"/>
    </row>
    <row r="3432" spans="4:4">
      <c r="D3432"/>
    </row>
    <row r="3433" spans="4:4">
      <c r="D3433"/>
    </row>
    <row r="3434" spans="4:4">
      <c r="D3434"/>
    </row>
    <row r="3435" spans="4:4">
      <c r="D3435"/>
    </row>
    <row r="3436" spans="4:4">
      <c r="D3436"/>
    </row>
    <row r="3437" spans="4:4">
      <c r="D3437"/>
    </row>
    <row r="3438" spans="4:4">
      <c r="D3438"/>
    </row>
    <row r="3439" spans="4:4">
      <c r="D3439"/>
    </row>
    <row r="3440" spans="4:4">
      <c r="D3440"/>
    </row>
    <row r="3441" spans="4:4">
      <c r="D3441"/>
    </row>
    <row r="3442" spans="4:4">
      <c r="D3442"/>
    </row>
    <row r="3443" spans="4:4">
      <c r="D3443"/>
    </row>
    <row r="3444" spans="4:4">
      <c r="D3444"/>
    </row>
    <row r="3445" spans="4:4">
      <c r="D3445"/>
    </row>
    <row r="3446" spans="4:4">
      <c r="D3446"/>
    </row>
    <row r="3447" spans="4:4">
      <c r="D3447"/>
    </row>
    <row r="3448" spans="4:4">
      <c r="D3448"/>
    </row>
    <row r="3449" spans="4:4">
      <c r="D3449"/>
    </row>
    <row r="3450" spans="4:4">
      <c r="D3450"/>
    </row>
    <row r="3451" spans="4:4">
      <c r="D3451"/>
    </row>
    <row r="3452" spans="4:4">
      <c r="D3452"/>
    </row>
    <row r="3453" spans="4:4">
      <c r="D3453"/>
    </row>
    <row r="3454" spans="4:4">
      <c r="D3454"/>
    </row>
    <row r="3455" spans="4:4">
      <c r="D3455"/>
    </row>
    <row r="3456" spans="4:4">
      <c r="D3456"/>
    </row>
    <row r="3457" spans="4:4">
      <c r="D3457"/>
    </row>
    <row r="3458" spans="4:4">
      <c r="D3458"/>
    </row>
    <row r="3459" spans="4:4">
      <c r="D3459"/>
    </row>
    <row r="3460" spans="4:4">
      <c r="D3460"/>
    </row>
    <row r="3461" spans="4:4">
      <c r="D3461"/>
    </row>
    <row r="3462" spans="4:4">
      <c r="D3462"/>
    </row>
    <row r="3463" spans="4:4">
      <c r="D3463"/>
    </row>
    <row r="3464" spans="4:4">
      <c r="D3464"/>
    </row>
    <row r="3465" spans="4:4">
      <c r="D3465"/>
    </row>
    <row r="3466" spans="4:4">
      <c r="D3466"/>
    </row>
    <row r="3467" spans="4:4">
      <c r="D3467"/>
    </row>
    <row r="3468" spans="4:4">
      <c r="D3468"/>
    </row>
    <row r="3469" spans="4:4">
      <c r="D3469"/>
    </row>
    <row r="3470" spans="4:4">
      <c r="D3470"/>
    </row>
    <row r="3471" spans="4:4">
      <c r="D3471"/>
    </row>
    <row r="3472" spans="4:4">
      <c r="D3472"/>
    </row>
    <row r="3473" spans="4:4">
      <c r="D3473"/>
    </row>
    <row r="3474" spans="4:4">
      <c r="D3474"/>
    </row>
    <row r="3475" spans="4:4">
      <c r="D3475"/>
    </row>
    <row r="3476" spans="4:4">
      <c r="D3476"/>
    </row>
    <row r="3477" spans="4:4">
      <c r="D3477"/>
    </row>
    <row r="3478" spans="4:4">
      <c r="D3478"/>
    </row>
    <row r="3479" spans="4:4">
      <c r="D3479"/>
    </row>
    <row r="3480" spans="4:4">
      <c r="D3480"/>
    </row>
    <row r="3481" spans="4:4">
      <c r="D3481"/>
    </row>
    <row r="3482" spans="4:4">
      <c r="D3482"/>
    </row>
    <row r="3483" spans="4:4">
      <c r="D3483"/>
    </row>
    <row r="3484" spans="4:4">
      <c r="D3484"/>
    </row>
    <row r="3485" spans="4:4">
      <c r="D3485"/>
    </row>
    <row r="3486" spans="4:4">
      <c r="D3486"/>
    </row>
    <row r="3487" spans="4:4">
      <c r="D3487"/>
    </row>
    <row r="3488" spans="4:4">
      <c r="D3488"/>
    </row>
    <row r="3489" spans="4:4">
      <c r="D3489"/>
    </row>
    <row r="3490" spans="4:4">
      <c r="D3490"/>
    </row>
    <row r="3491" spans="4:4">
      <c r="D3491"/>
    </row>
    <row r="3492" spans="4:4">
      <c r="D3492"/>
    </row>
    <row r="3493" spans="4:4">
      <c r="D3493"/>
    </row>
    <row r="3494" spans="4:4">
      <c r="D3494"/>
    </row>
    <row r="3495" spans="4:4">
      <c r="D3495"/>
    </row>
    <row r="3496" spans="4:4">
      <c r="D3496"/>
    </row>
    <row r="3497" spans="4:4">
      <c r="D3497"/>
    </row>
    <row r="3498" spans="4:4">
      <c r="D3498"/>
    </row>
    <row r="3499" spans="4:4">
      <c r="D3499"/>
    </row>
    <row r="3500" spans="4:4">
      <c r="D3500"/>
    </row>
    <row r="3501" spans="4:4">
      <c r="D3501"/>
    </row>
    <row r="3502" spans="4:4">
      <c r="D3502"/>
    </row>
    <row r="3503" spans="4:4">
      <c r="D3503"/>
    </row>
    <row r="3504" spans="4:4">
      <c r="D3504"/>
    </row>
    <row r="3505" spans="4:4">
      <c r="D3505"/>
    </row>
    <row r="3506" spans="4:4">
      <c r="D3506"/>
    </row>
    <row r="3507" spans="4:4">
      <c r="D3507"/>
    </row>
    <row r="3508" spans="4:4">
      <c r="D3508"/>
    </row>
    <row r="3509" spans="4:4">
      <c r="D3509"/>
    </row>
    <row r="3510" spans="4:4">
      <c r="D3510"/>
    </row>
    <row r="3511" spans="4:4">
      <c r="D3511"/>
    </row>
    <row r="3512" spans="4:4">
      <c r="D3512"/>
    </row>
    <row r="3513" spans="4:4">
      <c r="D3513"/>
    </row>
    <row r="3514" spans="4:4">
      <c r="D3514"/>
    </row>
    <row r="3515" spans="4:4">
      <c r="D3515"/>
    </row>
    <row r="3516" spans="4:4">
      <c r="D3516"/>
    </row>
    <row r="3517" spans="4:4">
      <c r="D3517"/>
    </row>
    <row r="3518" spans="4:4">
      <c r="D3518"/>
    </row>
    <row r="3519" spans="4:4">
      <c r="D3519"/>
    </row>
    <row r="3520" spans="4:4">
      <c r="D3520"/>
    </row>
    <row r="3521" spans="4:4">
      <c r="D3521"/>
    </row>
    <row r="3522" spans="4:4">
      <c r="D3522"/>
    </row>
    <row r="3523" spans="4:4">
      <c r="D3523"/>
    </row>
    <row r="3524" spans="4:4">
      <c r="D3524"/>
    </row>
    <row r="3525" spans="4:4">
      <c r="D3525"/>
    </row>
    <row r="3526" spans="4:4">
      <c r="D3526"/>
    </row>
    <row r="3527" spans="4:4">
      <c r="D3527"/>
    </row>
    <row r="3528" spans="4:4">
      <c r="D3528"/>
    </row>
    <row r="3529" spans="4:4">
      <c r="D3529"/>
    </row>
    <row r="3530" spans="4:4">
      <c r="D3530"/>
    </row>
    <row r="3531" spans="4:4">
      <c r="D3531"/>
    </row>
    <row r="3532" spans="4:4">
      <c r="D3532"/>
    </row>
    <row r="3533" spans="4:4">
      <c r="D3533"/>
    </row>
    <row r="3534" spans="4:4">
      <c r="D3534"/>
    </row>
    <row r="3535" spans="4:4">
      <c r="D3535"/>
    </row>
    <row r="3536" spans="4:4">
      <c r="D3536"/>
    </row>
    <row r="3537" spans="4:4">
      <c r="D3537"/>
    </row>
    <row r="3538" spans="4:4">
      <c r="D3538"/>
    </row>
    <row r="3539" spans="4:4">
      <c r="D3539"/>
    </row>
    <row r="3540" spans="4:4">
      <c r="D3540"/>
    </row>
    <row r="3541" spans="4:4">
      <c r="D3541"/>
    </row>
    <row r="3542" spans="4:4">
      <c r="D3542"/>
    </row>
    <row r="3543" spans="4:4">
      <c r="D3543"/>
    </row>
    <row r="3544" spans="4:4">
      <c r="D3544"/>
    </row>
    <row r="3545" spans="4:4">
      <c r="D3545"/>
    </row>
    <row r="3546" spans="4:4">
      <c r="D3546"/>
    </row>
    <row r="3547" spans="4:4">
      <c r="D3547"/>
    </row>
    <row r="3548" spans="4:4">
      <c r="D3548"/>
    </row>
    <row r="3549" spans="4:4">
      <c r="D3549"/>
    </row>
    <row r="3550" spans="4:4">
      <c r="D3550"/>
    </row>
    <row r="3551" spans="4:4">
      <c r="D3551"/>
    </row>
    <row r="3552" spans="4:4">
      <c r="D3552"/>
    </row>
    <row r="3553" spans="4:4">
      <c r="D3553"/>
    </row>
    <row r="3554" spans="4:4">
      <c r="D3554"/>
    </row>
    <row r="3555" spans="4:4">
      <c r="D3555"/>
    </row>
    <row r="3556" spans="4:4">
      <c r="D3556"/>
    </row>
    <row r="3557" spans="4:4">
      <c r="D3557"/>
    </row>
    <row r="3558" spans="4:4">
      <c r="D3558"/>
    </row>
    <row r="3559" spans="4:4">
      <c r="D3559"/>
    </row>
    <row r="3560" spans="4:4">
      <c r="D3560"/>
    </row>
    <row r="3561" spans="4:4">
      <c r="D3561"/>
    </row>
    <row r="3562" spans="4:4">
      <c r="D3562"/>
    </row>
    <row r="3563" spans="4:4">
      <c r="D3563"/>
    </row>
    <row r="3564" spans="4:4">
      <c r="D3564"/>
    </row>
    <row r="3565" spans="4:4">
      <c r="D3565"/>
    </row>
    <row r="3566" spans="4:4">
      <c r="D3566"/>
    </row>
    <row r="3567" spans="4:4">
      <c r="D3567"/>
    </row>
    <row r="3568" spans="4:4">
      <c r="D3568"/>
    </row>
    <row r="3569" spans="4:4">
      <c r="D3569"/>
    </row>
    <row r="3570" spans="4:4">
      <c r="D3570"/>
    </row>
    <row r="3571" spans="4:4">
      <c r="D3571"/>
    </row>
    <row r="3572" spans="4:4">
      <c r="D3572"/>
    </row>
    <row r="3573" spans="4:4">
      <c r="D3573"/>
    </row>
    <row r="3574" spans="4:4">
      <c r="D3574"/>
    </row>
    <row r="3575" spans="4:4">
      <c r="D3575"/>
    </row>
    <row r="3576" spans="4:4">
      <c r="D3576"/>
    </row>
    <row r="3577" spans="4:4">
      <c r="D3577"/>
    </row>
    <row r="3578" spans="4:4">
      <c r="D3578"/>
    </row>
    <row r="3579" spans="4:4">
      <c r="D3579"/>
    </row>
    <row r="3580" spans="4:4">
      <c r="D3580"/>
    </row>
    <row r="3581" spans="4:4">
      <c r="D3581"/>
    </row>
    <row r="3582" spans="4:4">
      <c r="D3582"/>
    </row>
    <row r="3583" spans="4:4">
      <c r="D3583"/>
    </row>
    <row r="3584" spans="4:4">
      <c r="D3584"/>
    </row>
    <row r="3585" spans="4:4">
      <c r="D3585"/>
    </row>
    <row r="3586" spans="4:4">
      <c r="D3586"/>
    </row>
    <row r="3587" spans="4:4">
      <c r="D3587"/>
    </row>
    <row r="3588" spans="4:4">
      <c r="D3588"/>
    </row>
    <row r="3589" spans="4:4">
      <c r="D3589"/>
    </row>
    <row r="3590" spans="4:4">
      <c r="D3590"/>
    </row>
    <row r="3591" spans="4:4">
      <c r="D3591"/>
    </row>
    <row r="3592" spans="4:4">
      <c r="D3592"/>
    </row>
    <row r="3593" spans="4:4">
      <c r="D3593"/>
    </row>
    <row r="3594" spans="4:4">
      <c r="D3594"/>
    </row>
    <row r="3595" spans="4:4">
      <c r="D3595"/>
    </row>
    <row r="3596" spans="4:4">
      <c r="D3596"/>
    </row>
    <row r="3597" spans="4:4">
      <c r="D3597"/>
    </row>
    <row r="3598" spans="4:4">
      <c r="D3598"/>
    </row>
    <row r="3599" spans="4:4">
      <c r="D3599"/>
    </row>
    <row r="3600" spans="4:4">
      <c r="D3600"/>
    </row>
    <row r="3601" spans="4:4">
      <c r="D3601"/>
    </row>
    <row r="3602" spans="4:4">
      <c r="D3602"/>
    </row>
    <row r="3603" spans="4:4">
      <c r="D3603"/>
    </row>
    <row r="3604" spans="4:4">
      <c r="D3604"/>
    </row>
    <row r="3605" spans="4:4">
      <c r="D3605"/>
    </row>
    <row r="3606" spans="4:4">
      <c r="D3606"/>
    </row>
    <row r="3607" spans="4:4">
      <c r="D3607"/>
    </row>
    <row r="3608" spans="4:4">
      <c r="D3608"/>
    </row>
    <row r="3609" spans="4:4">
      <c r="D3609"/>
    </row>
    <row r="3610" spans="4:4">
      <c r="D3610"/>
    </row>
    <row r="3611" spans="4:4">
      <c r="D3611"/>
    </row>
    <row r="3612" spans="4:4">
      <c r="D3612"/>
    </row>
    <row r="3613" spans="4:4">
      <c r="D3613"/>
    </row>
    <row r="3614" spans="4:4">
      <c r="D3614"/>
    </row>
    <row r="3615" spans="4:4">
      <c r="D3615"/>
    </row>
    <row r="3616" spans="4:4">
      <c r="D3616"/>
    </row>
    <row r="3617" spans="4:4">
      <c r="D3617"/>
    </row>
    <row r="3618" spans="4:4">
      <c r="D3618"/>
    </row>
    <row r="3619" spans="4:4">
      <c r="D3619"/>
    </row>
    <row r="3620" spans="4:4">
      <c r="D3620"/>
    </row>
    <row r="3621" spans="4:4">
      <c r="D3621"/>
    </row>
    <row r="3622" spans="4:4">
      <c r="D3622"/>
    </row>
    <row r="3623" spans="4:4">
      <c r="D3623"/>
    </row>
    <row r="3624" spans="4:4">
      <c r="D3624"/>
    </row>
    <row r="3625" spans="4:4">
      <c r="D3625"/>
    </row>
    <row r="3626" spans="4:4">
      <c r="D3626"/>
    </row>
    <row r="3627" spans="4:4">
      <c r="D3627"/>
    </row>
    <row r="3628" spans="4:4">
      <c r="D3628"/>
    </row>
    <row r="3629" spans="4:4">
      <c r="D3629"/>
    </row>
    <row r="3630" spans="4:4">
      <c r="D3630"/>
    </row>
    <row r="3631" spans="4:4">
      <c r="D3631"/>
    </row>
    <row r="3632" spans="4:4">
      <c r="D3632"/>
    </row>
    <row r="3633" spans="4:4">
      <c r="D3633"/>
    </row>
    <row r="3634" spans="4:4">
      <c r="D3634"/>
    </row>
    <row r="3635" spans="4:4">
      <c r="D3635"/>
    </row>
    <row r="3636" spans="4:4">
      <c r="D3636"/>
    </row>
    <row r="3637" spans="4:4">
      <c r="D3637"/>
    </row>
    <row r="3638" spans="4:4">
      <c r="D3638"/>
    </row>
    <row r="3639" spans="4:4">
      <c r="D3639"/>
    </row>
    <row r="3640" spans="4:4">
      <c r="D3640"/>
    </row>
    <row r="3641" spans="4:4">
      <c r="D3641"/>
    </row>
    <row r="3642" spans="4:4">
      <c r="D3642"/>
    </row>
    <row r="3643" spans="4:4">
      <c r="D3643"/>
    </row>
    <row r="3644" spans="4:4">
      <c r="D3644"/>
    </row>
    <row r="3645" spans="4:4">
      <c r="D3645"/>
    </row>
    <row r="3646" spans="4:4">
      <c r="D3646"/>
    </row>
    <row r="3647" spans="4:4">
      <c r="D3647"/>
    </row>
    <row r="3648" spans="4:4">
      <c r="D3648"/>
    </row>
    <row r="3649" spans="4:4">
      <c r="D3649"/>
    </row>
    <row r="3650" spans="4:4">
      <c r="D3650"/>
    </row>
    <row r="3651" spans="4:4">
      <c r="D3651"/>
    </row>
    <row r="3652" spans="4:4">
      <c r="D3652"/>
    </row>
    <row r="3653" spans="4:4">
      <c r="D3653"/>
    </row>
    <row r="3654" spans="4:4">
      <c r="D3654"/>
    </row>
    <row r="3655" spans="4:4">
      <c r="D3655"/>
    </row>
    <row r="3656" spans="4:4">
      <c r="D3656"/>
    </row>
    <row r="3657" spans="4:4">
      <c r="D3657"/>
    </row>
    <row r="3658" spans="4:4">
      <c r="D3658"/>
    </row>
    <row r="3659" spans="4:4">
      <c r="D3659"/>
    </row>
    <row r="3660" spans="4:4">
      <c r="D3660"/>
    </row>
    <row r="3661" spans="4:4">
      <c r="D3661"/>
    </row>
    <row r="3662" spans="4:4">
      <c r="D3662"/>
    </row>
    <row r="3663" spans="4:4">
      <c r="D3663"/>
    </row>
    <row r="3664" spans="4:4">
      <c r="D3664"/>
    </row>
    <row r="3665" spans="4:4">
      <c r="D3665"/>
    </row>
    <row r="3666" spans="4:4">
      <c r="D3666"/>
    </row>
    <row r="3667" spans="4:4">
      <c r="D3667"/>
    </row>
    <row r="3668" spans="4:4">
      <c r="D3668"/>
    </row>
    <row r="3669" spans="4:4">
      <c r="D3669"/>
    </row>
    <row r="3670" spans="4:4">
      <c r="D3670"/>
    </row>
    <row r="3671" spans="4:4">
      <c r="D3671"/>
    </row>
    <row r="3672" spans="4:4">
      <c r="D3672"/>
    </row>
    <row r="3673" spans="4:4">
      <c r="D3673"/>
    </row>
    <row r="3674" spans="4:4">
      <c r="D3674"/>
    </row>
    <row r="3675" spans="4:4">
      <c r="D3675"/>
    </row>
    <row r="3676" spans="4:4">
      <c r="D3676"/>
    </row>
    <row r="3677" spans="4:4">
      <c r="D3677"/>
    </row>
    <row r="3678" spans="4:4">
      <c r="D3678"/>
    </row>
    <row r="3679" spans="4:4">
      <c r="D3679"/>
    </row>
    <row r="3680" spans="4:4">
      <c r="D3680"/>
    </row>
    <row r="3681" spans="4:4">
      <c r="D3681"/>
    </row>
    <row r="3682" spans="4:4">
      <c r="D3682"/>
    </row>
    <row r="3683" spans="4:4">
      <c r="D3683"/>
    </row>
    <row r="3684" spans="4:4">
      <c r="D3684"/>
    </row>
    <row r="3685" spans="4:4">
      <c r="D3685"/>
    </row>
    <row r="3686" spans="4:4">
      <c r="D3686"/>
    </row>
    <row r="3687" spans="4:4">
      <c r="D3687"/>
    </row>
    <row r="3688" spans="4:4">
      <c r="D3688"/>
    </row>
    <row r="3689" spans="4:4">
      <c r="D3689"/>
    </row>
    <row r="3690" spans="4:4">
      <c r="D3690"/>
    </row>
    <row r="3691" spans="4:4">
      <c r="D3691"/>
    </row>
    <row r="3692" spans="4:4">
      <c r="D3692"/>
    </row>
    <row r="3693" spans="4:4">
      <c r="D3693"/>
    </row>
    <row r="3694" spans="4:4">
      <c r="D3694"/>
    </row>
    <row r="3695" spans="4:4">
      <c r="D3695"/>
    </row>
    <row r="3696" spans="4:4">
      <c r="D3696"/>
    </row>
    <row r="3697" spans="4:4">
      <c r="D3697"/>
    </row>
    <row r="3698" spans="4:4">
      <c r="D3698"/>
    </row>
    <row r="3699" spans="4:4">
      <c r="D3699"/>
    </row>
    <row r="3700" spans="4:4">
      <c r="D3700"/>
    </row>
    <row r="3701" spans="4:4">
      <c r="D3701"/>
    </row>
    <row r="3702" spans="4:4">
      <c r="D3702"/>
    </row>
    <row r="3703" spans="4:4">
      <c r="D3703"/>
    </row>
    <row r="3704" spans="4:4">
      <c r="D3704"/>
    </row>
    <row r="3705" spans="4:4">
      <c r="D3705"/>
    </row>
    <row r="3706" spans="4:4">
      <c r="D3706"/>
    </row>
    <row r="3707" spans="4:4">
      <c r="D3707"/>
    </row>
    <row r="3708" spans="4:4">
      <c r="D3708"/>
    </row>
    <row r="3709" spans="4:4">
      <c r="D3709"/>
    </row>
    <row r="3710" spans="4:4">
      <c r="D3710"/>
    </row>
    <row r="3711" spans="4:4">
      <c r="D3711"/>
    </row>
    <row r="3712" spans="4:4">
      <c r="D3712"/>
    </row>
    <row r="3713" spans="4:4">
      <c r="D3713"/>
    </row>
    <row r="3714" spans="4:4">
      <c r="D3714"/>
    </row>
    <row r="3715" spans="4:4">
      <c r="D3715"/>
    </row>
    <row r="3716" spans="4:4">
      <c r="D3716"/>
    </row>
    <row r="3717" spans="4:4">
      <c r="D3717"/>
    </row>
    <row r="3718" spans="4:4">
      <c r="D3718"/>
    </row>
    <row r="3719" spans="4:4">
      <c r="D3719"/>
    </row>
    <row r="3720" spans="4:4">
      <c r="D3720"/>
    </row>
    <row r="3721" spans="4:4">
      <c r="D3721"/>
    </row>
    <row r="3722" spans="4:4">
      <c r="D3722"/>
    </row>
    <row r="3723" spans="4:4">
      <c r="D3723"/>
    </row>
    <row r="3724" spans="4:4">
      <c r="D3724"/>
    </row>
    <row r="3725" spans="4:4">
      <c r="D3725"/>
    </row>
    <row r="3726" spans="4:4">
      <c r="D3726"/>
    </row>
    <row r="3727" spans="4:4">
      <c r="D3727"/>
    </row>
    <row r="3728" spans="4:4">
      <c r="D3728"/>
    </row>
    <row r="3729" spans="4:4">
      <c r="D3729"/>
    </row>
    <row r="3730" spans="4:4">
      <c r="D3730"/>
    </row>
    <row r="3731" spans="4:4">
      <c r="D3731"/>
    </row>
    <row r="3732" spans="4:4">
      <c r="D3732"/>
    </row>
    <row r="3733" spans="4:4">
      <c r="D3733"/>
    </row>
    <row r="3734" spans="4:4">
      <c r="D3734"/>
    </row>
    <row r="3735" spans="4:4">
      <c r="D3735"/>
    </row>
    <row r="3736" spans="4:4">
      <c r="D3736"/>
    </row>
    <row r="3737" spans="4:4">
      <c r="D3737"/>
    </row>
    <row r="3738" spans="4:4">
      <c r="D3738"/>
    </row>
    <row r="3739" spans="4:4">
      <c r="D3739"/>
    </row>
    <row r="3740" spans="4:4">
      <c r="D3740"/>
    </row>
    <row r="3741" spans="4:4">
      <c r="D3741"/>
    </row>
    <row r="3742" spans="4:4">
      <c r="D3742"/>
    </row>
    <row r="3743" spans="4:4">
      <c r="D3743"/>
    </row>
    <row r="3744" spans="4:4">
      <c r="D3744"/>
    </row>
    <row r="3745" spans="4:4">
      <c r="D3745"/>
    </row>
    <row r="3746" spans="4:4">
      <c r="D3746"/>
    </row>
    <row r="3747" spans="4:4">
      <c r="D3747"/>
    </row>
    <row r="3748" spans="4:4">
      <c r="D3748"/>
    </row>
    <row r="3749" spans="4:4">
      <c r="D3749"/>
    </row>
    <row r="3750" spans="4:4">
      <c r="D3750"/>
    </row>
    <row r="3751" spans="4:4">
      <c r="D3751"/>
    </row>
    <row r="3752" spans="4:4">
      <c r="D3752"/>
    </row>
    <row r="3753" spans="4:4">
      <c r="D3753"/>
    </row>
    <row r="3754" spans="4:4">
      <c r="D3754"/>
    </row>
    <row r="3755" spans="4:4">
      <c r="D3755"/>
    </row>
    <row r="3756" spans="4:4">
      <c r="D3756"/>
    </row>
    <row r="3757" spans="4:4">
      <c r="D3757"/>
    </row>
    <row r="3758" spans="4:4">
      <c r="D3758"/>
    </row>
    <row r="3759" spans="4:4">
      <c r="D3759"/>
    </row>
    <row r="3760" spans="4:4">
      <c r="D3760"/>
    </row>
    <row r="3761" spans="4:4">
      <c r="D3761"/>
    </row>
    <row r="3762" spans="4:4">
      <c r="D3762"/>
    </row>
    <row r="3763" spans="4:4">
      <c r="D3763"/>
    </row>
    <row r="3764" spans="4:4">
      <c r="D3764"/>
    </row>
    <row r="3765" spans="4:4">
      <c r="D3765"/>
    </row>
    <row r="3766" spans="4:4">
      <c r="D3766"/>
    </row>
    <row r="3767" spans="4:4">
      <c r="D3767"/>
    </row>
    <row r="3768" spans="4:4">
      <c r="D3768"/>
    </row>
    <row r="3769" spans="4:4">
      <c r="D3769"/>
    </row>
    <row r="3770" spans="4:4">
      <c r="D3770"/>
    </row>
    <row r="3771" spans="4:4">
      <c r="D3771"/>
    </row>
    <row r="3772" spans="4:4">
      <c r="D3772"/>
    </row>
    <row r="3773" spans="4:4">
      <c r="D3773"/>
    </row>
    <row r="3774" spans="4:4">
      <c r="D3774"/>
    </row>
    <row r="3775" spans="4:4">
      <c r="D3775"/>
    </row>
    <row r="3776" spans="4:4">
      <c r="D3776"/>
    </row>
    <row r="3777" spans="4:4">
      <c r="D3777"/>
    </row>
    <row r="3778" spans="4:4">
      <c r="D3778"/>
    </row>
    <row r="3779" spans="4:4">
      <c r="D3779"/>
    </row>
    <row r="3780" spans="4:4">
      <c r="D3780"/>
    </row>
    <row r="3781" spans="4:4">
      <c r="D3781"/>
    </row>
    <row r="3782" spans="4:4">
      <c r="D3782"/>
    </row>
    <row r="3783" spans="4:4">
      <c r="D3783"/>
    </row>
    <row r="3784" spans="4:4">
      <c r="D3784"/>
    </row>
    <row r="3785" spans="4:4">
      <c r="D3785"/>
    </row>
    <row r="3786" spans="4:4">
      <c r="D3786"/>
    </row>
    <row r="3787" spans="4:4">
      <c r="D3787"/>
    </row>
    <row r="3788" spans="4:4">
      <c r="D3788"/>
    </row>
    <row r="3789" spans="4:4">
      <c r="D3789"/>
    </row>
    <row r="3790" spans="4:4">
      <c r="D3790"/>
    </row>
    <row r="3791" spans="4:4">
      <c r="D3791"/>
    </row>
    <row r="3792" spans="4:4">
      <c r="D3792"/>
    </row>
    <row r="3793" spans="4:4">
      <c r="D3793"/>
    </row>
    <row r="3794" spans="4:4">
      <c r="D3794"/>
    </row>
    <row r="3795" spans="4:4">
      <c r="D3795"/>
    </row>
    <row r="3796" spans="4:4">
      <c r="D3796"/>
    </row>
    <row r="3797" spans="4:4">
      <c r="D3797"/>
    </row>
    <row r="3798" spans="4:4">
      <c r="D3798"/>
    </row>
    <row r="3799" spans="4:4">
      <c r="D3799"/>
    </row>
    <row r="3800" spans="4:4">
      <c r="D3800"/>
    </row>
    <row r="3801" spans="4:4">
      <c r="D3801"/>
    </row>
    <row r="3802" spans="4:4">
      <c r="D3802"/>
    </row>
    <row r="3803" spans="4:4">
      <c r="D3803"/>
    </row>
    <row r="3804" spans="4:4">
      <c r="D3804"/>
    </row>
    <row r="3805" spans="4:4">
      <c r="D3805"/>
    </row>
    <row r="3806" spans="4:4">
      <c r="D3806"/>
    </row>
    <row r="3807" spans="4:4">
      <c r="D3807"/>
    </row>
    <row r="3808" spans="4:4">
      <c r="D3808"/>
    </row>
    <row r="3809" spans="4:4">
      <c r="D3809"/>
    </row>
    <row r="3810" spans="4:4">
      <c r="D3810"/>
    </row>
    <row r="3811" spans="4:4">
      <c r="D3811"/>
    </row>
    <row r="3812" spans="4:4">
      <c r="D3812"/>
    </row>
    <row r="3813" spans="4:4">
      <c r="D3813"/>
    </row>
    <row r="3814" spans="4:4">
      <c r="D3814"/>
    </row>
    <row r="3815" spans="4:4">
      <c r="D3815"/>
    </row>
    <row r="3816" spans="4:4">
      <c r="D3816"/>
    </row>
    <row r="3817" spans="4:4">
      <c r="D3817"/>
    </row>
    <row r="3818" spans="4:4">
      <c r="D3818"/>
    </row>
    <row r="3819" spans="4:4">
      <c r="D3819"/>
    </row>
    <row r="3820" spans="4:4">
      <c r="D3820"/>
    </row>
    <row r="3821" spans="4:4">
      <c r="D3821"/>
    </row>
    <row r="3822" spans="4:4">
      <c r="D3822"/>
    </row>
    <row r="3823" spans="4:4">
      <c r="D3823"/>
    </row>
    <row r="3824" spans="4:4">
      <c r="D3824"/>
    </row>
    <row r="3825" spans="4:4">
      <c r="D3825"/>
    </row>
    <row r="3826" spans="4:4">
      <c r="D3826"/>
    </row>
    <row r="3827" spans="4:4">
      <c r="D3827"/>
    </row>
    <row r="3828" spans="4:4">
      <c r="D3828"/>
    </row>
    <row r="3829" spans="4:4">
      <c r="D3829"/>
    </row>
    <row r="3830" spans="4:4">
      <c r="D3830"/>
    </row>
    <row r="3831" spans="4:4">
      <c r="D3831"/>
    </row>
    <row r="3832" spans="4:4">
      <c r="D3832"/>
    </row>
    <row r="3833" spans="4:4">
      <c r="D3833"/>
    </row>
    <row r="3834" spans="4:4">
      <c r="D3834"/>
    </row>
    <row r="3835" spans="4:4">
      <c r="D3835"/>
    </row>
    <row r="3836" spans="4:4">
      <c r="D3836"/>
    </row>
    <row r="3837" spans="4:4">
      <c r="D3837"/>
    </row>
    <row r="3838" spans="4:4">
      <c r="D3838"/>
    </row>
    <row r="3839" spans="4:4">
      <c r="D3839"/>
    </row>
    <row r="3840" spans="4:4">
      <c r="D3840"/>
    </row>
    <row r="3841" spans="4:4">
      <c r="D3841"/>
    </row>
    <row r="3842" spans="4:4">
      <c r="D3842"/>
    </row>
    <row r="3843" spans="4:4">
      <c r="D3843"/>
    </row>
    <row r="3844" spans="4:4">
      <c r="D3844"/>
    </row>
    <row r="3845" spans="4:4">
      <c r="D3845"/>
    </row>
    <row r="3846" spans="4:4">
      <c r="D3846"/>
    </row>
    <row r="3847" spans="4:4">
      <c r="D3847"/>
    </row>
    <row r="3848" spans="4:4">
      <c r="D3848"/>
    </row>
    <row r="3849" spans="4:4">
      <c r="D3849"/>
    </row>
    <row r="3850" spans="4:4">
      <c r="D3850"/>
    </row>
    <row r="3851" spans="4:4">
      <c r="D3851"/>
    </row>
    <row r="3852" spans="4:4">
      <c r="D3852"/>
    </row>
    <row r="3853" spans="4:4">
      <c r="D3853"/>
    </row>
    <row r="3854" spans="4:4">
      <c r="D3854"/>
    </row>
    <row r="3855" spans="4:4">
      <c r="D3855"/>
    </row>
    <row r="3856" spans="4:4">
      <c r="D3856"/>
    </row>
    <row r="3857" spans="4:4">
      <c r="D3857"/>
    </row>
    <row r="3858" spans="4:4">
      <c r="D3858"/>
    </row>
    <row r="3859" spans="4:4">
      <c r="D3859"/>
    </row>
    <row r="3860" spans="4:4">
      <c r="D3860"/>
    </row>
    <row r="3861" spans="4:4">
      <c r="D3861"/>
    </row>
    <row r="3862" spans="4:4">
      <c r="D3862"/>
    </row>
    <row r="3863" spans="4:4">
      <c r="D3863"/>
    </row>
    <row r="3864" spans="4:4">
      <c r="D3864"/>
    </row>
    <row r="3865" spans="4:4">
      <c r="D3865"/>
    </row>
    <row r="3866" spans="4:4">
      <c r="D3866"/>
    </row>
    <row r="3867" spans="4:4">
      <c r="D3867"/>
    </row>
    <row r="3868" spans="4:4">
      <c r="D3868"/>
    </row>
    <row r="3869" spans="4:4">
      <c r="D3869"/>
    </row>
    <row r="3870" spans="4:4">
      <c r="D3870"/>
    </row>
    <row r="3871" spans="4:4">
      <c r="D3871"/>
    </row>
    <row r="3872" spans="4:4">
      <c r="D3872"/>
    </row>
    <row r="3873" spans="4:4">
      <c r="D3873"/>
    </row>
    <row r="3874" spans="4:4">
      <c r="D3874"/>
    </row>
    <row r="3875" spans="4:4">
      <c r="D3875"/>
    </row>
    <row r="3876" spans="4:4">
      <c r="D3876"/>
    </row>
    <row r="3877" spans="4:4">
      <c r="D3877"/>
    </row>
    <row r="3878" spans="4:4">
      <c r="D3878"/>
    </row>
    <row r="3879" spans="4:4">
      <c r="D3879"/>
    </row>
    <row r="3880" spans="4:4">
      <c r="D3880"/>
    </row>
    <row r="3881" spans="4:4">
      <c r="D3881"/>
    </row>
    <row r="3882" spans="4:4">
      <c r="D3882"/>
    </row>
    <row r="3883" spans="4:4">
      <c r="D3883"/>
    </row>
    <row r="3884" spans="4:4">
      <c r="D3884"/>
    </row>
    <row r="3885" spans="4:4">
      <c r="D3885"/>
    </row>
    <row r="3886" spans="4:4">
      <c r="D3886"/>
    </row>
    <row r="3887" spans="4:4">
      <c r="D3887"/>
    </row>
    <row r="3888" spans="4:4">
      <c r="D3888"/>
    </row>
    <row r="3889" spans="4:4">
      <c r="D3889"/>
    </row>
    <row r="3890" spans="4:4">
      <c r="D3890"/>
    </row>
    <row r="3891" spans="4:4">
      <c r="D3891"/>
    </row>
    <row r="3892" spans="4:4">
      <c r="D3892"/>
    </row>
    <row r="3893" spans="4:4">
      <c r="D3893"/>
    </row>
    <row r="3894" spans="4:4">
      <c r="D3894"/>
    </row>
    <row r="3895" spans="4:4">
      <c r="D3895"/>
    </row>
    <row r="3896" spans="4:4">
      <c r="D3896"/>
    </row>
    <row r="3897" spans="4:4">
      <c r="D3897"/>
    </row>
    <row r="3898" spans="4:4">
      <c r="D3898"/>
    </row>
    <row r="3899" spans="4:4">
      <c r="D3899"/>
    </row>
    <row r="3900" spans="4:4">
      <c r="D3900"/>
    </row>
    <row r="3901" spans="4:4">
      <c r="D3901"/>
    </row>
    <row r="3902" spans="4:4">
      <c r="D3902"/>
    </row>
    <row r="3903" spans="4:4">
      <c r="D3903"/>
    </row>
    <row r="3904" spans="4:4">
      <c r="D3904"/>
    </row>
    <row r="3905" spans="4:4">
      <c r="D3905"/>
    </row>
    <row r="3906" spans="4:4">
      <c r="D3906"/>
    </row>
    <row r="3907" spans="4:4">
      <c r="D3907"/>
    </row>
    <row r="3908" spans="4:4">
      <c r="D3908"/>
    </row>
    <row r="3909" spans="4:4">
      <c r="D3909"/>
    </row>
    <row r="3910" spans="4:4">
      <c r="D3910"/>
    </row>
    <row r="3911" spans="4:4">
      <c r="D3911"/>
    </row>
    <row r="3912" spans="4:4">
      <c r="D3912"/>
    </row>
    <row r="3913" spans="4:4">
      <c r="D3913"/>
    </row>
    <row r="3914" spans="4:4">
      <c r="D3914"/>
    </row>
    <row r="3915" spans="4:4">
      <c r="D3915"/>
    </row>
    <row r="3916" spans="4:4">
      <c r="D3916"/>
    </row>
    <row r="3917" spans="4:4">
      <c r="D3917"/>
    </row>
    <row r="3918" spans="4:4">
      <c r="D3918"/>
    </row>
    <row r="3919" spans="4:4">
      <c r="D3919"/>
    </row>
    <row r="3920" spans="4:4">
      <c r="D3920"/>
    </row>
    <row r="3921" spans="4:4">
      <c r="D3921"/>
    </row>
    <row r="3922" spans="4:4">
      <c r="D3922"/>
    </row>
    <row r="3923" spans="4:4">
      <c r="D3923"/>
    </row>
    <row r="3924" spans="4:4">
      <c r="D3924"/>
    </row>
    <row r="3925" spans="4:4">
      <c r="D3925"/>
    </row>
    <row r="3926" spans="4:4">
      <c r="D3926"/>
    </row>
    <row r="3927" spans="4:4">
      <c r="D3927"/>
    </row>
    <row r="3928" spans="4:4">
      <c r="D3928"/>
    </row>
    <row r="3929" spans="4:4">
      <c r="D3929"/>
    </row>
    <row r="3930" spans="4:4">
      <c r="D3930"/>
    </row>
    <row r="3931" spans="4:4">
      <c r="D3931"/>
    </row>
    <row r="3932" spans="4:4">
      <c r="D3932"/>
    </row>
    <row r="3933" spans="4:4">
      <c r="D3933"/>
    </row>
    <row r="3934" spans="4:4">
      <c r="D3934"/>
    </row>
    <row r="3935" spans="4:4">
      <c r="D3935"/>
    </row>
    <row r="3936" spans="4:4">
      <c r="D3936"/>
    </row>
    <row r="3937" spans="4:4">
      <c r="D3937"/>
    </row>
    <row r="3938" spans="4:4">
      <c r="D3938"/>
    </row>
    <row r="3939" spans="4:4">
      <c r="D3939"/>
    </row>
    <row r="3940" spans="4:4">
      <c r="D3940"/>
    </row>
    <row r="3941" spans="4:4">
      <c r="D3941"/>
    </row>
    <row r="3942" spans="4:4">
      <c r="D3942"/>
    </row>
    <row r="3943" spans="4:4">
      <c r="D3943"/>
    </row>
    <row r="3944" spans="4:4">
      <c r="D3944"/>
    </row>
    <row r="3945" spans="4:4">
      <c r="D3945"/>
    </row>
    <row r="3946" spans="4:4">
      <c r="D3946"/>
    </row>
    <row r="3947" spans="4:4">
      <c r="D3947"/>
    </row>
    <row r="3948" spans="4:4">
      <c r="D3948"/>
    </row>
    <row r="3949" spans="4:4">
      <c r="D3949"/>
    </row>
    <row r="3950" spans="4:4">
      <c r="D3950"/>
    </row>
    <row r="3951" spans="4:4">
      <c r="D3951"/>
    </row>
    <row r="3952" spans="4:4">
      <c r="D3952"/>
    </row>
    <row r="3953" spans="4:4">
      <c r="D3953"/>
    </row>
    <row r="3954" spans="4:4">
      <c r="D3954"/>
    </row>
    <row r="3955" spans="4:4">
      <c r="D3955"/>
    </row>
    <row r="3956" spans="4:4">
      <c r="D3956"/>
    </row>
    <row r="3957" spans="4:4">
      <c r="D3957"/>
    </row>
    <row r="3958" spans="4:4">
      <c r="D3958"/>
    </row>
    <row r="3959" spans="4:4">
      <c r="D3959"/>
    </row>
    <row r="3960" spans="4:4">
      <c r="D3960"/>
    </row>
    <row r="3961" spans="4:4">
      <c r="D3961"/>
    </row>
    <row r="3962" spans="4:4">
      <c r="D3962"/>
    </row>
    <row r="3963" spans="4:4">
      <c r="D3963"/>
    </row>
    <row r="3964" spans="4:4">
      <c r="D3964"/>
    </row>
    <row r="3965" spans="4:4">
      <c r="D3965"/>
    </row>
    <row r="3966" spans="4:4">
      <c r="D3966"/>
    </row>
    <row r="3967" spans="4:4">
      <c r="D3967"/>
    </row>
    <row r="3968" spans="4:4">
      <c r="D3968"/>
    </row>
    <row r="3969" spans="4:4">
      <c r="D3969"/>
    </row>
    <row r="3970" spans="4:4">
      <c r="D3970"/>
    </row>
    <row r="3971" spans="4:4">
      <c r="D3971"/>
    </row>
    <row r="3972" spans="4:4">
      <c r="D3972"/>
    </row>
    <row r="3973" spans="4:4">
      <c r="D3973"/>
    </row>
    <row r="3974" spans="4:4">
      <c r="D3974"/>
    </row>
    <row r="3975" spans="4:4">
      <c r="D3975"/>
    </row>
    <row r="3976" spans="4:4">
      <c r="D3976"/>
    </row>
    <row r="3977" spans="4:4">
      <c r="D3977"/>
    </row>
    <row r="3978" spans="4:4">
      <c r="D3978"/>
    </row>
    <row r="3979" spans="4:4">
      <c r="D3979"/>
    </row>
    <row r="3980" spans="4:4">
      <c r="D3980"/>
    </row>
    <row r="3981" spans="4:4">
      <c r="D3981"/>
    </row>
    <row r="3982" spans="4:4">
      <c r="D3982"/>
    </row>
    <row r="3983" spans="4:4">
      <c r="D3983"/>
    </row>
    <row r="3984" spans="4:4">
      <c r="D3984"/>
    </row>
    <row r="3985" spans="4:4">
      <c r="D3985"/>
    </row>
    <row r="3986" spans="4:4">
      <c r="D3986"/>
    </row>
    <row r="3987" spans="4:4">
      <c r="D3987"/>
    </row>
    <row r="3988" spans="4:4">
      <c r="D3988"/>
    </row>
    <row r="3989" spans="4:4">
      <c r="D3989"/>
    </row>
    <row r="3990" spans="4:4">
      <c r="D3990"/>
    </row>
    <row r="3991" spans="4:4">
      <c r="D3991"/>
    </row>
    <row r="3992" spans="4:4">
      <c r="D3992"/>
    </row>
    <row r="3993" spans="4:4">
      <c r="D3993"/>
    </row>
    <row r="3994" spans="4:4">
      <c r="D3994"/>
    </row>
    <row r="3995" spans="4:4">
      <c r="D3995"/>
    </row>
    <row r="3996" spans="4:4">
      <c r="D3996"/>
    </row>
    <row r="3997" spans="4:4">
      <c r="D3997"/>
    </row>
    <row r="3998" spans="4:4">
      <c r="D3998"/>
    </row>
    <row r="3999" spans="4:4">
      <c r="D3999"/>
    </row>
    <row r="4000" spans="4:4">
      <c r="D4000"/>
    </row>
    <row r="4001" spans="4:4">
      <c r="D4001"/>
    </row>
    <row r="4002" spans="4:4">
      <c r="D4002"/>
    </row>
    <row r="4003" spans="4:4">
      <c r="D4003"/>
    </row>
    <row r="4004" spans="4:4">
      <c r="D4004"/>
    </row>
    <row r="4005" spans="4:4">
      <c r="D4005"/>
    </row>
    <row r="4006" spans="4:4">
      <c r="D4006"/>
    </row>
    <row r="4007" spans="4:4">
      <c r="D4007"/>
    </row>
    <row r="4008" spans="4:4">
      <c r="D4008"/>
    </row>
    <row r="4009" spans="4:4">
      <c r="D4009"/>
    </row>
    <row r="4010" spans="4:4">
      <c r="D4010"/>
    </row>
    <row r="4011" spans="4:4">
      <c r="D4011"/>
    </row>
    <row r="4012" spans="4:4">
      <c r="D4012"/>
    </row>
    <row r="4013" spans="4:4">
      <c r="D4013"/>
    </row>
    <row r="4014" spans="4:4">
      <c r="D4014"/>
    </row>
    <row r="4015" spans="4:4">
      <c r="D4015"/>
    </row>
    <row r="4016" spans="4:4">
      <c r="D4016"/>
    </row>
    <row r="4017" spans="4:4">
      <c r="D4017"/>
    </row>
    <row r="4018" spans="4:4">
      <c r="D4018"/>
    </row>
    <row r="4019" spans="4:4">
      <c r="D4019"/>
    </row>
    <row r="4020" spans="4:4">
      <c r="D4020"/>
    </row>
    <row r="4021" spans="4:4">
      <c r="D4021"/>
    </row>
    <row r="4022" spans="4:4">
      <c r="D4022"/>
    </row>
    <row r="4023" spans="4:4">
      <c r="D4023"/>
    </row>
    <row r="4024" spans="4:4">
      <c r="D4024"/>
    </row>
    <row r="4025" spans="4:4">
      <c r="D4025"/>
    </row>
    <row r="4026" spans="4:4">
      <c r="D4026"/>
    </row>
    <row r="4027" spans="4:4">
      <c r="D4027"/>
    </row>
    <row r="4028" spans="4:4">
      <c r="D4028"/>
    </row>
    <row r="4029" spans="4:4">
      <c r="D4029"/>
    </row>
    <row r="4030" spans="4:4">
      <c r="D4030"/>
    </row>
    <row r="4031" spans="4:4">
      <c r="D4031"/>
    </row>
    <row r="4032" spans="4:4">
      <c r="D4032"/>
    </row>
    <row r="4033" spans="4:4">
      <c r="D4033"/>
    </row>
    <row r="4034" spans="4:4">
      <c r="D4034"/>
    </row>
    <row r="4035" spans="4:4">
      <c r="D4035"/>
    </row>
    <row r="4036" spans="4:4">
      <c r="D4036"/>
    </row>
    <row r="4037" spans="4:4">
      <c r="D4037"/>
    </row>
    <row r="4038" spans="4:4">
      <c r="D4038"/>
    </row>
    <row r="4039" spans="4:4">
      <c r="D4039"/>
    </row>
    <row r="4040" spans="4:4">
      <c r="D4040"/>
    </row>
    <row r="4041" spans="4:4">
      <c r="D4041"/>
    </row>
    <row r="4042" spans="4:4">
      <c r="D4042"/>
    </row>
    <row r="4043" spans="4:4">
      <c r="D4043"/>
    </row>
    <row r="4044" spans="4:4">
      <c r="D4044"/>
    </row>
    <row r="4045" spans="4:4">
      <c r="D4045"/>
    </row>
    <row r="4046" spans="4:4">
      <c r="D4046"/>
    </row>
    <row r="4047" spans="4:4">
      <c r="D4047"/>
    </row>
    <row r="4048" spans="4:4">
      <c r="D4048"/>
    </row>
    <row r="4049" spans="4:4">
      <c r="D4049"/>
    </row>
    <row r="4050" spans="4:4">
      <c r="D4050"/>
    </row>
    <row r="4051" spans="4:4">
      <c r="D4051"/>
    </row>
    <row r="4052" spans="4:4">
      <c r="D4052"/>
    </row>
    <row r="4053" spans="4:4">
      <c r="D4053"/>
    </row>
    <row r="4054" spans="4:4">
      <c r="D4054"/>
    </row>
    <row r="4055" spans="4:4">
      <c r="D4055"/>
    </row>
    <row r="4056" spans="4:4">
      <c r="D4056"/>
    </row>
    <row r="4057" spans="4:4">
      <c r="D4057"/>
    </row>
    <row r="4058" spans="4:4">
      <c r="D4058"/>
    </row>
    <row r="4059" spans="4:4">
      <c r="D4059"/>
    </row>
    <row r="4060" spans="4:4">
      <c r="D4060"/>
    </row>
    <row r="4061" spans="4:4">
      <c r="D4061"/>
    </row>
    <row r="4062" spans="4:4">
      <c r="D4062"/>
    </row>
    <row r="4063" spans="4:4">
      <c r="D4063"/>
    </row>
    <row r="4064" spans="4:4">
      <c r="D4064"/>
    </row>
    <row r="4065" spans="4:4">
      <c r="D4065"/>
    </row>
    <row r="4066" spans="4:4">
      <c r="D4066"/>
    </row>
    <row r="4067" spans="4:4">
      <c r="D4067"/>
    </row>
    <row r="4068" spans="4:4">
      <c r="D4068"/>
    </row>
    <row r="4069" spans="4:4">
      <c r="D4069"/>
    </row>
    <row r="4070" spans="4:4">
      <c r="D4070"/>
    </row>
    <row r="4071" spans="4:4">
      <c r="D4071"/>
    </row>
    <row r="4072" spans="4:4">
      <c r="D4072"/>
    </row>
    <row r="4073" spans="4:4">
      <c r="D4073"/>
    </row>
    <row r="4074" spans="4:4">
      <c r="D4074"/>
    </row>
    <row r="4075" spans="4:4">
      <c r="D4075"/>
    </row>
    <row r="4076" spans="4:4">
      <c r="D4076"/>
    </row>
    <row r="4077" spans="4:4">
      <c r="D4077"/>
    </row>
    <row r="4078" spans="4:4">
      <c r="D4078"/>
    </row>
    <row r="4079" spans="4:4">
      <c r="D4079"/>
    </row>
    <row r="4080" spans="4:4">
      <c r="D4080"/>
    </row>
    <row r="4081" spans="4:4">
      <c r="D4081"/>
    </row>
    <row r="4082" spans="4:4">
      <c r="D4082"/>
    </row>
    <row r="4083" spans="4:4">
      <c r="D4083"/>
    </row>
    <row r="4084" spans="4:4">
      <c r="D4084"/>
    </row>
    <row r="4085" spans="4:4">
      <c r="D4085"/>
    </row>
    <row r="4086" spans="4:4">
      <c r="D4086"/>
    </row>
    <row r="4087" spans="4:4">
      <c r="D4087"/>
    </row>
    <row r="4088" spans="4:4">
      <c r="D4088"/>
    </row>
    <row r="4089" spans="4:4">
      <c r="D4089"/>
    </row>
    <row r="4090" spans="4:4">
      <c r="D4090"/>
    </row>
    <row r="4091" spans="4:4">
      <c r="D4091"/>
    </row>
    <row r="4092" spans="4:4">
      <c r="D4092"/>
    </row>
    <row r="4093" spans="4:4">
      <c r="D4093"/>
    </row>
    <row r="4094" spans="4:4">
      <c r="D4094"/>
    </row>
    <row r="4095" spans="4:4">
      <c r="D4095"/>
    </row>
    <row r="4096" spans="4:4">
      <c r="D4096"/>
    </row>
    <row r="4097" spans="4:4">
      <c r="D4097"/>
    </row>
    <row r="4098" spans="4:4">
      <c r="D4098"/>
    </row>
    <row r="4099" spans="4:4">
      <c r="D4099"/>
    </row>
    <row r="4100" spans="4:4">
      <c r="D4100"/>
    </row>
    <row r="4101" spans="4:4">
      <c r="D4101"/>
    </row>
    <row r="4102" spans="4:4">
      <c r="D4102"/>
    </row>
    <row r="4103" spans="4:4">
      <c r="D4103"/>
    </row>
    <row r="4104" spans="4:4">
      <c r="D4104"/>
    </row>
    <row r="4105" spans="4:4">
      <c r="D4105"/>
    </row>
    <row r="4106" spans="4:4">
      <c r="D4106"/>
    </row>
    <row r="4107" spans="4:4">
      <c r="D4107"/>
    </row>
    <row r="4108" spans="4:4">
      <c r="D4108"/>
    </row>
    <row r="4109" spans="4:4">
      <c r="D4109"/>
    </row>
    <row r="4110" spans="4:4">
      <c r="D4110"/>
    </row>
    <row r="4111" spans="4:4">
      <c r="D4111"/>
    </row>
    <row r="4112" spans="4:4">
      <c r="D4112"/>
    </row>
    <row r="4113" spans="4:4">
      <c r="D4113"/>
    </row>
    <row r="4114" spans="4:4">
      <c r="D4114"/>
    </row>
    <row r="4115" spans="4:4">
      <c r="D4115"/>
    </row>
    <row r="4116" spans="4:4">
      <c r="D4116"/>
    </row>
    <row r="4117" spans="4:4">
      <c r="D4117"/>
    </row>
    <row r="4118" spans="4:4">
      <c r="D4118"/>
    </row>
    <row r="4119" spans="4:4">
      <c r="D4119"/>
    </row>
    <row r="4120" spans="4:4">
      <c r="D4120"/>
    </row>
    <row r="4121" spans="4:4">
      <c r="D4121"/>
    </row>
    <row r="4122" spans="4:4">
      <c r="D4122"/>
    </row>
    <row r="4123" spans="4:4">
      <c r="D4123"/>
    </row>
    <row r="4124" spans="4:4">
      <c r="D4124"/>
    </row>
    <row r="4125" spans="4:4">
      <c r="D4125"/>
    </row>
    <row r="4126" spans="4:4">
      <c r="D4126"/>
    </row>
    <row r="4127" spans="4:4">
      <c r="D4127"/>
    </row>
    <row r="4128" spans="4:4">
      <c r="D4128"/>
    </row>
    <row r="4129" spans="4:4">
      <c r="D4129"/>
    </row>
    <row r="4130" spans="4:4">
      <c r="D4130"/>
    </row>
    <row r="4131" spans="4:4">
      <c r="D4131"/>
    </row>
    <row r="4132" spans="4:4">
      <c r="D4132"/>
    </row>
    <row r="4133" spans="4:4">
      <c r="D4133"/>
    </row>
    <row r="4134" spans="4:4">
      <c r="D4134"/>
    </row>
    <row r="4135" spans="4:4">
      <c r="D4135"/>
    </row>
    <row r="4136" spans="4:4">
      <c r="D4136"/>
    </row>
    <row r="4137" spans="4:4">
      <c r="D4137"/>
    </row>
    <row r="4138" spans="4:4">
      <c r="D4138"/>
    </row>
    <row r="4139" spans="4:4">
      <c r="D4139"/>
    </row>
    <row r="4140" spans="4:4">
      <c r="D4140"/>
    </row>
    <row r="4141" spans="4:4">
      <c r="D4141"/>
    </row>
    <row r="4142" spans="4:4">
      <c r="D4142"/>
    </row>
    <row r="4143" spans="4:4">
      <c r="D4143"/>
    </row>
    <row r="4144" spans="4:4">
      <c r="D4144"/>
    </row>
    <row r="4145" spans="4:4">
      <c r="D4145"/>
    </row>
    <row r="4146" spans="4:4">
      <c r="D4146"/>
    </row>
    <row r="4147" spans="4:4">
      <c r="D4147"/>
    </row>
    <row r="4148" spans="4:4">
      <c r="D4148"/>
    </row>
    <row r="4149" spans="4:4">
      <c r="D4149"/>
    </row>
    <row r="4150" spans="4:4">
      <c r="D4150"/>
    </row>
    <row r="4151" spans="4:4">
      <c r="D4151"/>
    </row>
    <row r="4152" spans="4:4">
      <c r="D4152"/>
    </row>
    <row r="4153" spans="4:4">
      <c r="D4153"/>
    </row>
    <row r="4154" spans="4:4">
      <c r="D4154"/>
    </row>
    <row r="4155" spans="4:4">
      <c r="D4155"/>
    </row>
    <row r="4156" spans="4:4">
      <c r="D4156"/>
    </row>
    <row r="4157" spans="4:4">
      <c r="D4157"/>
    </row>
    <row r="4158" spans="4:4">
      <c r="D4158"/>
    </row>
    <row r="4159" spans="4:4">
      <c r="D4159"/>
    </row>
    <row r="4160" spans="4:4">
      <c r="D4160"/>
    </row>
    <row r="4161" spans="4:4">
      <c r="D4161"/>
    </row>
    <row r="4162" spans="4:4">
      <c r="D4162"/>
    </row>
    <row r="4163" spans="4:4">
      <c r="D4163"/>
    </row>
    <row r="4164" spans="4:4">
      <c r="D4164"/>
    </row>
    <row r="4165" spans="4:4">
      <c r="D4165"/>
    </row>
    <row r="4166" spans="4:4">
      <c r="D4166"/>
    </row>
    <row r="4167" spans="4:4">
      <c r="D4167"/>
    </row>
    <row r="4168" spans="4:4">
      <c r="D4168"/>
    </row>
    <row r="4169" spans="4:4">
      <c r="D4169"/>
    </row>
    <row r="4170" spans="4:4">
      <c r="D4170"/>
    </row>
    <row r="4171" spans="4:4">
      <c r="D4171"/>
    </row>
    <row r="4172" spans="4:4">
      <c r="D4172"/>
    </row>
    <row r="4173" spans="4:4">
      <c r="D4173"/>
    </row>
    <row r="4174" spans="4:4">
      <c r="D4174"/>
    </row>
    <row r="4175" spans="4:4">
      <c r="D4175"/>
    </row>
    <row r="4176" spans="4:4">
      <c r="D4176"/>
    </row>
    <row r="4177" spans="4:4">
      <c r="D4177"/>
    </row>
    <row r="4178" spans="4:4">
      <c r="D4178"/>
    </row>
    <row r="4179" spans="4:4">
      <c r="D4179"/>
    </row>
    <row r="4180" spans="4:4">
      <c r="D4180"/>
    </row>
    <row r="4181" spans="4:4">
      <c r="D4181"/>
    </row>
    <row r="4182" spans="4:4">
      <c r="D4182"/>
    </row>
    <row r="4183" spans="4:4">
      <c r="D4183"/>
    </row>
    <row r="4184" spans="4:4">
      <c r="D4184"/>
    </row>
    <row r="4185" spans="4:4">
      <c r="D4185"/>
    </row>
    <row r="4186" spans="4:4">
      <c r="D4186"/>
    </row>
    <row r="4187" spans="4:4">
      <c r="D4187"/>
    </row>
    <row r="4188" spans="4:4">
      <c r="D4188"/>
    </row>
    <row r="4189" spans="4:4">
      <c r="D4189"/>
    </row>
    <row r="4190" spans="4:4">
      <c r="D4190"/>
    </row>
    <row r="4191" spans="4:4">
      <c r="D4191"/>
    </row>
    <row r="4192" spans="4:4">
      <c r="D4192"/>
    </row>
    <row r="4193" spans="4:4">
      <c r="D4193"/>
    </row>
    <row r="4194" spans="4:4">
      <c r="D4194"/>
    </row>
    <row r="4195" spans="4:4">
      <c r="D4195"/>
    </row>
    <row r="4196" spans="4:4">
      <c r="D4196"/>
    </row>
    <row r="4197" spans="4:4">
      <c r="D4197"/>
    </row>
    <row r="4198" spans="4:4">
      <c r="D4198"/>
    </row>
    <row r="4199" spans="4:4">
      <c r="D4199"/>
    </row>
    <row r="4200" spans="4:4">
      <c r="D4200"/>
    </row>
    <row r="4201" spans="4:4">
      <c r="D4201"/>
    </row>
    <row r="4202" spans="4:4">
      <c r="D4202"/>
    </row>
    <row r="4203" spans="4:4">
      <c r="D4203"/>
    </row>
    <row r="4204" spans="4:4">
      <c r="D4204"/>
    </row>
    <row r="4205" spans="4:4">
      <c r="D4205"/>
    </row>
    <row r="4206" spans="4:4">
      <c r="D4206"/>
    </row>
    <row r="4207" spans="4:4">
      <c r="D4207"/>
    </row>
    <row r="4208" spans="4:4">
      <c r="D4208"/>
    </row>
    <row r="4209" spans="4:4">
      <c r="D4209"/>
    </row>
    <row r="4210" spans="4:4">
      <c r="D4210"/>
    </row>
    <row r="4211" spans="4:4">
      <c r="D4211"/>
    </row>
    <row r="4212" spans="4:4">
      <c r="D4212"/>
    </row>
    <row r="4213" spans="4:4">
      <c r="D4213"/>
    </row>
    <row r="4214" spans="4:4">
      <c r="D4214"/>
    </row>
    <row r="4215" spans="4:4">
      <c r="D4215"/>
    </row>
    <row r="4216" spans="4:4">
      <c r="D4216"/>
    </row>
    <row r="4217" spans="4:4">
      <c r="D4217"/>
    </row>
    <row r="4218" spans="4:4">
      <c r="D4218"/>
    </row>
    <row r="4219" spans="4:4">
      <c r="D4219"/>
    </row>
    <row r="4220" spans="4:4">
      <c r="D4220"/>
    </row>
    <row r="4221" spans="4:4">
      <c r="D4221"/>
    </row>
    <row r="4222" spans="4:4">
      <c r="D4222"/>
    </row>
    <row r="4223" spans="4:4">
      <c r="D4223"/>
    </row>
    <row r="4224" spans="4:4">
      <c r="D4224"/>
    </row>
    <row r="4225" spans="4:4">
      <c r="D4225"/>
    </row>
    <row r="4226" spans="4:4">
      <c r="D4226"/>
    </row>
    <row r="4227" spans="4:4">
      <c r="D4227"/>
    </row>
    <row r="4228" spans="4:4">
      <c r="D4228"/>
    </row>
    <row r="4229" spans="4:4">
      <c r="D4229"/>
    </row>
    <row r="4230" spans="4:4">
      <c r="D4230"/>
    </row>
    <row r="4231" spans="4:4">
      <c r="D4231"/>
    </row>
    <row r="4232" spans="4:4">
      <c r="D4232"/>
    </row>
    <row r="4233" spans="4:4">
      <c r="D4233"/>
    </row>
    <row r="4234" spans="4:4">
      <c r="D4234"/>
    </row>
    <row r="4235" spans="4:4">
      <c r="D4235"/>
    </row>
    <row r="4236" spans="4:4">
      <c r="D4236"/>
    </row>
    <row r="4237" spans="4:4">
      <c r="D4237"/>
    </row>
    <row r="4238" spans="4:4">
      <c r="D4238"/>
    </row>
    <row r="4239" spans="4:4">
      <c r="D4239"/>
    </row>
    <row r="4240" spans="4:4">
      <c r="D4240"/>
    </row>
    <row r="4241" spans="4:4">
      <c r="D4241"/>
    </row>
    <row r="4242" spans="4:4">
      <c r="D4242"/>
    </row>
    <row r="4243" spans="4:4">
      <c r="D4243"/>
    </row>
    <row r="4244" spans="4:4">
      <c r="D4244"/>
    </row>
    <row r="4245" spans="4:4">
      <c r="D4245"/>
    </row>
    <row r="4246" spans="4:4">
      <c r="D4246"/>
    </row>
    <row r="4247" spans="4:4">
      <c r="D4247"/>
    </row>
    <row r="4248" spans="4:4">
      <c r="D4248"/>
    </row>
    <row r="4249" spans="4:4">
      <c r="D4249"/>
    </row>
    <row r="4250" spans="4:4">
      <c r="D4250"/>
    </row>
    <row r="4251" spans="4:4">
      <c r="D4251"/>
    </row>
    <row r="4252" spans="4:4">
      <c r="D4252"/>
    </row>
    <row r="4253" spans="4:4">
      <c r="D4253"/>
    </row>
    <row r="4254" spans="4:4">
      <c r="D4254"/>
    </row>
    <row r="4255" spans="4:4">
      <c r="D4255"/>
    </row>
    <row r="4256" spans="4:4">
      <c r="D4256"/>
    </row>
    <row r="4257" spans="4:4">
      <c r="D4257"/>
    </row>
    <row r="4258" spans="4:4">
      <c r="D4258"/>
    </row>
    <row r="4259" spans="4:4">
      <c r="D4259"/>
    </row>
    <row r="4260" spans="4:4">
      <c r="D4260"/>
    </row>
    <row r="4261" spans="4:4">
      <c r="D4261"/>
    </row>
    <row r="4262" spans="4:4">
      <c r="D4262"/>
    </row>
    <row r="4263" spans="4:4">
      <c r="D4263"/>
    </row>
    <row r="4264" spans="4:4">
      <c r="D4264"/>
    </row>
    <row r="4265" spans="4:4">
      <c r="D4265"/>
    </row>
    <row r="4266" spans="4:4">
      <c r="D4266"/>
    </row>
    <row r="4267" spans="4:4">
      <c r="D4267"/>
    </row>
    <row r="4268" spans="4:4">
      <c r="D4268"/>
    </row>
    <row r="4269" spans="4:4">
      <c r="D4269"/>
    </row>
    <row r="4270" spans="4:4">
      <c r="D4270"/>
    </row>
    <row r="4271" spans="4:4">
      <c r="D4271"/>
    </row>
    <row r="4272" spans="4:4">
      <c r="D4272"/>
    </row>
    <row r="4273" spans="4:4">
      <c r="D4273"/>
    </row>
    <row r="4274" spans="4:4">
      <c r="D4274"/>
    </row>
    <row r="4275" spans="4:4">
      <c r="D4275"/>
    </row>
    <row r="4276" spans="4:4">
      <c r="D4276"/>
    </row>
    <row r="4277" spans="4:4">
      <c r="D4277"/>
    </row>
    <row r="4278" spans="4:4">
      <c r="D4278"/>
    </row>
    <row r="4279" spans="4:4">
      <c r="D4279"/>
    </row>
    <row r="4280" spans="4:4">
      <c r="D4280"/>
    </row>
    <row r="4281" spans="4:4">
      <c r="D4281"/>
    </row>
    <row r="4282" spans="4:4">
      <c r="D4282"/>
    </row>
    <row r="4283" spans="4:4">
      <c r="D4283"/>
    </row>
    <row r="4284" spans="4:4">
      <c r="D4284"/>
    </row>
    <row r="4285" spans="4:4">
      <c r="D4285"/>
    </row>
    <row r="4286" spans="4:4">
      <c r="D4286"/>
    </row>
    <row r="4287" spans="4:4">
      <c r="D4287"/>
    </row>
    <row r="4288" spans="4:4">
      <c r="D4288"/>
    </row>
    <row r="4289" spans="4:4">
      <c r="D4289"/>
    </row>
    <row r="4290" spans="4:4">
      <c r="D4290"/>
    </row>
    <row r="4291" spans="4:4">
      <c r="D4291"/>
    </row>
    <row r="4292" spans="4:4">
      <c r="D4292"/>
    </row>
    <row r="4293" spans="4:4">
      <c r="D4293"/>
    </row>
    <row r="4294" spans="4:4">
      <c r="D4294"/>
    </row>
    <row r="4295" spans="4:4">
      <c r="D4295"/>
    </row>
    <row r="4296" spans="4:4">
      <c r="D4296"/>
    </row>
    <row r="4297" spans="4:4">
      <c r="D4297"/>
    </row>
    <row r="4298" spans="4:4">
      <c r="D4298"/>
    </row>
    <row r="4299" spans="4:4">
      <c r="D4299"/>
    </row>
    <row r="4300" spans="4:4">
      <c r="D4300"/>
    </row>
    <row r="4301" spans="4:4">
      <c r="D4301"/>
    </row>
    <row r="4302" spans="4:4">
      <c r="D4302"/>
    </row>
    <row r="4303" spans="4:4">
      <c r="D4303"/>
    </row>
    <row r="4304" spans="4:4">
      <c r="D4304"/>
    </row>
    <row r="4305" spans="4:4">
      <c r="D4305"/>
    </row>
    <row r="4306" spans="4:4">
      <c r="D4306"/>
    </row>
    <row r="4307" spans="4:4">
      <c r="D4307"/>
    </row>
    <row r="4308" spans="4:4">
      <c r="D4308"/>
    </row>
    <row r="4309" spans="4:4">
      <c r="D4309"/>
    </row>
    <row r="4310" spans="4:4">
      <c r="D4310"/>
    </row>
    <row r="4311" spans="4:4">
      <c r="D4311"/>
    </row>
    <row r="4312" spans="4:4">
      <c r="D4312"/>
    </row>
    <row r="4313" spans="4:4">
      <c r="D4313"/>
    </row>
    <row r="4314" spans="4:4">
      <c r="D4314"/>
    </row>
    <row r="4315" spans="4:4">
      <c r="D4315"/>
    </row>
    <row r="4316" spans="4:4">
      <c r="D4316"/>
    </row>
    <row r="4317" spans="4:4">
      <c r="D4317"/>
    </row>
    <row r="4318" spans="4:4">
      <c r="D4318"/>
    </row>
    <row r="4319" spans="4:4">
      <c r="D4319"/>
    </row>
    <row r="4320" spans="4:4">
      <c r="D4320"/>
    </row>
    <row r="4321" spans="4:4">
      <c r="D4321"/>
    </row>
    <row r="4322" spans="4:4">
      <c r="D4322"/>
    </row>
    <row r="4323" spans="4:4">
      <c r="D4323"/>
    </row>
    <row r="4324" spans="4:4">
      <c r="D4324"/>
    </row>
    <row r="4325" spans="4:4">
      <c r="D4325"/>
    </row>
    <row r="4326" spans="4:4">
      <c r="D4326"/>
    </row>
    <row r="4327" spans="4:4">
      <c r="D4327"/>
    </row>
    <row r="4328" spans="4:4">
      <c r="D4328"/>
    </row>
    <row r="4329" spans="4:4">
      <c r="D4329"/>
    </row>
    <row r="4330" spans="4:4">
      <c r="D4330"/>
    </row>
    <row r="4331" spans="4:4">
      <c r="D4331"/>
    </row>
    <row r="4332" spans="4:4">
      <c r="D4332"/>
    </row>
    <row r="4333" spans="4:4">
      <c r="D4333"/>
    </row>
    <row r="4334" spans="4:4">
      <c r="D4334"/>
    </row>
    <row r="4335" spans="4:4">
      <c r="D4335"/>
    </row>
    <row r="4336" spans="4:4">
      <c r="D4336"/>
    </row>
    <row r="4337" spans="4:4">
      <c r="D4337"/>
    </row>
    <row r="4338" spans="4:4">
      <c r="D4338"/>
    </row>
    <row r="4339" spans="4:4">
      <c r="D4339"/>
    </row>
    <row r="4340" spans="4:4">
      <c r="D4340"/>
    </row>
    <row r="4341" spans="4:4">
      <c r="D4341"/>
    </row>
    <row r="4342" spans="4:4">
      <c r="D4342"/>
    </row>
    <row r="4343" spans="4:4">
      <c r="D4343"/>
    </row>
    <row r="4344" spans="4:4">
      <c r="D4344"/>
    </row>
    <row r="4345" spans="4:4">
      <c r="D4345"/>
    </row>
    <row r="4346" spans="4:4">
      <c r="D4346"/>
    </row>
    <row r="4347" spans="4:4">
      <c r="D4347"/>
    </row>
    <row r="4348" spans="4:4">
      <c r="D4348"/>
    </row>
    <row r="4349" spans="4:4">
      <c r="D4349"/>
    </row>
    <row r="4350" spans="4:4">
      <c r="D4350"/>
    </row>
    <row r="4351" spans="4:4">
      <c r="D4351"/>
    </row>
    <row r="4352" spans="4:4">
      <c r="D4352"/>
    </row>
    <row r="4353" spans="4:4">
      <c r="D4353"/>
    </row>
    <row r="4354" spans="4:4">
      <c r="D4354"/>
    </row>
    <row r="4355" spans="4:4">
      <c r="D4355"/>
    </row>
    <row r="4356" spans="4:4">
      <c r="D4356"/>
    </row>
    <row r="4357" spans="4:4">
      <c r="D4357"/>
    </row>
    <row r="4358" spans="4:4">
      <c r="D4358"/>
    </row>
    <row r="4359" spans="4:4">
      <c r="D4359"/>
    </row>
    <row r="4360" spans="4:4">
      <c r="D4360"/>
    </row>
    <row r="4361" spans="4:4">
      <c r="D4361"/>
    </row>
    <row r="4362" spans="4:4">
      <c r="D4362"/>
    </row>
    <row r="4363" spans="4:4">
      <c r="D4363"/>
    </row>
    <row r="4364" spans="4:4">
      <c r="D4364"/>
    </row>
    <row r="4365" spans="4:4">
      <c r="D4365"/>
    </row>
    <row r="4366" spans="4:4">
      <c r="D4366"/>
    </row>
    <row r="4367" spans="4:4">
      <c r="D4367"/>
    </row>
    <row r="4368" spans="4:4">
      <c r="D4368"/>
    </row>
    <row r="4369" spans="4:4">
      <c r="D4369"/>
    </row>
    <row r="4370" spans="4:4">
      <c r="D4370"/>
    </row>
    <row r="4371" spans="4:4">
      <c r="D4371"/>
    </row>
    <row r="4372" spans="4:4">
      <c r="D4372"/>
    </row>
    <row r="4373" spans="4:4">
      <c r="D4373"/>
    </row>
    <row r="4374" spans="4:4">
      <c r="D4374"/>
    </row>
    <row r="4375" spans="4:4">
      <c r="D4375"/>
    </row>
    <row r="4376" spans="4:4">
      <c r="D4376"/>
    </row>
    <row r="4377" spans="4:4">
      <c r="D4377"/>
    </row>
    <row r="4378" spans="4:4">
      <c r="D4378"/>
    </row>
    <row r="4379" spans="4:4">
      <c r="D4379"/>
    </row>
    <row r="4380" spans="4:4">
      <c r="D4380"/>
    </row>
    <row r="4381" spans="4:4">
      <c r="D4381"/>
    </row>
    <row r="4382" spans="4:4">
      <c r="D4382"/>
    </row>
    <row r="4383" spans="4:4">
      <c r="D4383"/>
    </row>
    <row r="4384" spans="4:4">
      <c r="D4384"/>
    </row>
    <row r="4385" spans="4:4">
      <c r="D4385"/>
    </row>
    <row r="4386" spans="4:4">
      <c r="D4386"/>
    </row>
    <row r="4387" spans="4:4">
      <c r="D4387"/>
    </row>
    <row r="4388" spans="4:4">
      <c r="D4388"/>
    </row>
    <row r="4389" spans="4:4">
      <c r="D4389"/>
    </row>
    <row r="4390" spans="4:4">
      <c r="D4390"/>
    </row>
    <row r="4391" spans="4:4">
      <c r="D4391"/>
    </row>
    <row r="4392" spans="4:4">
      <c r="D4392"/>
    </row>
    <row r="4393" spans="4:4">
      <c r="D4393"/>
    </row>
    <row r="4394" spans="4:4">
      <c r="D4394"/>
    </row>
    <row r="4395" spans="4:4">
      <c r="D4395"/>
    </row>
    <row r="4396" spans="4:4">
      <c r="D4396"/>
    </row>
    <row r="4397" spans="4:4">
      <c r="D4397"/>
    </row>
    <row r="4398" spans="4:4">
      <c r="D4398"/>
    </row>
    <row r="4399" spans="4:4">
      <c r="D4399"/>
    </row>
    <row r="4400" spans="4:4">
      <c r="D4400"/>
    </row>
    <row r="4401" spans="4:4">
      <c r="D4401"/>
    </row>
    <row r="4402" spans="4:4">
      <c r="D4402"/>
    </row>
    <row r="4403" spans="4:4">
      <c r="D4403"/>
    </row>
    <row r="4404" spans="4:4">
      <c r="D4404"/>
    </row>
    <row r="4405" spans="4:4">
      <c r="D4405"/>
    </row>
    <row r="4406" spans="4:4">
      <c r="D4406"/>
    </row>
    <row r="4407" spans="4:4">
      <c r="D4407"/>
    </row>
    <row r="4408" spans="4:4">
      <c r="D4408"/>
    </row>
    <row r="4409" spans="4:4">
      <c r="D4409"/>
    </row>
    <row r="4410" spans="4:4">
      <c r="D4410"/>
    </row>
    <row r="4411" spans="4:4">
      <c r="D4411"/>
    </row>
    <row r="4412" spans="4:4">
      <c r="D4412"/>
    </row>
    <row r="4413" spans="4:4">
      <c r="D4413"/>
    </row>
    <row r="4414" spans="4:4">
      <c r="D4414"/>
    </row>
    <row r="4415" spans="4:4">
      <c r="D4415"/>
    </row>
    <row r="4416" spans="4:4">
      <c r="D4416"/>
    </row>
    <row r="4417" spans="4:4">
      <c r="D4417"/>
    </row>
    <row r="4418" spans="4:4">
      <c r="D4418"/>
    </row>
    <row r="4419" spans="4:4">
      <c r="D4419"/>
    </row>
    <row r="4420" spans="4:4">
      <c r="D4420"/>
    </row>
    <row r="4421" spans="4:4">
      <c r="D4421"/>
    </row>
    <row r="4422" spans="4:4">
      <c r="D4422"/>
    </row>
    <row r="4423" spans="4:4">
      <c r="D4423"/>
    </row>
    <row r="4424" spans="4:4">
      <c r="D4424"/>
    </row>
    <row r="4425" spans="4:4">
      <c r="D4425"/>
    </row>
    <row r="4426" spans="4:4">
      <c r="D4426"/>
    </row>
    <row r="4427" spans="4:4">
      <c r="D4427"/>
    </row>
    <row r="4428" spans="4:4">
      <c r="D4428"/>
    </row>
    <row r="4429" spans="4:4">
      <c r="D4429"/>
    </row>
    <row r="4430" spans="4:4">
      <c r="D4430"/>
    </row>
    <row r="4431" spans="4:4">
      <c r="D4431"/>
    </row>
    <row r="4432" spans="4:4">
      <c r="D4432"/>
    </row>
    <row r="4433" spans="4:4">
      <c r="D4433"/>
    </row>
    <row r="4434" spans="4:4">
      <c r="D4434"/>
    </row>
    <row r="4435" spans="4:4">
      <c r="D4435"/>
    </row>
    <row r="4436" spans="4:4">
      <c r="D4436"/>
    </row>
    <row r="4437" spans="4:4">
      <c r="D4437"/>
    </row>
    <row r="4438" spans="4:4">
      <c r="D4438"/>
    </row>
    <row r="4439" spans="4:4">
      <c r="D4439"/>
    </row>
    <row r="4440" spans="4:4">
      <c r="D4440"/>
    </row>
    <row r="4441" spans="4:4">
      <c r="D4441"/>
    </row>
    <row r="4442" spans="4:4">
      <c r="D4442"/>
    </row>
    <row r="4443" spans="4:4">
      <c r="D4443"/>
    </row>
    <row r="4444" spans="4:4">
      <c r="D4444"/>
    </row>
    <row r="4445" spans="4:4">
      <c r="D4445"/>
    </row>
    <row r="4446" spans="4:4">
      <c r="D4446"/>
    </row>
    <row r="4447" spans="4:4">
      <c r="D4447"/>
    </row>
    <row r="4448" spans="4:4">
      <c r="D4448"/>
    </row>
    <row r="4449" spans="4:4">
      <c r="D4449"/>
    </row>
    <row r="4450" spans="4:4">
      <c r="D4450"/>
    </row>
    <row r="4451" spans="4:4">
      <c r="D4451"/>
    </row>
    <row r="4452" spans="4:4">
      <c r="D4452"/>
    </row>
    <row r="4453" spans="4:4">
      <c r="D4453"/>
    </row>
    <row r="4454" spans="4:4">
      <c r="D4454"/>
    </row>
    <row r="4455" spans="4:4">
      <c r="D4455"/>
    </row>
    <row r="4456" spans="4:4">
      <c r="D4456"/>
    </row>
    <row r="4457" spans="4:4">
      <c r="D4457"/>
    </row>
    <row r="4458" spans="4:4">
      <c r="D4458"/>
    </row>
    <row r="4459" spans="4:4">
      <c r="D4459"/>
    </row>
    <row r="4460" spans="4:4">
      <c r="D4460"/>
    </row>
    <row r="4461" spans="4:4">
      <c r="D4461"/>
    </row>
    <row r="4462" spans="4:4">
      <c r="D4462"/>
    </row>
    <row r="4463" spans="4:4">
      <c r="D4463"/>
    </row>
    <row r="4464" spans="4:4">
      <c r="D4464"/>
    </row>
    <row r="4465" spans="4:4">
      <c r="D4465"/>
    </row>
    <row r="4466" spans="4:4">
      <c r="D4466"/>
    </row>
    <row r="4467" spans="4:4">
      <c r="D4467"/>
    </row>
    <row r="4468" spans="4:4">
      <c r="D4468"/>
    </row>
    <row r="4469" spans="4:4">
      <c r="D4469"/>
    </row>
    <row r="4470" spans="4:4">
      <c r="D4470"/>
    </row>
    <row r="4471" spans="4:4">
      <c r="D4471"/>
    </row>
    <row r="4472" spans="4:4">
      <c r="D4472"/>
    </row>
    <row r="4473" spans="4:4">
      <c r="D4473"/>
    </row>
    <row r="4474" spans="4:4">
      <c r="D4474"/>
    </row>
    <row r="4475" spans="4:4">
      <c r="D4475"/>
    </row>
    <row r="4476" spans="4:4">
      <c r="D4476"/>
    </row>
    <row r="4477" spans="4:4">
      <c r="D4477"/>
    </row>
    <row r="4478" spans="4:4">
      <c r="D4478"/>
    </row>
    <row r="4479" spans="4:4">
      <c r="D4479"/>
    </row>
    <row r="4480" spans="4:4">
      <c r="D4480"/>
    </row>
    <row r="4481" spans="4:4">
      <c r="D4481"/>
    </row>
    <row r="4482" spans="4:4">
      <c r="D4482"/>
    </row>
    <row r="4483" spans="4:4">
      <c r="D4483"/>
    </row>
    <row r="4484" spans="4:4">
      <c r="D4484"/>
    </row>
    <row r="4485" spans="4:4">
      <c r="D4485"/>
    </row>
    <row r="4486" spans="4:4">
      <c r="D4486"/>
    </row>
    <row r="4487" spans="4:4">
      <c r="D4487"/>
    </row>
    <row r="4488" spans="4:4">
      <c r="D4488"/>
    </row>
    <row r="4489" spans="4:4">
      <c r="D4489"/>
    </row>
    <row r="4490" spans="4:4">
      <c r="D4490"/>
    </row>
    <row r="4491" spans="4:4">
      <c r="D4491"/>
    </row>
    <row r="4492" spans="4:4">
      <c r="D4492"/>
    </row>
    <row r="4493" spans="4:4">
      <c r="D4493"/>
    </row>
    <row r="4494" spans="4:4">
      <c r="D4494"/>
    </row>
    <row r="4495" spans="4:4">
      <c r="D4495"/>
    </row>
    <row r="4496" spans="4:4">
      <c r="D4496"/>
    </row>
    <row r="4497" spans="4:4">
      <c r="D4497"/>
    </row>
    <row r="4498" spans="4:4">
      <c r="D4498"/>
    </row>
    <row r="4499" spans="4:4">
      <c r="D4499"/>
    </row>
    <row r="4500" spans="4:4">
      <c r="D4500"/>
    </row>
    <row r="4501" spans="4:4">
      <c r="D4501"/>
    </row>
    <row r="4502" spans="4:4">
      <c r="D4502"/>
    </row>
    <row r="4503" spans="4:4">
      <c r="D4503"/>
    </row>
    <row r="4504" spans="4:4">
      <c r="D4504"/>
    </row>
    <row r="4505" spans="4:4">
      <c r="D4505"/>
    </row>
    <row r="4506" spans="4:4">
      <c r="D4506"/>
    </row>
    <row r="4507" spans="4:4">
      <c r="D4507"/>
    </row>
    <row r="4508" spans="4:4">
      <c r="D4508"/>
    </row>
    <row r="4509" spans="4:4">
      <c r="D4509"/>
    </row>
    <row r="4510" spans="4:4">
      <c r="D4510"/>
    </row>
    <row r="4511" spans="4:4">
      <c r="D4511"/>
    </row>
    <row r="4512" spans="4:4">
      <c r="D4512"/>
    </row>
    <row r="4513" spans="4:4">
      <c r="D4513"/>
    </row>
    <row r="4514" spans="4:4">
      <c r="D4514"/>
    </row>
    <row r="4515" spans="4:4">
      <c r="D4515"/>
    </row>
    <row r="4516" spans="4:4">
      <c r="D4516"/>
    </row>
    <row r="4517" spans="4:4">
      <c r="D4517"/>
    </row>
    <row r="4518" spans="4:4">
      <c r="D4518"/>
    </row>
    <row r="4519" spans="4:4">
      <c r="D4519"/>
    </row>
    <row r="4520" spans="4:4">
      <c r="D4520"/>
    </row>
    <row r="4521" spans="4:4">
      <c r="D4521"/>
    </row>
    <row r="4522" spans="4:4">
      <c r="D4522"/>
    </row>
    <row r="4523" spans="4:4">
      <c r="D4523"/>
    </row>
    <row r="4524" spans="4:4">
      <c r="D4524"/>
    </row>
    <row r="4525" spans="4:4">
      <c r="D4525"/>
    </row>
    <row r="4526" spans="4:4">
      <c r="D4526"/>
    </row>
    <row r="4527" spans="4:4">
      <c r="D4527"/>
    </row>
    <row r="4528" spans="4:4">
      <c r="D4528"/>
    </row>
    <row r="4529" spans="4:4">
      <c r="D4529"/>
    </row>
    <row r="4530" spans="4:4">
      <c r="D4530"/>
    </row>
    <row r="4531" spans="4:4">
      <c r="D4531"/>
    </row>
    <row r="4532" spans="4:4">
      <c r="D4532"/>
    </row>
    <row r="4533" spans="4:4">
      <c r="D4533"/>
    </row>
    <row r="4534" spans="4:4">
      <c r="D4534"/>
    </row>
    <row r="4535" spans="4:4">
      <c r="D4535"/>
    </row>
    <row r="4536" spans="4:4">
      <c r="D4536"/>
    </row>
    <row r="4537" spans="4:4">
      <c r="D4537"/>
    </row>
    <row r="4538" spans="4:4">
      <c r="D4538"/>
    </row>
    <row r="4539" spans="4:4">
      <c r="D4539"/>
    </row>
    <row r="4540" spans="4:4">
      <c r="D4540"/>
    </row>
    <row r="4541" spans="4:4">
      <c r="D4541"/>
    </row>
    <row r="4542" spans="4:4">
      <c r="D4542"/>
    </row>
    <row r="4543" spans="4:4">
      <c r="D4543"/>
    </row>
    <row r="4544" spans="4:4">
      <c r="D4544"/>
    </row>
    <row r="4545" spans="4:4">
      <c r="D4545"/>
    </row>
    <row r="4546" spans="4:4">
      <c r="D4546"/>
    </row>
    <row r="4547" spans="4:4">
      <c r="D4547"/>
    </row>
    <row r="4548" spans="4:4">
      <c r="D4548"/>
    </row>
    <row r="4549" spans="4:4">
      <c r="D4549"/>
    </row>
    <row r="4550" spans="4:4">
      <c r="D4550"/>
    </row>
    <row r="4551" spans="4:4">
      <c r="D4551"/>
    </row>
    <row r="4552" spans="4:4">
      <c r="D4552"/>
    </row>
    <row r="4553" spans="4:4">
      <c r="D4553"/>
    </row>
    <row r="4554" spans="4:4">
      <c r="D4554"/>
    </row>
    <row r="4555" spans="4:4">
      <c r="D4555"/>
    </row>
    <row r="4556" spans="4:4">
      <c r="D4556"/>
    </row>
    <row r="4557" spans="4:4">
      <c r="D4557"/>
    </row>
    <row r="4558" spans="4:4">
      <c r="D4558"/>
    </row>
    <row r="4559" spans="4:4">
      <c r="D4559"/>
    </row>
    <row r="4560" spans="4:4">
      <c r="D4560"/>
    </row>
    <row r="4561" spans="4:4">
      <c r="D4561"/>
    </row>
    <row r="4562" spans="4:4">
      <c r="D4562"/>
    </row>
    <row r="4563" spans="4:4">
      <c r="D4563"/>
    </row>
    <row r="4564" spans="4:4">
      <c r="D4564"/>
    </row>
    <row r="4565" spans="4:4">
      <c r="D4565"/>
    </row>
    <row r="4566" spans="4:4">
      <c r="D4566"/>
    </row>
    <row r="4567" spans="4:4">
      <c r="D4567"/>
    </row>
    <row r="4568" spans="4:4">
      <c r="D4568"/>
    </row>
    <row r="4569" spans="4:4">
      <c r="D4569"/>
    </row>
    <row r="4570" spans="4:4">
      <c r="D4570"/>
    </row>
    <row r="4571" spans="4:4">
      <c r="D4571"/>
    </row>
    <row r="4572" spans="4:4">
      <c r="D4572"/>
    </row>
    <row r="4573" spans="4:4">
      <c r="D4573"/>
    </row>
    <row r="4574" spans="4:4">
      <c r="D4574"/>
    </row>
    <row r="4575" spans="4:4">
      <c r="D4575"/>
    </row>
    <row r="4576" spans="4:4">
      <c r="D4576"/>
    </row>
    <row r="4577" spans="4:4">
      <c r="D4577"/>
    </row>
    <row r="4578" spans="4:4">
      <c r="D4578"/>
    </row>
    <row r="4579" spans="4:4">
      <c r="D4579"/>
    </row>
    <row r="4580" spans="4:4">
      <c r="D4580"/>
    </row>
    <row r="4581" spans="4:4">
      <c r="D4581"/>
    </row>
    <row r="4582" spans="4:4">
      <c r="D4582"/>
    </row>
    <row r="4583" spans="4:4">
      <c r="D4583"/>
    </row>
    <row r="4584" spans="4:4">
      <c r="D4584"/>
    </row>
    <row r="4585" spans="4:4">
      <c r="D4585"/>
    </row>
    <row r="4586" spans="4:4">
      <c r="D4586"/>
    </row>
    <row r="4587" spans="4:4">
      <c r="D4587"/>
    </row>
    <row r="4588" spans="4:4">
      <c r="D4588"/>
    </row>
    <row r="4589" spans="4:4">
      <c r="D4589"/>
    </row>
    <row r="4590" spans="4:4">
      <c r="D4590"/>
    </row>
    <row r="4591" spans="4:4">
      <c r="D4591"/>
    </row>
    <row r="4592" spans="4:4">
      <c r="D4592"/>
    </row>
    <row r="4593" spans="4:4">
      <c r="D4593"/>
    </row>
    <row r="4594" spans="4:4">
      <c r="D4594"/>
    </row>
    <row r="4595" spans="4:4">
      <c r="D4595"/>
    </row>
    <row r="4596" spans="4:4">
      <c r="D4596"/>
    </row>
    <row r="4597" spans="4:4">
      <c r="D4597"/>
    </row>
    <row r="4598" spans="4:4">
      <c r="D4598"/>
    </row>
    <row r="4599" spans="4:4">
      <c r="D4599"/>
    </row>
    <row r="4600" spans="4:4">
      <c r="D4600"/>
    </row>
    <row r="4601" spans="4:4">
      <c r="D4601"/>
    </row>
    <row r="4602" spans="4:4">
      <c r="D4602"/>
    </row>
    <row r="4603" spans="4:4">
      <c r="D4603"/>
    </row>
    <row r="4604" spans="4:4">
      <c r="D4604"/>
    </row>
    <row r="4605" spans="4:4">
      <c r="D4605"/>
    </row>
    <row r="4606" spans="4:4">
      <c r="D4606"/>
    </row>
    <row r="4607" spans="4:4">
      <c r="D4607"/>
    </row>
    <row r="4608" spans="4:4">
      <c r="D4608"/>
    </row>
    <row r="4609" spans="4:4">
      <c r="D4609"/>
    </row>
    <row r="4610" spans="4:4">
      <c r="D4610"/>
    </row>
    <row r="4611" spans="4:4">
      <c r="D4611"/>
    </row>
    <row r="4612" spans="4:4">
      <c r="D4612"/>
    </row>
    <row r="4613" spans="4:4">
      <c r="D4613"/>
    </row>
    <row r="4614" spans="4:4">
      <c r="D4614"/>
    </row>
    <row r="4615" spans="4:4">
      <c r="D4615"/>
    </row>
    <row r="4616" spans="4:4">
      <c r="D4616"/>
    </row>
    <row r="4617" spans="4:4">
      <c r="D4617"/>
    </row>
    <row r="4618" spans="4:4">
      <c r="D4618"/>
    </row>
    <row r="4619" spans="4:4">
      <c r="D4619"/>
    </row>
    <row r="4620" spans="4:4">
      <c r="D4620"/>
    </row>
    <row r="4621" spans="4:4">
      <c r="D4621"/>
    </row>
    <row r="4622" spans="4:4">
      <c r="D4622"/>
    </row>
    <row r="4623" spans="4:4">
      <c r="D4623"/>
    </row>
    <row r="4624" spans="4:4">
      <c r="D4624"/>
    </row>
    <row r="4625" spans="4:4">
      <c r="D4625"/>
    </row>
    <row r="4626" spans="4:4">
      <c r="D4626"/>
    </row>
    <row r="4627" spans="4:4">
      <c r="D4627"/>
    </row>
    <row r="4628" spans="4:4">
      <c r="D4628"/>
    </row>
    <row r="4629" spans="4:4">
      <c r="D4629"/>
    </row>
    <row r="4630" spans="4:4">
      <c r="D4630"/>
    </row>
    <row r="4631" spans="4:4">
      <c r="D4631"/>
    </row>
    <row r="4632" spans="4:4">
      <c r="D4632"/>
    </row>
    <row r="4633" spans="4:4">
      <c r="D4633"/>
    </row>
    <row r="4634" spans="4:4">
      <c r="D4634"/>
    </row>
    <row r="4635" spans="4:4">
      <c r="D4635"/>
    </row>
    <row r="4636" spans="4:4">
      <c r="D4636"/>
    </row>
    <row r="4637" spans="4:4">
      <c r="D4637"/>
    </row>
    <row r="4638" spans="4:4">
      <c r="D4638"/>
    </row>
    <row r="4639" spans="4:4">
      <c r="D4639"/>
    </row>
    <row r="4640" spans="4:4">
      <c r="D4640"/>
    </row>
    <row r="4641" spans="4:4">
      <c r="D4641"/>
    </row>
    <row r="4642" spans="4:4">
      <c r="D4642"/>
    </row>
    <row r="4643" spans="4:4">
      <c r="D4643"/>
    </row>
    <row r="4644" spans="4:4">
      <c r="D4644"/>
    </row>
    <row r="4645" spans="4:4">
      <c r="D4645"/>
    </row>
    <row r="4646" spans="4:4">
      <c r="D4646"/>
    </row>
    <row r="4647" spans="4:4">
      <c r="D4647"/>
    </row>
    <row r="4648" spans="4:4">
      <c r="D4648"/>
    </row>
    <row r="4649" spans="4:4">
      <c r="D4649"/>
    </row>
    <row r="4650" spans="4:4">
      <c r="D4650"/>
    </row>
    <row r="4651" spans="4:4">
      <c r="D4651"/>
    </row>
    <row r="4652" spans="4:4">
      <c r="D4652"/>
    </row>
    <row r="4653" spans="4:4">
      <c r="D4653"/>
    </row>
    <row r="4654" spans="4:4">
      <c r="D4654"/>
    </row>
    <row r="4655" spans="4:4">
      <c r="D4655"/>
    </row>
    <row r="4656" spans="4:4">
      <c r="D4656"/>
    </row>
    <row r="4657" spans="4:4">
      <c r="D4657"/>
    </row>
    <row r="4658" spans="4:4">
      <c r="D4658"/>
    </row>
    <row r="4659" spans="4:4">
      <c r="D4659"/>
    </row>
    <row r="4660" spans="4:4">
      <c r="D4660"/>
    </row>
    <row r="4661" spans="4:4">
      <c r="D4661"/>
    </row>
    <row r="4662" spans="4:4">
      <c r="D4662"/>
    </row>
    <row r="4663" spans="4:4">
      <c r="D4663"/>
    </row>
    <row r="4664" spans="4:4">
      <c r="D4664"/>
    </row>
    <row r="4665" spans="4:4">
      <c r="D4665"/>
    </row>
    <row r="4666" spans="4:4">
      <c r="D4666"/>
    </row>
    <row r="4667" spans="4:4">
      <c r="D4667"/>
    </row>
    <row r="4668" spans="4:4">
      <c r="D4668"/>
    </row>
    <row r="4669" spans="4:4">
      <c r="D4669"/>
    </row>
    <row r="4670" spans="4:4">
      <c r="D4670"/>
    </row>
    <row r="4671" spans="4:4">
      <c r="D4671"/>
    </row>
    <row r="4672" spans="4:4">
      <c r="D4672"/>
    </row>
    <row r="4673" spans="4:4">
      <c r="D4673"/>
    </row>
    <row r="4674" spans="4:4">
      <c r="D4674"/>
    </row>
    <row r="4675" spans="4:4">
      <c r="D4675"/>
    </row>
    <row r="4676" spans="4:4">
      <c r="D4676"/>
    </row>
    <row r="4677" spans="4:4">
      <c r="D4677"/>
    </row>
    <row r="4678" spans="4:4">
      <c r="D4678"/>
    </row>
    <row r="4679" spans="4:4">
      <c r="D4679"/>
    </row>
    <row r="4680" spans="4:4">
      <c r="D4680"/>
    </row>
    <row r="4681" spans="4:4">
      <c r="D4681"/>
    </row>
    <row r="4682" spans="4:4">
      <c r="D4682"/>
    </row>
    <row r="4683" spans="4:4">
      <c r="D4683"/>
    </row>
    <row r="4684" spans="4:4">
      <c r="D4684"/>
    </row>
    <row r="4685" spans="4:4">
      <c r="D4685"/>
    </row>
    <row r="4686" spans="4:4">
      <c r="D4686"/>
    </row>
    <row r="4687" spans="4:4">
      <c r="D4687"/>
    </row>
    <row r="4688" spans="4:4">
      <c r="D4688"/>
    </row>
    <row r="4689" spans="4:4">
      <c r="D4689"/>
    </row>
    <row r="4690" spans="4:4">
      <c r="D4690"/>
    </row>
    <row r="4691" spans="4:4">
      <c r="D4691"/>
    </row>
    <row r="4692" spans="4:4">
      <c r="D4692"/>
    </row>
    <row r="4693" spans="4:4">
      <c r="D4693"/>
    </row>
    <row r="4694" spans="4:4">
      <c r="D4694"/>
    </row>
    <row r="4695" spans="4:4">
      <c r="D4695"/>
    </row>
    <row r="4696" spans="4:4">
      <c r="D4696"/>
    </row>
    <row r="4697" spans="4:4">
      <c r="D4697"/>
    </row>
    <row r="4698" spans="4:4">
      <c r="D4698"/>
    </row>
    <row r="4699" spans="4:4">
      <c r="D4699"/>
    </row>
    <row r="4700" spans="4:4">
      <c r="D4700"/>
    </row>
    <row r="4701" spans="4:4">
      <c r="D4701"/>
    </row>
    <row r="4702" spans="4:4">
      <c r="D4702"/>
    </row>
    <row r="4703" spans="4:4">
      <c r="D4703"/>
    </row>
    <row r="4704" spans="4:4">
      <c r="D4704"/>
    </row>
    <row r="4705" spans="4:4">
      <c r="D4705"/>
    </row>
    <row r="4706" spans="4:4">
      <c r="D4706"/>
    </row>
    <row r="4707" spans="4:4">
      <c r="D4707"/>
    </row>
    <row r="4708" spans="4:4">
      <c r="D4708"/>
    </row>
    <row r="4709" spans="4:4">
      <c r="D4709"/>
    </row>
    <row r="4710" spans="4:4">
      <c r="D4710"/>
    </row>
    <row r="4711" spans="4:4">
      <c r="D4711"/>
    </row>
    <row r="4712" spans="4:4">
      <c r="D4712"/>
    </row>
    <row r="4713" spans="4:4">
      <c r="D4713"/>
    </row>
    <row r="4714" spans="4:4">
      <c r="D4714"/>
    </row>
    <row r="4715" spans="4:4">
      <c r="D4715"/>
    </row>
    <row r="4716" spans="4:4">
      <c r="D4716"/>
    </row>
    <row r="4717" spans="4:4">
      <c r="D4717"/>
    </row>
    <row r="4718" spans="4:4">
      <c r="D4718"/>
    </row>
    <row r="4719" spans="4:4">
      <c r="D4719"/>
    </row>
    <row r="4720" spans="4:4">
      <c r="D4720"/>
    </row>
    <row r="4721" spans="4:4">
      <c r="D4721"/>
    </row>
    <row r="4722" spans="4:4">
      <c r="D4722"/>
    </row>
    <row r="4723" spans="4:4">
      <c r="D4723"/>
    </row>
    <row r="4724" spans="4:4">
      <c r="D4724"/>
    </row>
    <row r="4725" spans="4:4">
      <c r="D4725"/>
    </row>
    <row r="4726" spans="4:4">
      <c r="D4726"/>
    </row>
    <row r="4727" spans="4:4">
      <c r="D4727"/>
    </row>
    <row r="4728" spans="4:4">
      <c r="D4728"/>
    </row>
    <row r="4729" spans="4:4">
      <c r="D4729"/>
    </row>
    <row r="4730" spans="4:4">
      <c r="D4730"/>
    </row>
    <row r="4731" spans="4:4">
      <c r="D4731"/>
    </row>
    <row r="4732" spans="4:4">
      <c r="D4732"/>
    </row>
    <row r="4733" spans="4:4">
      <c r="D4733"/>
    </row>
    <row r="4734" spans="4:4">
      <c r="D4734"/>
    </row>
    <row r="4735" spans="4:4">
      <c r="D4735"/>
    </row>
    <row r="4736" spans="4:4">
      <c r="D4736"/>
    </row>
    <row r="4737" spans="4:4">
      <c r="D4737"/>
    </row>
    <row r="4738" spans="4:4">
      <c r="D4738"/>
    </row>
    <row r="4739" spans="4:4">
      <c r="D4739"/>
    </row>
    <row r="4740" spans="4:4">
      <c r="D4740"/>
    </row>
    <row r="4741" spans="4:4">
      <c r="D4741"/>
    </row>
    <row r="4742" spans="4:4">
      <c r="D4742"/>
    </row>
    <row r="4743" spans="4:4">
      <c r="D4743"/>
    </row>
    <row r="4744" spans="4:4">
      <c r="D4744"/>
    </row>
    <row r="4745" spans="4:4">
      <c r="D4745"/>
    </row>
    <row r="4746" spans="4:4">
      <c r="D4746"/>
    </row>
    <row r="4747" spans="4:4">
      <c r="D4747"/>
    </row>
    <row r="4748" spans="4:4">
      <c r="D4748"/>
    </row>
    <row r="4749" spans="4:4">
      <c r="D4749"/>
    </row>
    <row r="4750" spans="4:4">
      <c r="D4750"/>
    </row>
    <row r="4751" spans="4:4">
      <c r="D4751"/>
    </row>
    <row r="4752" spans="4:4">
      <c r="D4752"/>
    </row>
    <row r="4753" spans="4:4">
      <c r="D4753"/>
    </row>
    <row r="4754" spans="4:4">
      <c r="D4754"/>
    </row>
    <row r="4755" spans="4:4">
      <c r="D4755"/>
    </row>
    <row r="4756" spans="4:4">
      <c r="D4756"/>
    </row>
    <row r="4757" spans="4:4">
      <c r="D4757"/>
    </row>
    <row r="4758" spans="4:4">
      <c r="D4758"/>
    </row>
    <row r="4759" spans="4:4">
      <c r="D4759"/>
    </row>
    <row r="4760" spans="4:4">
      <c r="D4760"/>
    </row>
    <row r="4761" spans="4:4">
      <c r="D4761"/>
    </row>
    <row r="4762" spans="4:4">
      <c r="D4762"/>
    </row>
    <row r="4763" spans="4:4">
      <c r="D4763"/>
    </row>
    <row r="4764" spans="4:4">
      <c r="D4764"/>
    </row>
    <row r="4765" spans="4:4">
      <c r="D4765"/>
    </row>
    <row r="4766" spans="4:4">
      <c r="D4766"/>
    </row>
    <row r="4767" spans="4:4">
      <c r="D4767"/>
    </row>
    <row r="4768" spans="4:4">
      <c r="D4768"/>
    </row>
    <row r="4769" spans="4:4">
      <c r="D4769"/>
    </row>
    <row r="4770" spans="4:4">
      <c r="D4770"/>
    </row>
    <row r="4771" spans="4:4">
      <c r="D4771"/>
    </row>
    <row r="4772" spans="4:4">
      <c r="D4772"/>
    </row>
    <row r="4773" spans="4:4">
      <c r="D4773"/>
    </row>
    <row r="4774" spans="4:4">
      <c r="D4774"/>
    </row>
    <row r="4775" spans="4:4">
      <c r="D4775"/>
    </row>
    <row r="4776" spans="4:4">
      <c r="D4776"/>
    </row>
    <row r="4777" spans="4:4">
      <c r="D4777"/>
    </row>
    <row r="4778" spans="4:4">
      <c r="D4778"/>
    </row>
    <row r="4779" spans="4:4">
      <c r="D4779"/>
    </row>
    <row r="4780" spans="4:4">
      <c r="D4780"/>
    </row>
    <row r="4781" spans="4:4">
      <c r="D4781"/>
    </row>
    <row r="4782" spans="4:4">
      <c r="D4782"/>
    </row>
    <row r="4783" spans="4:4">
      <c r="D4783"/>
    </row>
    <row r="4784" spans="4:4">
      <c r="D4784"/>
    </row>
    <row r="4785" spans="4:4">
      <c r="D4785"/>
    </row>
    <row r="4786" spans="4:4">
      <c r="D4786"/>
    </row>
    <row r="4787" spans="4:4">
      <c r="D4787"/>
    </row>
    <row r="4788" spans="4:4">
      <c r="D4788"/>
    </row>
    <row r="4789" spans="4:4">
      <c r="D4789"/>
    </row>
    <row r="4790" spans="4:4">
      <c r="D4790"/>
    </row>
    <row r="4791" spans="4:4">
      <c r="D4791"/>
    </row>
    <row r="4792" spans="4:4">
      <c r="D4792"/>
    </row>
    <row r="4793" spans="4:4">
      <c r="D4793"/>
    </row>
    <row r="4794" spans="4:4">
      <c r="D4794"/>
    </row>
    <row r="4795" spans="4:4">
      <c r="D4795"/>
    </row>
    <row r="4796" spans="4:4">
      <c r="D4796"/>
    </row>
    <row r="4797" spans="4:4">
      <c r="D4797"/>
    </row>
    <row r="4798" spans="4:4">
      <c r="D4798"/>
    </row>
    <row r="4799" spans="4:4">
      <c r="D4799"/>
    </row>
    <row r="4800" spans="4:4">
      <c r="D4800"/>
    </row>
    <row r="4801" spans="4:4">
      <c r="D4801"/>
    </row>
    <row r="4802" spans="4:4">
      <c r="D4802"/>
    </row>
    <row r="4803" spans="4:4">
      <c r="D4803"/>
    </row>
    <row r="4804" spans="4:4">
      <c r="D4804"/>
    </row>
    <row r="4805" spans="4:4">
      <c r="D4805"/>
    </row>
    <row r="4806" spans="4:4">
      <c r="D4806"/>
    </row>
    <row r="4807" spans="4:4">
      <c r="D4807"/>
    </row>
    <row r="4808" spans="4:4">
      <c r="D4808"/>
    </row>
    <row r="4809" spans="4:4">
      <c r="D4809"/>
    </row>
    <row r="4810" spans="4:4">
      <c r="D4810"/>
    </row>
    <row r="4811" spans="4:4">
      <c r="D4811"/>
    </row>
    <row r="4812" spans="4:4">
      <c r="D4812"/>
    </row>
    <row r="4813" spans="4:4">
      <c r="D4813"/>
    </row>
    <row r="4814" spans="4:4">
      <c r="D4814"/>
    </row>
    <row r="4815" spans="4:4">
      <c r="D4815"/>
    </row>
    <row r="4816" spans="4:4">
      <c r="D4816"/>
    </row>
    <row r="4817" spans="4:4">
      <c r="D4817"/>
    </row>
    <row r="4818" spans="4:4">
      <c r="D4818"/>
    </row>
    <row r="4819" spans="4:4">
      <c r="D4819"/>
    </row>
    <row r="4820" spans="4:4">
      <c r="D4820"/>
    </row>
    <row r="4821" spans="4:4">
      <c r="D4821"/>
    </row>
    <row r="4822" spans="4:4">
      <c r="D4822"/>
    </row>
    <row r="4823" spans="4:4">
      <c r="D4823"/>
    </row>
    <row r="4824" spans="4:4">
      <c r="D4824"/>
    </row>
    <row r="4825" spans="4:4">
      <c r="D4825"/>
    </row>
    <row r="4826" spans="4:4">
      <c r="D4826"/>
    </row>
    <row r="4827" spans="4:4">
      <c r="D4827"/>
    </row>
    <row r="4828" spans="4:4">
      <c r="D4828"/>
    </row>
    <row r="4829" spans="4:4">
      <c r="D4829"/>
    </row>
    <row r="4830" spans="4:4">
      <c r="D4830"/>
    </row>
    <row r="4831" spans="4:4">
      <c r="D4831"/>
    </row>
    <row r="4832" spans="4:4">
      <c r="D4832"/>
    </row>
    <row r="4833" spans="4:4">
      <c r="D4833"/>
    </row>
    <row r="4834" spans="4:4">
      <c r="D4834"/>
    </row>
    <row r="4835" spans="4:4">
      <c r="D4835"/>
    </row>
    <row r="4836" spans="4:4">
      <c r="D4836"/>
    </row>
    <row r="4837" spans="4:4">
      <c r="D4837"/>
    </row>
    <row r="4838" spans="4:4">
      <c r="D4838"/>
    </row>
    <row r="4839" spans="4:4">
      <c r="D4839"/>
    </row>
    <row r="4840" spans="4:4">
      <c r="D4840"/>
    </row>
    <row r="4841" spans="4:4">
      <c r="D4841"/>
    </row>
    <row r="4842" spans="4:4">
      <c r="D4842"/>
    </row>
    <row r="4843" spans="4:4">
      <c r="D4843"/>
    </row>
    <row r="4844" spans="4:4">
      <c r="D4844"/>
    </row>
    <row r="4845" spans="4:4">
      <c r="D4845"/>
    </row>
    <row r="4846" spans="4:4">
      <c r="D4846"/>
    </row>
    <row r="4847" spans="4:4">
      <c r="D4847"/>
    </row>
    <row r="4848" spans="4:4">
      <c r="D4848"/>
    </row>
    <row r="4849" spans="4:4">
      <c r="D4849"/>
    </row>
    <row r="4850" spans="4:4">
      <c r="D4850"/>
    </row>
    <row r="4851" spans="4:4">
      <c r="D4851"/>
    </row>
    <row r="4852" spans="4:4">
      <c r="D4852"/>
    </row>
    <row r="4853" spans="4:4">
      <c r="D4853"/>
    </row>
    <row r="4854" spans="4:4">
      <c r="D4854"/>
    </row>
    <row r="4855" spans="4:4">
      <c r="D4855"/>
    </row>
    <row r="4856" spans="4:4">
      <c r="D4856"/>
    </row>
    <row r="4857" spans="4:4">
      <c r="D4857"/>
    </row>
    <row r="4858" spans="4:4">
      <c r="D4858"/>
    </row>
    <row r="4859" spans="4:4">
      <c r="D4859"/>
    </row>
    <row r="4860" spans="4:4">
      <c r="D4860"/>
    </row>
    <row r="4861" spans="4:4">
      <c r="D4861"/>
    </row>
    <row r="4862" spans="4:4">
      <c r="D4862"/>
    </row>
    <row r="4863" spans="4:4">
      <c r="D4863"/>
    </row>
    <row r="4864" spans="4:4">
      <c r="D4864"/>
    </row>
    <row r="4865" spans="4:4">
      <c r="D4865"/>
    </row>
    <row r="4866" spans="4:4">
      <c r="D4866"/>
    </row>
    <row r="4867" spans="4:4">
      <c r="D4867"/>
    </row>
    <row r="4868" spans="4:4">
      <c r="D4868"/>
    </row>
    <row r="4869" spans="4:4">
      <c r="D4869"/>
    </row>
    <row r="4870" spans="4:4">
      <c r="D4870"/>
    </row>
    <row r="4871" spans="4:4">
      <c r="D4871"/>
    </row>
    <row r="4872" spans="4:4">
      <c r="D4872"/>
    </row>
    <row r="4873" spans="4:4">
      <c r="D4873"/>
    </row>
    <row r="4874" spans="4:4">
      <c r="D4874"/>
    </row>
    <row r="4875" spans="4:4">
      <c r="D4875"/>
    </row>
    <row r="4876" spans="4:4">
      <c r="D4876"/>
    </row>
    <row r="4877" spans="4:4">
      <c r="D4877"/>
    </row>
    <row r="4878" spans="4:4">
      <c r="D4878"/>
    </row>
    <row r="4879" spans="4:4">
      <c r="D4879"/>
    </row>
    <row r="4880" spans="4:4">
      <c r="D4880"/>
    </row>
    <row r="4881" spans="4:4">
      <c r="D4881"/>
    </row>
    <row r="4882" spans="4:4">
      <c r="D4882"/>
    </row>
    <row r="4883" spans="4:4">
      <c r="D4883"/>
    </row>
    <row r="4884" spans="4:4">
      <c r="D4884"/>
    </row>
    <row r="4885" spans="4:4">
      <c r="D4885"/>
    </row>
    <row r="4886" spans="4:4">
      <c r="D4886"/>
    </row>
    <row r="4887" spans="4:4">
      <c r="D4887"/>
    </row>
    <row r="4888" spans="4:4">
      <c r="D4888"/>
    </row>
    <row r="4889" spans="4:4">
      <c r="D4889"/>
    </row>
    <row r="4890" spans="4:4">
      <c r="D4890"/>
    </row>
    <row r="4891" spans="4:4">
      <c r="D4891"/>
    </row>
    <row r="4892" spans="4:4">
      <c r="D4892"/>
    </row>
    <row r="4893" spans="4:4">
      <c r="D4893"/>
    </row>
    <row r="4894" spans="4:4">
      <c r="D4894"/>
    </row>
    <row r="4895" spans="4:4">
      <c r="D4895"/>
    </row>
    <row r="4896" spans="4:4">
      <c r="D4896"/>
    </row>
    <row r="4897" spans="4:4">
      <c r="D4897"/>
    </row>
    <row r="4898" spans="4:4">
      <c r="D4898"/>
    </row>
    <row r="4899" spans="4:4">
      <c r="D4899"/>
    </row>
    <row r="4900" spans="4:4">
      <c r="D4900"/>
    </row>
    <row r="4901" spans="4:4">
      <c r="D4901"/>
    </row>
    <row r="4902" spans="4:4">
      <c r="D4902"/>
    </row>
    <row r="4903" spans="4:4">
      <c r="D4903"/>
    </row>
    <row r="4904" spans="4:4">
      <c r="D4904"/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10">
    <tabColor theme="8" tint="0.39997558519241921"/>
    <pageSetUpPr fitToPage="1"/>
  </sheetPr>
  <dimension ref="A1:U39"/>
  <sheetViews>
    <sheetView showGridLines="0" view="pageBreakPreview" zoomScale="60" zoomScaleNormal="80" workbookViewId="0">
      <pane xSplit="4" ySplit="2" topLeftCell="E3" activePane="bottomRight" state="frozen"/>
      <selection pane="topRight" activeCell="E1" sqref="E1"/>
      <selection pane="bottomLeft" activeCell="A3" sqref="A3"/>
      <selection pane="bottomRight"/>
    </sheetView>
  </sheetViews>
  <sheetFormatPr baseColWidth="10" defaultColWidth="11.42578125" defaultRowHeight="12.75"/>
  <cols>
    <col min="1" max="1" width="11.85546875" style="79" customWidth="1"/>
    <col min="2" max="2" width="14.7109375" style="79" customWidth="1"/>
    <col min="3" max="3" width="13.42578125" style="79" customWidth="1"/>
    <col min="4" max="4" width="15.28515625" style="79" customWidth="1"/>
    <col min="5" max="5" width="10.42578125" style="79" customWidth="1"/>
    <col min="6" max="6" width="11.42578125" style="79" customWidth="1"/>
    <col min="7" max="7" width="8.140625" style="79" customWidth="1"/>
    <col min="8" max="8" width="11.42578125" style="81" customWidth="1"/>
    <col min="9" max="9" width="9.28515625" style="81" customWidth="1"/>
    <col min="10" max="10" width="8.5703125" style="81" hidden="1" customWidth="1"/>
    <col min="11" max="11" width="11.28515625" style="80" hidden="1" customWidth="1"/>
    <col min="12" max="12" width="22.7109375" style="79" bestFit="1" customWidth="1"/>
    <col min="13" max="13" width="9.5703125" style="79" customWidth="1"/>
    <col min="14" max="14" width="13.42578125" style="79" customWidth="1"/>
    <col min="15" max="15" width="26.7109375" style="79" customWidth="1"/>
    <col min="16" max="16" width="12.28515625" style="79" customWidth="1"/>
    <col min="17" max="17" width="35.42578125" style="79" customWidth="1"/>
    <col min="18" max="18" width="20.85546875" style="79" bestFit="1" customWidth="1"/>
    <col min="19" max="19" width="21.140625" style="79" bestFit="1" customWidth="1"/>
    <col min="20" max="16384" width="11.42578125" style="79"/>
  </cols>
  <sheetData>
    <row r="1" spans="1:21" s="92" customFormat="1" ht="65.25" customHeight="1">
      <c r="H1" s="93"/>
      <c r="I1" s="93"/>
      <c r="J1" s="93"/>
      <c r="K1" s="94"/>
    </row>
    <row r="2" spans="1:21" ht="53.25" customHeight="1" thickBot="1">
      <c r="A2" s="85" t="s">
        <v>3023</v>
      </c>
      <c r="B2" s="85" t="s">
        <v>3022</v>
      </c>
      <c r="C2" s="85" t="s">
        <v>3021</v>
      </c>
      <c r="D2" s="85" t="s">
        <v>3020</v>
      </c>
      <c r="E2" s="85" t="s">
        <v>3019</v>
      </c>
      <c r="F2" s="85" t="s">
        <v>3018</v>
      </c>
      <c r="G2" s="91" t="s">
        <v>3017</v>
      </c>
      <c r="H2" s="91" t="s">
        <v>3016</v>
      </c>
      <c r="I2" s="91" t="s">
        <v>2502</v>
      </c>
      <c r="J2" s="91" t="s">
        <v>3015</v>
      </c>
      <c r="K2" s="91" t="s">
        <v>3024</v>
      </c>
      <c r="L2" s="91" t="s">
        <v>3014</v>
      </c>
      <c r="M2" s="91" t="s">
        <v>3013</v>
      </c>
      <c r="N2" s="91" t="s">
        <v>3012</v>
      </c>
      <c r="O2" s="91" t="s">
        <v>3011</v>
      </c>
      <c r="P2" s="91" t="s">
        <v>3010</v>
      </c>
      <c r="Q2" s="90" t="s">
        <v>3009</v>
      </c>
      <c r="R2" s="90" t="s">
        <v>3008</v>
      </c>
      <c r="S2" s="89" t="s">
        <v>3007</v>
      </c>
    </row>
    <row r="3" spans="1:21" s="282" customFormat="1" ht="42" customHeight="1" thickBot="1">
      <c r="A3" s="282">
        <v>451</v>
      </c>
      <c r="B3" s="282" t="s">
        <v>3006</v>
      </c>
      <c r="C3" s="283" t="s">
        <v>2995</v>
      </c>
      <c r="D3" s="282" t="s">
        <v>3005</v>
      </c>
      <c r="E3" s="282" t="s">
        <v>2993</v>
      </c>
      <c r="G3" s="283"/>
      <c r="H3" s="283"/>
      <c r="I3" s="283"/>
      <c r="J3" s="282">
        <v>3000</v>
      </c>
      <c r="K3" s="282">
        <v>6000</v>
      </c>
      <c r="L3" s="284">
        <v>44889</v>
      </c>
      <c r="M3" s="285">
        <v>70756</v>
      </c>
      <c r="N3" s="285">
        <v>70756</v>
      </c>
      <c r="O3" s="283" t="s">
        <v>2992</v>
      </c>
      <c r="P3" s="282">
        <v>73125</v>
      </c>
      <c r="Q3" s="283" t="s">
        <v>2991</v>
      </c>
      <c r="R3" s="286">
        <f>Tableau16[[#This Row],[NBH vidange]]-(Tableau16[[#This Row],[Compteur Actuel]]-Tableau16[[#This Row],[Dérnière vidange]])</f>
        <v>631</v>
      </c>
      <c r="S3" s="286">
        <f>Tableau16[[#This Row],[NBH Avt Filtre séparateur]]-(Tableau16[[#This Row],[Compteur Actuel]]-Tableau16[[#This Row],[Dernier chgt Separateur]])</f>
        <v>3631</v>
      </c>
      <c r="U3" s="282" t="s">
        <v>4119</v>
      </c>
    </row>
    <row r="4" spans="1:21" s="288" customFormat="1" ht="42" customHeight="1" thickBot="1">
      <c r="A4" s="282">
        <v>452</v>
      </c>
      <c r="B4" s="282" t="s">
        <v>1959</v>
      </c>
      <c r="C4" s="283" t="s">
        <v>2995</v>
      </c>
      <c r="D4" s="282" t="s">
        <v>3004</v>
      </c>
      <c r="E4" s="282" t="s">
        <v>2993</v>
      </c>
      <c r="F4" s="282"/>
      <c r="G4" s="283"/>
      <c r="H4" s="283"/>
      <c r="I4" s="283"/>
      <c r="J4" s="282">
        <v>3000</v>
      </c>
      <c r="K4" s="282">
        <v>6000</v>
      </c>
      <c r="L4" s="284">
        <v>44724</v>
      </c>
      <c r="M4" s="285">
        <v>59579</v>
      </c>
      <c r="N4" s="285">
        <v>56579</v>
      </c>
      <c r="O4" s="287" t="s">
        <v>2991</v>
      </c>
      <c r="P4" s="282">
        <v>61887</v>
      </c>
      <c r="Q4" s="283" t="s">
        <v>2992</v>
      </c>
      <c r="R4" s="286">
        <f>Tableau16[[#This Row],[NBH vidange]]-(Tableau16[[#This Row],[Compteur Actuel]]-Tableau16[[#This Row],[Dérnière vidange]])</f>
        <v>692</v>
      </c>
      <c r="S4" s="286">
        <f>Tableau16[[#This Row],[NBH Avt Filtre séparateur]]-(Tableau16[[#This Row],[Compteur Actuel]]-Tableau16[[#This Row],[Dernier chgt Separateur]])</f>
        <v>692</v>
      </c>
      <c r="U4" s="288" t="s">
        <v>4119</v>
      </c>
    </row>
    <row r="5" spans="1:21" s="288" customFormat="1" ht="42" customHeight="1" thickBot="1">
      <c r="A5" s="282">
        <v>459</v>
      </c>
      <c r="B5" s="282" t="s">
        <v>3003</v>
      </c>
      <c r="C5" s="283" t="s">
        <v>2995</v>
      </c>
      <c r="D5" s="282" t="s">
        <v>3002</v>
      </c>
      <c r="E5" s="282" t="s">
        <v>2993</v>
      </c>
      <c r="F5" s="282"/>
      <c r="G5" s="283"/>
      <c r="H5" s="283"/>
      <c r="I5" s="283"/>
      <c r="J5" s="282">
        <v>3000</v>
      </c>
      <c r="K5" s="282">
        <v>6000</v>
      </c>
      <c r="L5" s="284">
        <v>44500</v>
      </c>
      <c r="M5" s="285">
        <v>84805</v>
      </c>
      <c r="N5" s="285">
        <v>81805</v>
      </c>
      <c r="O5" s="283" t="s">
        <v>2992</v>
      </c>
      <c r="P5" s="282">
        <v>86997</v>
      </c>
      <c r="Q5" s="283" t="s">
        <v>2991</v>
      </c>
      <c r="R5" s="286">
        <f>Tableau16[[#This Row],[NBH vidange]]-(Tableau16[[#This Row],[Compteur Actuel]]-Tableau16[[#This Row],[Dérnière vidange]])</f>
        <v>808</v>
      </c>
      <c r="S5" s="286">
        <f>Tableau16[[#This Row],[NBH Avt Filtre séparateur]]-(Tableau16[[#This Row],[Compteur Actuel]]-Tableau16[[#This Row],[Dernier chgt Separateur]])</f>
        <v>808</v>
      </c>
    </row>
    <row r="6" spans="1:21" s="288" customFormat="1" ht="42" customHeight="1" thickBot="1">
      <c r="A6" s="282">
        <v>440</v>
      </c>
      <c r="B6" s="282" t="s">
        <v>3001</v>
      </c>
      <c r="C6" s="283" t="s">
        <v>2995</v>
      </c>
      <c r="D6" s="282" t="s">
        <v>3000</v>
      </c>
      <c r="E6" s="282" t="s">
        <v>2993</v>
      </c>
      <c r="F6" s="282"/>
      <c r="G6" s="283"/>
      <c r="H6" s="283"/>
      <c r="I6" s="283"/>
      <c r="J6" s="282">
        <v>3000</v>
      </c>
      <c r="K6" s="282">
        <v>6000</v>
      </c>
      <c r="L6" s="284">
        <v>44720</v>
      </c>
      <c r="M6" s="285">
        <v>5087</v>
      </c>
      <c r="N6" s="285">
        <v>5087</v>
      </c>
      <c r="O6" s="283" t="s">
        <v>2992</v>
      </c>
      <c r="P6" s="282">
        <v>7890</v>
      </c>
      <c r="Q6" s="283" t="s">
        <v>2991</v>
      </c>
      <c r="R6" s="286">
        <f>Tableau16[[#This Row],[NBH vidange]]-(Tableau16[[#This Row],[Compteur Actuel]]-Tableau16[[#This Row],[Dérnière vidange]])</f>
        <v>197</v>
      </c>
      <c r="S6" s="286">
        <f>Tableau16[[#This Row],[NBH Avt Filtre séparateur]]-(Tableau16[[#This Row],[Compteur Actuel]]-Tableau16[[#This Row],[Dernier chgt Separateur]])</f>
        <v>3197</v>
      </c>
    </row>
    <row r="7" spans="1:21" s="288" customFormat="1" ht="42" customHeight="1" thickBot="1">
      <c r="A7" s="282">
        <v>722</v>
      </c>
      <c r="B7" s="282" t="s">
        <v>2105</v>
      </c>
      <c r="C7" s="283" t="s">
        <v>2995</v>
      </c>
      <c r="D7" s="282" t="s">
        <v>2999</v>
      </c>
      <c r="E7" s="282" t="s">
        <v>2993</v>
      </c>
      <c r="F7" s="282"/>
      <c r="G7" s="283"/>
      <c r="H7" s="283"/>
      <c r="I7" s="283"/>
      <c r="J7" s="282">
        <v>3000</v>
      </c>
      <c r="K7" s="282">
        <v>6000</v>
      </c>
      <c r="L7" s="284" t="s">
        <v>4350</v>
      </c>
      <c r="M7" s="285">
        <f>7529+3000</f>
        <v>10529</v>
      </c>
      <c r="N7" s="285">
        <v>10529</v>
      </c>
      <c r="O7" s="283" t="s">
        <v>2992</v>
      </c>
      <c r="P7" s="282">
        <v>13360</v>
      </c>
      <c r="Q7" s="283" t="s">
        <v>2991</v>
      </c>
      <c r="R7" s="286">
        <f>Tableau16[[#This Row],[NBH vidange]]-(Tableau16[[#This Row],[Compteur Actuel]]-Tableau16[[#This Row],[Dérnière vidange]])</f>
        <v>169</v>
      </c>
      <c r="S7" s="286">
        <f>Tableau16[[#This Row],[NBH Avt Filtre séparateur]]-(Tableau16[[#This Row],[Compteur Actuel]]-Tableau16[[#This Row],[Dernier chgt Separateur]])</f>
        <v>3169</v>
      </c>
    </row>
    <row r="8" spans="1:21" s="288" customFormat="1" ht="42" customHeight="1" thickBot="1">
      <c r="A8" s="282">
        <v>457</v>
      </c>
      <c r="B8" s="282" t="s">
        <v>2998</v>
      </c>
      <c r="C8" s="283" t="s">
        <v>2995</v>
      </c>
      <c r="D8" s="282" t="s">
        <v>2997</v>
      </c>
      <c r="E8" s="282" t="s">
        <v>2993</v>
      </c>
      <c r="F8" s="282"/>
      <c r="G8" s="283"/>
      <c r="H8" s="283"/>
      <c r="I8" s="283"/>
      <c r="J8" s="282">
        <v>3000</v>
      </c>
      <c r="K8" s="282">
        <v>6000</v>
      </c>
      <c r="L8" s="284" t="s">
        <v>4570</v>
      </c>
      <c r="M8" s="285">
        <v>85089</v>
      </c>
      <c r="N8" s="285">
        <v>85089</v>
      </c>
      <c r="O8" s="283" t="s">
        <v>2991</v>
      </c>
      <c r="P8" s="282">
        <v>87756</v>
      </c>
      <c r="Q8" s="283" t="s">
        <v>2992</v>
      </c>
      <c r="R8" s="286">
        <f>Tableau16[[#This Row],[NBH vidange]]-(Tableau16[[#This Row],[Compteur Actuel]]-Tableau16[[#This Row],[Dérnière vidange]])</f>
        <v>333</v>
      </c>
      <c r="S8" s="286">
        <f>Tableau16[[#This Row],[NBH Avt Filtre séparateur]]-(Tableau16[[#This Row],[Compteur Actuel]]-Tableau16[[#This Row],[Dernier chgt Separateur]])</f>
        <v>3333</v>
      </c>
    </row>
    <row r="9" spans="1:21" s="288" customFormat="1" ht="42" customHeight="1">
      <c r="A9" s="282">
        <v>460</v>
      </c>
      <c r="B9" s="282" t="s">
        <v>2996</v>
      </c>
      <c r="C9" s="283" t="s">
        <v>2995</v>
      </c>
      <c r="D9" s="289" t="s">
        <v>2994</v>
      </c>
      <c r="E9" s="282" t="s">
        <v>2993</v>
      </c>
      <c r="F9" s="282"/>
      <c r="G9" s="283"/>
      <c r="H9" s="283"/>
      <c r="I9" s="283"/>
      <c r="J9" s="282">
        <v>3000</v>
      </c>
      <c r="K9" s="282">
        <v>6000</v>
      </c>
      <c r="L9" s="284">
        <v>44720</v>
      </c>
      <c r="M9" s="285">
        <v>15859</v>
      </c>
      <c r="N9" s="285">
        <v>15859</v>
      </c>
      <c r="O9" s="283" t="s">
        <v>2992</v>
      </c>
      <c r="P9" s="282">
        <v>18089</v>
      </c>
      <c r="Q9" s="283" t="s">
        <v>2991</v>
      </c>
      <c r="R9" s="290">
        <f>Tableau16[[#This Row],[NBH vidange]]-(Tableau16[[#This Row],[Compteur Actuel]]-Tableau16[[#This Row],[Dérnière vidange]])</f>
        <v>770</v>
      </c>
      <c r="S9" s="290">
        <f>Tableau16[[#This Row],[NBH Avt Filtre séparateur]]-(Tableau16[[#This Row],[Compteur Actuel]]-Tableau16[[#This Row],[Dernier chgt Separateur]])</f>
        <v>3770</v>
      </c>
    </row>
    <row r="10" spans="1:21">
      <c r="A10" s="81"/>
      <c r="B10" s="81"/>
      <c r="C10" s="86"/>
      <c r="D10" s="81"/>
      <c r="E10" s="86"/>
      <c r="F10" s="86"/>
      <c r="G10" s="86"/>
      <c r="H10" s="85"/>
      <c r="I10" s="85"/>
      <c r="J10" s="84"/>
      <c r="K10" s="83"/>
      <c r="L10" s="83"/>
      <c r="M10" s="83"/>
      <c r="N10" s="82"/>
      <c r="O10" s="82"/>
      <c r="P10" s="81"/>
      <c r="Q10" s="81"/>
      <c r="R10" s="81"/>
    </row>
    <row r="11" spans="1:21">
      <c r="A11" s="81"/>
      <c r="B11" s="81"/>
      <c r="C11" s="86"/>
      <c r="D11" s="81"/>
      <c r="E11" s="86"/>
      <c r="F11" s="86"/>
      <c r="G11" s="86"/>
      <c r="H11" s="85"/>
      <c r="I11" s="85"/>
      <c r="J11" s="84"/>
      <c r="K11" s="83"/>
      <c r="L11" s="83"/>
      <c r="M11" s="83"/>
      <c r="N11" s="82"/>
      <c r="O11" s="82"/>
      <c r="P11" s="81"/>
      <c r="Q11" s="81"/>
      <c r="R11" s="81"/>
    </row>
    <row r="12" spans="1:21">
      <c r="A12" s="81"/>
      <c r="B12" s="81"/>
      <c r="C12" s="86"/>
      <c r="D12" s="81"/>
      <c r="E12" s="82"/>
      <c r="F12" s="86"/>
      <c r="G12" s="82"/>
      <c r="H12" s="85"/>
      <c r="I12" s="85"/>
      <c r="J12" s="84"/>
      <c r="K12" s="83"/>
      <c r="L12" s="83"/>
      <c r="M12" s="83"/>
      <c r="N12" s="82"/>
      <c r="O12" s="82"/>
      <c r="P12" s="81"/>
      <c r="Q12" s="81"/>
      <c r="R12" s="81"/>
    </row>
    <row r="13" spans="1:21">
      <c r="A13" s="81"/>
      <c r="B13" s="81"/>
      <c r="C13" s="86"/>
      <c r="D13" s="81"/>
      <c r="E13" s="86"/>
      <c r="F13" s="86"/>
      <c r="G13" s="82"/>
      <c r="H13" s="85"/>
      <c r="I13" s="85"/>
      <c r="J13" s="84"/>
      <c r="K13" s="83"/>
      <c r="L13" s="83"/>
      <c r="M13" s="83"/>
      <c r="N13" s="82"/>
      <c r="O13" s="82"/>
      <c r="P13" s="81"/>
      <c r="Q13" s="81"/>
      <c r="R13" s="81"/>
    </row>
    <row r="14" spans="1:21">
      <c r="A14" s="81"/>
      <c r="B14" s="81"/>
      <c r="C14" s="86"/>
      <c r="D14" s="86"/>
      <c r="E14" s="86"/>
      <c r="F14" s="86"/>
      <c r="G14" s="82"/>
      <c r="H14" s="85"/>
      <c r="I14" s="85"/>
      <c r="J14" s="84"/>
      <c r="K14" s="83"/>
      <c r="L14" s="83"/>
      <c r="M14" s="83"/>
      <c r="N14" s="82"/>
      <c r="O14" s="82"/>
      <c r="P14" s="81"/>
      <c r="Q14" s="81"/>
      <c r="R14" s="81"/>
    </row>
    <row r="15" spans="1:21">
      <c r="A15" s="81"/>
      <c r="B15" s="81"/>
      <c r="C15" s="86"/>
      <c r="D15" s="88"/>
      <c r="E15" s="86"/>
      <c r="F15" s="86"/>
      <c r="G15" s="82"/>
      <c r="H15" s="85"/>
      <c r="I15" s="85"/>
      <c r="J15" s="84"/>
      <c r="K15" s="83"/>
      <c r="L15" s="83"/>
      <c r="M15" s="83"/>
      <c r="N15" s="82"/>
      <c r="O15" s="82"/>
      <c r="P15" s="81"/>
      <c r="Q15" s="81"/>
      <c r="R15" s="81"/>
    </row>
    <row r="16" spans="1:21">
      <c r="A16" s="81"/>
      <c r="B16" s="81"/>
      <c r="C16" s="86"/>
      <c r="D16" s="81"/>
      <c r="E16" s="86"/>
      <c r="F16" s="86"/>
      <c r="G16" s="86"/>
      <c r="H16" s="85"/>
      <c r="I16" s="85"/>
      <c r="J16" s="84"/>
      <c r="K16" s="83"/>
      <c r="L16" s="83"/>
      <c r="M16" s="83"/>
      <c r="N16" s="82"/>
      <c r="O16" s="82"/>
      <c r="P16" s="81"/>
      <c r="Q16" s="81"/>
      <c r="R16" s="81"/>
    </row>
    <row r="17" spans="1:18">
      <c r="A17" s="81"/>
      <c r="B17" s="81"/>
      <c r="C17" s="86"/>
      <c r="D17" s="81"/>
      <c r="E17" s="86"/>
      <c r="F17" s="86"/>
      <c r="G17" s="86"/>
      <c r="H17" s="85"/>
      <c r="I17" s="85"/>
      <c r="J17" s="84"/>
      <c r="K17" s="83"/>
      <c r="L17" s="83"/>
      <c r="M17" s="83"/>
      <c r="N17" s="82"/>
      <c r="O17" s="82"/>
      <c r="P17" s="81"/>
      <c r="Q17" s="81"/>
      <c r="R17" s="81"/>
    </row>
    <row r="18" spans="1:18">
      <c r="A18" s="81"/>
      <c r="B18" s="81"/>
      <c r="C18" s="86"/>
      <c r="D18" s="88"/>
      <c r="E18" s="86"/>
      <c r="F18" s="86"/>
      <c r="G18" s="86"/>
      <c r="H18" s="85"/>
      <c r="I18" s="85"/>
      <c r="J18" s="84"/>
      <c r="K18" s="83"/>
      <c r="L18" s="83"/>
      <c r="M18" s="83"/>
      <c r="N18" s="82"/>
      <c r="O18" s="82"/>
      <c r="P18" s="81"/>
      <c r="Q18" s="81"/>
      <c r="R18" s="81"/>
    </row>
    <row r="19" spans="1:18">
      <c r="A19" s="81"/>
      <c r="B19" s="81"/>
      <c r="C19" s="86"/>
      <c r="D19" s="81"/>
      <c r="E19" s="86"/>
      <c r="F19" s="86"/>
      <c r="G19" s="86"/>
      <c r="H19" s="85"/>
      <c r="I19" s="85"/>
      <c r="J19" s="84"/>
      <c r="K19" s="83"/>
      <c r="L19" s="83"/>
      <c r="M19" s="83"/>
      <c r="N19" s="82"/>
      <c r="O19" s="82"/>
      <c r="P19" s="81"/>
      <c r="Q19" s="81"/>
      <c r="R19" s="81"/>
    </row>
    <row r="20" spans="1:18">
      <c r="A20" s="81"/>
      <c r="B20" s="81"/>
      <c r="C20" s="86"/>
      <c r="D20" s="81"/>
      <c r="E20" s="86"/>
      <c r="F20" s="86"/>
      <c r="G20" s="86"/>
      <c r="H20" s="85"/>
      <c r="I20" s="85"/>
      <c r="J20" s="84"/>
      <c r="K20" s="83"/>
      <c r="L20" s="83"/>
      <c r="M20" s="83"/>
      <c r="N20" s="82"/>
      <c r="O20" s="82"/>
      <c r="P20" s="81"/>
      <c r="Q20" s="81"/>
      <c r="R20" s="81"/>
    </row>
    <row r="21" spans="1:18">
      <c r="A21" s="81"/>
      <c r="B21" s="81"/>
      <c r="C21" s="86"/>
      <c r="D21" s="81"/>
      <c r="E21" s="86"/>
      <c r="F21" s="86"/>
      <c r="G21" s="86"/>
      <c r="H21" s="85"/>
      <c r="I21" s="85"/>
      <c r="J21" s="84"/>
      <c r="K21" s="83"/>
      <c r="L21" s="83"/>
      <c r="M21" s="83"/>
      <c r="N21" s="82"/>
      <c r="O21" s="82"/>
      <c r="P21" s="81"/>
      <c r="Q21" s="81"/>
      <c r="R21" s="81"/>
    </row>
    <row r="22" spans="1:18">
      <c r="A22" s="81"/>
      <c r="B22" s="81"/>
      <c r="C22" s="86"/>
      <c r="D22" s="81"/>
      <c r="E22" s="86"/>
      <c r="F22" s="86"/>
      <c r="G22" s="86"/>
      <c r="H22" s="85"/>
      <c r="I22" s="85"/>
      <c r="J22" s="84"/>
      <c r="K22" s="83"/>
      <c r="L22" s="83"/>
      <c r="M22" s="83"/>
      <c r="N22" s="82"/>
      <c r="O22" s="82"/>
      <c r="P22" s="81"/>
      <c r="Q22" s="81"/>
      <c r="R22" s="81"/>
    </row>
    <row r="23" spans="1:18">
      <c r="A23" s="81"/>
      <c r="B23" s="81"/>
      <c r="C23" s="86"/>
      <c r="D23" s="81"/>
      <c r="E23" s="86"/>
      <c r="F23" s="86"/>
      <c r="G23" s="86"/>
      <c r="H23" s="85"/>
      <c r="I23" s="85"/>
      <c r="J23" s="84"/>
      <c r="K23" s="83"/>
      <c r="L23" s="83"/>
      <c r="M23" s="83"/>
      <c r="N23" s="82"/>
      <c r="O23" s="82"/>
      <c r="P23" s="81"/>
      <c r="Q23" s="81"/>
      <c r="R23" s="81"/>
    </row>
    <row r="24" spans="1:18">
      <c r="A24" s="81"/>
      <c r="B24" s="81"/>
      <c r="C24" s="86"/>
      <c r="D24" s="81"/>
      <c r="E24" s="86"/>
      <c r="F24" s="86"/>
      <c r="G24" s="86"/>
      <c r="H24" s="85"/>
      <c r="I24" s="85"/>
      <c r="J24" s="84"/>
      <c r="K24" s="83"/>
      <c r="L24" s="83"/>
      <c r="M24" s="83"/>
      <c r="N24" s="82"/>
      <c r="O24" s="82"/>
      <c r="P24" s="81"/>
      <c r="Q24" s="81"/>
      <c r="R24" s="81"/>
    </row>
    <row r="25" spans="1:18">
      <c r="A25" s="81"/>
      <c r="B25" s="81"/>
      <c r="C25" s="86"/>
      <c r="D25" s="81"/>
      <c r="E25" s="86"/>
      <c r="F25" s="86"/>
      <c r="G25" s="86"/>
      <c r="H25" s="85"/>
      <c r="I25" s="85"/>
      <c r="J25" s="84"/>
      <c r="K25" s="83"/>
      <c r="L25" s="83"/>
      <c r="M25" s="83"/>
      <c r="N25" s="82"/>
      <c r="O25" s="82"/>
      <c r="P25" s="81"/>
      <c r="Q25" s="81"/>
      <c r="R25" s="81"/>
    </row>
    <row r="26" spans="1:18">
      <c r="A26" s="81"/>
      <c r="B26" s="81"/>
      <c r="C26" s="86"/>
      <c r="D26" s="81"/>
      <c r="E26" s="86"/>
      <c r="F26" s="86"/>
      <c r="G26" s="87"/>
      <c r="H26" s="85"/>
      <c r="I26" s="85"/>
      <c r="J26" s="84"/>
      <c r="K26" s="83"/>
      <c r="L26" s="83"/>
      <c r="M26" s="83"/>
      <c r="N26" s="82"/>
      <c r="O26" s="82"/>
      <c r="P26" s="81"/>
      <c r="Q26" s="81"/>
      <c r="R26" s="81"/>
    </row>
    <row r="27" spans="1:18">
      <c r="A27" s="81"/>
      <c r="B27" s="81"/>
      <c r="C27" s="86"/>
      <c r="D27" s="81"/>
      <c r="E27" s="86"/>
      <c r="F27" s="86"/>
      <c r="G27" s="86"/>
      <c r="H27" s="85"/>
      <c r="I27" s="85"/>
      <c r="J27" s="84"/>
      <c r="K27" s="83"/>
      <c r="L27" s="83"/>
      <c r="M27" s="83"/>
      <c r="N27" s="82"/>
      <c r="O27" s="82"/>
      <c r="P27" s="81"/>
      <c r="Q27" s="81"/>
      <c r="R27" s="81"/>
    </row>
    <row r="28" spans="1:18">
      <c r="A28" s="81"/>
      <c r="B28" s="81"/>
      <c r="C28" s="86"/>
      <c r="D28" s="81"/>
      <c r="E28" s="86"/>
      <c r="F28" s="86"/>
      <c r="G28" s="86"/>
      <c r="H28" s="85"/>
      <c r="I28" s="85"/>
      <c r="J28" s="84"/>
      <c r="K28" s="83"/>
      <c r="L28" s="83"/>
      <c r="M28" s="83"/>
      <c r="N28" s="82"/>
      <c r="O28" s="82"/>
      <c r="P28" s="81"/>
      <c r="Q28" s="81"/>
      <c r="R28" s="81"/>
    </row>
    <row r="29" spans="1:18">
      <c r="A29" s="81"/>
      <c r="B29" s="81"/>
      <c r="C29" s="86"/>
      <c r="D29" s="81"/>
      <c r="E29" s="86"/>
      <c r="F29" s="86"/>
      <c r="G29" s="86"/>
      <c r="H29" s="85"/>
      <c r="I29" s="85"/>
      <c r="J29" s="84"/>
      <c r="K29" s="83"/>
      <c r="L29" s="83"/>
      <c r="M29" s="83"/>
      <c r="N29" s="82"/>
      <c r="O29" s="82"/>
      <c r="P29" s="81"/>
      <c r="Q29" s="81"/>
      <c r="R29" s="81"/>
    </row>
    <row r="30" spans="1:18">
      <c r="A30" s="81"/>
      <c r="B30" s="81"/>
      <c r="C30" s="86"/>
      <c r="D30" s="81"/>
      <c r="E30" s="86"/>
      <c r="F30" s="86"/>
      <c r="G30" s="86"/>
      <c r="H30" s="85"/>
      <c r="I30" s="85"/>
      <c r="J30" s="84"/>
      <c r="K30" s="83"/>
      <c r="L30" s="83"/>
      <c r="M30" s="83"/>
      <c r="N30" s="82"/>
      <c r="O30" s="82"/>
      <c r="P30" s="81"/>
      <c r="Q30" s="81"/>
      <c r="R30" s="81"/>
    </row>
    <row r="31" spans="1:18">
      <c r="A31" s="81"/>
      <c r="B31" s="81"/>
      <c r="C31" s="86"/>
      <c r="D31" s="81"/>
      <c r="E31" s="86"/>
      <c r="F31" s="86"/>
      <c r="G31" s="86"/>
      <c r="H31" s="85"/>
      <c r="I31" s="85"/>
      <c r="J31" s="84"/>
      <c r="K31" s="83"/>
      <c r="L31" s="83"/>
      <c r="M31" s="83"/>
      <c r="N31" s="82"/>
      <c r="O31" s="82"/>
      <c r="P31" s="81"/>
      <c r="Q31" s="81"/>
      <c r="R31" s="81"/>
    </row>
    <row r="32" spans="1:18">
      <c r="A32" s="81"/>
      <c r="B32" s="81"/>
      <c r="C32" s="86"/>
      <c r="D32" s="81"/>
      <c r="E32" s="86"/>
      <c r="F32" s="86"/>
      <c r="G32" s="86"/>
      <c r="H32" s="85"/>
      <c r="I32" s="85"/>
      <c r="J32" s="84"/>
      <c r="K32" s="83"/>
      <c r="L32" s="83"/>
      <c r="M32" s="83"/>
      <c r="N32" s="82"/>
      <c r="O32" s="82"/>
      <c r="P32" s="81"/>
      <c r="Q32" s="81"/>
      <c r="R32" s="81"/>
    </row>
    <row r="33" spans="1:18">
      <c r="A33" s="81"/>
      <c r="B33" s="81"/>
      <c r="C33" s="86"/>
      <c r="D33" s="81"/>
      <c r="E33" s="82"/>
      <c r="F33" s="86"/>
      <c r="G33" s="82"/>
      <c r="H33" s="85"/>
      <c r="I33" s="85"/>
      <c r="J33" s="84"/>
      <c r="K33" s="83"/>
      <c r="L33" s="83"/>
      <c r="M33" s="83"/>
      <c r="N33" s="82"/>
      <c r="O33" s="82"/>
      <c r="P33" s="81"/>
      <c r="Q33" s="81"/>
      <c r="R33" s="81"/>
    </row>
    <row r="34" spans="1:18">
      <c r="A34" s="81"/>
      <c r="B34" s="81"/>
      <c r="C34" s="86"/>
      <c r="D34" s="81"/>
      <c r="E34" s="86"/>
      <c r="F34" s="86"/>
      <c r="G34" s="86"/>
      <c r="H34" s="85"/>
      <c r="I34" s="85"/>
      <c r="J34" s="84"/>
      <c r="K34" s="83"/>
      <c r="L34" s="83"/>
      <c r="M34" s="83"/>
      <c r="N34" s="82"/>
      <c r="O34" s="82"/>
      <c r="P34" s="81"/>
      <c r="Q34" s="81"/>
      <c r="R34" s="81"/>
    </row>
    <row r="35" spans="1:18">
      <c r="A35" s="81"/>
      <c r="B35" s="81"/>
      <c r="C35" s="86"/>
      <c r="D35" s="81"/>
      <c r="E35" s="82"/>
      <c r="F35" s="86"/>
      <c r="G35" s="82"/>
      <c r="H35" s="85"/>
      <c r="I35" s="85"/>
      <c r="J35" s="84"/>
      <c r="K35" s="83"/>
      <c r="L35" s="83"/>
      <c r="M35" s="83"/>
      <c r="N35" s="82"/>
      <c r="O35" s="82"/>
      <c r="P35" s="81"/>
      <c r="Q35" s="81"/>
      <c r="R35" s="81"/>
    </row>
    <row r="36" spans="1:18">
      <c r="A36" s="81"/>
      <c r="B36" s="81"/>
      <c r="C36" s="86"/>
      <c r="D36" s="81"/>
      <c r="E36" s="82"/>
      <c r="F36" s="86"/>
      <c r="G36" s="82"/>
      <c r="H36" s="85"/>
      <c r="I36" s="85"/>
      <c r="J36" s="84"/>
      <c r="K36" s="83"/>
      <c r="L36" s="83"/>
      <c r="M36" s="83"/>
      <c r="N36" s="82"/>
      <c r="O36" s="82"/>
      <c r="P36" s="81"/>
      <c r="Q36" s="81"/>
      <c r="R36" s="81"/>
    </row>
    <row r="37" spans="1:18">
      <c r="A37" s="81"/>
      <c r="B37" s="81"/>
      <c r="C37" s="86"/>
      <c r="D37" s="81"/>
      <c r="E37" s="82"/>
      <c r="F37" s="86"/>
      <c r="G37" s="82"/>
      <c r="H37" s="85"/>
      <c r="I37" s="85"/>
      <c r="J37" s="84"/>
      <c r="K37" s="83"/>
      <c r="L37" s="83"/>
      <c r="M37" s="83"/>
      <c r="N37" s="82"/>
      <c r="O37" s="82"/>
      <c r="P37" s="81"/>
      <c r="Q37" s="81"/>
      <c r="R37" s="81"/>
    </row>
    <row r="38" spans="1:18">
      <c r="A38" s="81"/>
      <c r="B38" s="81"/>
      <c r="C38" s="86"/>
      <c r="D38" s="81"/>
      <c r="E38" s="82"/>
      <c r="F38" s="86"/>
      <c r="G38" s="82"/>
      <c r="H38" s="85"/>
      <c r="I38" s="85"/>
      <c r="J38" s="84"/>
      <c r="K38" s="83"/>
      <c r="L38" s="83"/>
      <c r="M38" s="83"/>
      <c r="N38" s="82"/>
      <c r="O38" s="82"/>
      <c r="P38" s="81"/>
      <c r="Q38" s="81"/>
      <c r="R38" s="81"/>
    </row>
    <row r="39" spans="1:18">
      <c r="A39" s="81"/>
      <c r="B39" s="81"/>
      <c r="C39" s="86"/>
      <c r="D39" s="81"/>
      <c r="E39" s="82"/>
      <c r="F39" s="86"/>
      <c r="G39" s="82"/>
      <c r="H39" s="85"/>
      <c r="I39" s="85"/>
      <c r="J39" s="84"/>
      <c r="K39" s="83"/>
      <c r="L39" s="83"/>
      <c r="M39" s="83"/>
      <c r="N39" s="82"/>
      <c r="O39" s="82"/>
      <c r="P39" s="81"/>
      <c r="Q39" s="81"/>
      <c r="R39" s="81"/>
    </row>
  </sheetData>
  <conditionalFormatting sqref="P29:R39 P10:R13 P14:P28 R3:S9">
    <cfRule type="cellIs" dxfId="40" priority="5" operator="between">
      <formula>1000</formula>
      <formula>201</formula>
    </cfRule>
  </conditionalFormatting>
  <conditionalFormatting sqref="P29:R39 P10:R13 P14:P28 R3:S9">
    <cfRule type="cellIs" dxfId="39" priority="4" operator="greaterThanOrEqual">
      <formula>1000</formula>
    </cfRule>
  </conditionalFormatting>
  <conditionalFormatting sqref="P34:R35 P18:R25 P28:R28 P14:R15 Q16:R17 Q26:R27">
    <cfRule type="cellIs" dxfId="38" priority="2" operator="between">
      <formula>100</formula>
      <formula>1</formula>
    </cfRule>
    <cfRule type="cellIs" dxfId="37" priority="3" operator="greaterThanOrEqual">
      <formula>100</formula>
    </cfRule>
  </conditionalFormatting>
  <conditionalFormatting sqref="R3:S9">
    <cfRule type="cellIs" dxfId="36" priority="1" operator="lessThanOrEqual">
      <formula>200</formula>
    </cfRule>
  </conditionalFormatting>
  <pageMargins left="0.7" right="0.7" top="0.75" bottom="0.75" header="0.3" footer="0.3"/>
  <pageSetup paperSize="9" scale="48" orientation="landscape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Feuil13"/>
  <dimension ref="A4:N7"/>
  <sheetViews>
    <sheetView showGridLines="0" workbookViewId="0">
      <selection activeCell="J7" sqref="J7"/>
    </sheetView>
  </sheetViews>
  <sheetFormatPr baseColWidth="10" defaultRowHeight="15"/>
  <cols>
    <col min="1" max="1" width="15.42578125" customWidth="1"/>
    <col min="2" max="2" width="16.7109375" customWidth="1"/>
    <col min="3" max="6" width="16.7109375" hidden="1" customWidth="1"/>
    <col min="7" max="7" width="15.7109375" customWidth="1"/>
    <col min="8" max="8" width="15.5703125" bestFit="1" customWidth="1"/>
    <col min="9" max="9" width="12.28515625" bestFit="1" customWidth="1"/>
    <col min="10" max="10" width="18.7109375" bestFit="1" customWidth="1"/>
    <col min="11" max="11" width="18.7109375" customWidth="1"/>
    <col min="12" max="12" width="53.5703125" customWidth="1"/>
    <col min="13" max="13" width="40.5703125" customWidth="1"/>
    <col min="14" max="14" width="43.42578125" customWidth="1"/>
  </cols>
  <sheetData>
    <row r="4" spans="1:14">
      <c r="A4" t="s">
        <v>3060</v>
      </c>
      <c r="B4" t="s">
        <v>3061</v>
      </c>
      <c r="C4" t="s">
        <v>3077</v>
      </c>
      <c r="D4" t="s">
        <v>3078</v>
      </c>
      <c r="E4" t="s">
        <v>3079</v>
      </c>
      <c r="F4" t="s">
        <v>3080</v>
      </c>
      <c r="G4" t="s">
        <v>341</v>
      </c>
      <c r="H4" t="s">
        <v>1</v>
      </c>
      <c r="I4" t="s">
        <v>3</v>
      </c>
      <c r="J4" t="s">
        <v>3064</v>
      </c>
      <c r="K4" t="s">
        <v>3062</v>
      </c>
      <c r="L4" t="s">
        <v>3063</v>
      </c>
      <c r="M4" t="s">
        <v>3076</v>
      </c>
      <c r="N4" t="s">
        <v>3086</v>
      </c>
    </row>
    <row r="5" spans="1:14">
      <c r="A5" s="102" t="str">
        <f>IF(ISBLANK(Incidents[[#This Row],[Date d''incident]]),"",CONCATENATE(Incidents[[#This Row],[jours]],Incidents[[#This Row],[mois]],Incidents[[#This Row],[Année]],Incidents[[#This Row],[Code machine]],"00",Incidents[[#This Row],[N°incident]]))</f>
        <v/>
      </c>
      <c r="B5" s="227"/>
      <c r="C5" s="102" t="str">
        <f>IF(ISBLANK(Incidents[[#This Row],[Date d''incident]]),"",DAY(Incidents[[#This Row],[Date d''incident]]))</f>
        <v/>
      </c>
      <c r="D5" s="102" t="str">
        <f>IF(ISBLANK(Incidents[[#This Row],[Date d''incident]]),"",MONTH(Incidents[[#This Row],[Date d''incident]]))</f>
        <v/>
      </c>
      <c r="E5" s="102" t="str">
        <f>IF(ISBLANK(Incidents[[#This Row],[Date d''incident]]),"",YEAR(Incidents[[#This Row],[Date d''incident]]))</f>
        <v/>
      </c>
      <c r="F5" s="228" t="str">
        <f>IF(ISBLANK(Incidents[[#This Row],[Date d''incident]]),"",IF(Incidents[[#This Row],[Date d''incident]]&lt;&gt;B4,1,F4+1))</f>
        <v/>
      </c>
      <c r="G5" s="102"/>
      <c r="H5" s="102" t="str">
        <f>IF(ISNA(VLOOKUP(Incidents[[#This Row],[Code machine]],'CODE mchn'!$A$4:$C$170,2,0)),"",VLOOKUP(Incidents[[#This Row],[Code machine]],'CODE mchn'!$A$4:$C$170,2,0))</f>
        <v/>
      </c>
      <c r="I5" s="102" t="str">
        <f>IF(ISNA(VLOOKUP(Incidents[[#This Row],[Code machine]],'CODE mchn'!$A$4:$C$170,3,0)),"",VLOOKUP(Incidents[[#This Row],[Code machine]],'CODE mchn'!$A$4:$C$170,3,0))</f>
        <v/>
      </c>
      <c r="J5" s="102"/>
      <c r="K5" s="102"/>
      <c r="L5" s="102"/>
      <c r="M5" s="102"/>
      <c r="N5" s="102"/>
    </row>
    <row r="6" spans="1:14" ht="75">
      <c r="A6" s="102" t="str">
        <f>IF(ISBLANK(Incidents[[#This Row],[Date d''incident]]),"",CONCATENATE(Incidents[[#This Row],[jours]],Incidents[[#This Row],[mois]],Incidents[[#This Row],[Année]],Incidents[[#This Row],[Code machine]],"00",Incidents[[#This Row],[N°incident]]))</f>
        <v>1112021920001</v>
      </c>
      <c r="B6" s="227">
        <v>44501</v>
      </c>
      <c r="C6" s="102">
        <f>IF(ISBLANK(Incidents[[#This Row],[Date d''incident]]),"",DAY(Incidents[[#This Row],[Date d''incident]]))</f>
        <v>1</v>
      </c>
      <c r="D6" s="102">
        <f>IF(ISBLANK(Incidents[[#This Row],[Date d''incident]]),"",MONTH(Incidents[[#This Row],[Date d''incident]]))</f>
        <v>11</v>
      </c>
      <c r="E6" s="102">
        <f>IF(ISBLANK(Incidents[[#This Row],[Date d''incident]]),"",YEAR(Incidents[[#This Row],[Date d''incident]]))</f>
        <v>2021</v>
      </c>
      <c r="F6" s="228">
        <f>IF(ISBLANK(Incidents[[#This Row],[Date d''incident]]),"",IF(Incidents[[#This Row],[Date d''incident]]&lt;&gt;B5,1,F5+1))</f>
        <v>1</v>
      </c>
      <c r="G6" s="102">
        <v>920</v>
      </c>
      <c r="H6" s="102" t="str">
        <f>IF(ISNA(VLOOKUP(Incidents[[#This Row],[Code machine]],'CODE mchn'!$A$4:$C$170,2,0)),"",VLOOKUP(Incidents[[#This Row],[Code machine]],'CODE mchn'!$A$4:$C$170,2,0))</f>
        <v>Gestion de stock</v>
      </c>
      <c r="I6" s="102" t="str">
        <f>IF(ISNA(VLOOKUP(Incidents[[#This Row],[Code machine]],'CODE mchn'!$A$4:$C$170,3,0)),"",VLOOKUP(Incidents[[#This Row],[Code machine]],'CODE mchn'!$A$4:$C$170,3,0))</f>
        <v>Pont bascule</v>
      </c>
      <c r="J6" s="102" t="s">
        <v>3117</v>
      </c>
      <c r="K6" s="102" t="s">
        <v>3116</v>
      </c>
      <c r="L6" s="102" t="s">
        <v>3118</v>
      </c>
      <c r="M6" s="102" t="s">
        <v>3119</v>
      </c>
      <c r="N6" s="102" t="s">
        <v>3120</v>
      </c>
    </row>
    <row r="7" spans="1:14" ht="60">
      <c r="A7" s="102" t="str">
        <f>IF(ISBLANK(Incidents[[#This Row],[Date d''incident]]),"",CONCATENATE(Incidents[[#This Row],[jours]],Incidents[[#This Row],[mois]],Incidents[[#This Row],[Année]],Incidents[[#This Row],[Code machine]],"00",Incidents[[#This Row],[N°incident]]))</f>
        <v>23102021800001</v>
      </c>
      <c r="B7" s="227">
        <v>44492</v>
      </c>
      <c r="C7" s="102">
        <f>IF(ISBLANK(Incidents[[#This Row],[Date d''incident]]),"",DAY(Incidents[[#This Row],[Date d''incident]]))</f>
        <v>23</v>
      </c>
      <c r="D7" s="102">
        <f>IF(ISBLANK(Incidents[[#This Row],[Date d''incident]]),"",MONTH(Incidents[[#This Row],[Date d''incident]]))</f>
        <v>10</v>
      </c>
      <c r="E7" s="102">
        <f>IF(ISBLANK(Incidents[[#This Row],[Date d''incident]]),"",YEAR(Incidents[[#This Row],[Date d''incident]]))</f>
        <v>2021</v>
      </c>
      <c r="F7" s="228">
        <f>IF(ISBLANK(Incidents[[#This Row],[Date d''incident]]),"",IF(Incidents[[#This Row],[Date d''incident]]&lt;&gt;B6,1,F6+1))</f>
        <v>1</v>
      </c>
      <c r="G7" s="102">
        <v>800</v>
      </c>
      <c r="H7" s="102" t="str">
        <f>IF(ISNA(VLOOKUP(Incidents[[#This Row],[Code machine]],'CODE mchn'!$A$4:$C$170,2,0)),"",VLOOKUP(Incidents[[#This Row],[Code machine]],'CODE mchn'!$A$4:$C$170,2,0))</f>
        <v>Béton</v>
      </c>
      <c r="I7" s="102" t="str">
        <f>IF(ISNA(VLOOKUP(Incidents[[#This Row],[Code machine]],'CODE mchn'!$A$4:$C$170,3,0)),"",VLOOKUP(Incidents[[#This Row],[Code machine]],'CODE mchn'!$A$4:$C$170,3,0))</f>
        <v>Poyatos 2</v>
      </c>
      <c r="J7" s="102" t="s">
        <v>3081</v>
      </c>
      <c r="K7" s="102" t="s">
        <v>3082</v>
      </c>
      <c r="L7" s="102" t="s">
        <v>3083</v>
      </c>
      <c r="M7" s="102" t="s">
        <v>3084</v>
      </c>
      <c r="N7" s="102" t="s">
        <v>3085</v>
      </c>
    </row>
  </sheetData>
  <phoneticPr fontId="24" type="noConversion"/>
  <dataValidations count="1">
    <dataValidation type="list" allowBlank="1" showInputMessage="1" showErrorMessage="1" sqref="K5:K7">
      <formula1>"Bris de machine, Dommage électrique, Incendie, Accident physique, Accident, Innondation"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B1:H50"/>
  <sheetViews>
    <sheetView showGridLines="0" topLeftCell="A13" workbookViewId="0">
      <selection activeCell="L10" sqref="L10"/>
    </sheetView>
  </sheetViews>
  <sheetFormatPr baseColWidth="10" defaultRowHeight="15"/>
  <cols>
    <col min="1" max="1" width="6" customWidth="1"/>
    <col min="2" max="2" width="9.140625" bestFit="1" customWidth="1"/>
    <col min="3" max="3" width="15.5703125" bestFit="1" customWidth="1"/>
    <col min="7" max="7" width="16.5703125" bestFit="1" customWidth="1"/>
    <col min="8" max="8" width="17.42578125" bestFit="1" customWidth="1"/>
  </cols>
  <sheetData>
    <row r="1" spans="2:8" ht="15.75">
      <c r="B1" s="338"/>
      <c r="C1" s="338"/>
      <c r="D1" s="357" t="s">
        <v>3052</v>
      </c>
      <c r="E1" s="357"/>
      <c r="F1" s="357"/>
      <c r="G1" s="359" t="s">
        <v>3054</v>
      </c>
      <c r="H1" s="359"/>
    </row>
    <row r="2" spans="2:8" ht="15.75">
      <c r="B2" s="338"/>
      <c r="C2" s="338"/>
      <c r="D2" s="358" t="s">
        <v>3053</v>
      </c>
      <c r="E2" s="358"/>
      <c r="F2" s="358"/>
      <c r="G2" s="359" t="s">
        <v>3055</v>
      </c>
      <c r="H2" s="359"/>
    </row>
    <row r="3" spans="2:8" ht="15.75">
      <c r="B3" s="338"/>
      <c r="C3" s="338"/>
      <c r="D3" s="358"/>
      <c r="E3" s="358"/>
      <c r="F3" s="358"/>
      <c r="G3" s="359" t="s">
        <v>3056</v>
      </c>
      <c r="H3" s="359"/>
    </row>
    <row r="5" spans="2:8" ht="15.75">
      <c r="B5" s="231" t="s">
        <v>3058</v>
      </c>
      <c r="C5" s="223">
        <v>44492</v>
      </c>
      <c r="G5" s="226" t="s">
        <v>3059</v>
      </c>
      <c r="H5" s="257" t="s">
        <v>4118</v>
      </c>
    </row>
    <row r="7" spans="2:8">
      <c r="B7" s="225" t="s">
        <v>3065</v>
      </c>
      <c r="C7" s="229">
        <f>IF(ISNA(VLOOKUP(H5,Incidents[],7,FALSE)),"",VLOOKUP(H5,Incidents[],7,FALSE))</f>
        <v>800</v>
      </c>
      <c r="G7" s="225" t="s">
        <v>3068</v>
      </c>
      <c r="H7" s="230">
        <f>IF(ISNA(VLOOKUP(H5,Incidents[],2,FALSE)),"",VLOOKUP(H5,Incidents[],2,FALSE))</f>
        <v>44492</v>
      </c>
    </row>
    <row r="8" spans="2:8">
      <c r="B8" s="225" t="s">
        <v>3066</v>
      </c>
      <c r="C8" s="229" t="str">
        <f>IF(ISNA(VLOOKUP(H5,Incidents[],8,FALSE)),"",VLOOKUP(H5,Incidents[],8,FALSE))</f>
        <v>Béton</v>
      </c>
      <c r="G8" s="225" t="s">
        <v>3069</v>
      </c>
      <c r="H8" s="224" t="str">
        <f>IF(ISNA(VLOOKUP(H5,Incidents[],11,FALSE)),"",VLOOKUP(H5,Incidents[],11,FALSE))</f>
        <v>Accident physique</v>
      </c>
    </row>
    <row r="9" spans="2:8">
      <c r="B9" s="225" t="s">
        <v>3067</v>
      </c>
      <c r="C9" s="229" t="str">
        <f>IF(ISNA(VLOOKUP(H5,Incidents[],9,FALSE)),"",VLOOKUP(H5,Incidents[],9,FALSE))</f>
        <v>Poyatos 2</v>
      </c>
      <c r="G9" s="346" t="s">
        <v>3070</v>
      </c>
      <c r="H9" s="347" t="str">
        <f>IF(ISNA(VLOOKUP(H5,Incidents[],10,FALSE)),"",VLOOKUP(H5,Incidents[],10,FALSE))</f>
        <v xml:space="preserve">Fosse </v>
      </c>
    </row>
    <row r="10" spans="2:8">
      <c r="G10" s="346"/>
      <c r="H10" s="347"/>
    </row>
    <row r="12" spans="2:8" ht="15.75">
      <c r="B12" s="342" t="s">
        <v>3071</v>
      </c>
      <c r="C12" s="342"/>
      <c r="D12" s="342"/>
      <c r="E12" s="342"/>
      <c r="F12" s="342"/>
      <c r="G12" s="342"/>
      <c r="H12" s="342"/>
    </row>
    <row r="13" spans="2:8">
      <c r="B13" s="339" t="str">
        <f>IF(ISNA(VLOOKUP(H5,Incidents[],12,FALSE)),"",VLOOKUP(H5,Incidents[],12,FALSE))</f>
        <v xml:space="preserve"> - Chute de 5T de sable concassé sur le convoyeur à agrégats
- Rupture de la bande à agrégats
- Moteur principal endommagé</v>
      </c>
      <c r="C13" s="339"/>
      <c r="D13" s="339"/>
      <c r="E13" s="339"/>
      <c r="F13" s="339"/>
      <c r="G13" s="339"/>
      <c r="H13" s="339"/>
    </row>
    <row r="14" spans="2:8">
      <c r="B14" s="339"/>
      <c r="C14" s="339"/>
      <c r="D14" s="339"/>
      <c r="E14" s="339"/>
      <c r="F14" s="339"/>
      <c r="G14" s="339"/>
      <c r="H14" s="339"/>
    </row>
    <row r="15" spans="2:8">
      <c r="B15" s="339"/>
      <c r="C15" s="339"/>
      <c r="D15" s="339"/>
      <c r="E15" s="339"/>
      <c r="F15" s="339"/>
      <c r="G15" s="339"/>
      <c r="H15" s="339"/>
    </row>
    <row r="16" spans="2:8">
      <c r="B16" s="339"/>
      <c r="C16" s="339"/>
      <c r="D16" s="339"/>
      <c r="E16" s="339"/>
      <c r="F16" s="339"/>
      <c r="G16" s="339"/>
      <c r="H16" s="339"/>
    </row>
    <row r="17" spans="2:8">
      <c r="B17" s="339"/>
      <c r="C17" s="339"/>
      <c r="D17" s="339"/>
      <c r="E17" s="339"/>
      <c r="F17" s="339"/>
      <c r="G17" s="339"/>
      <c r="H17" s="339"/>
    </row>
    <row r="18" spans="2:8">
      <c r="B18" s="339"/>
      <c r="C18" s="339"/>
      <c r="D18" s="339"/>
      <c r="E18" s="339"/>
      <c r="F18" s="339"/>
      <c r="G18" s="339"/>
      <c r="H18" s="339"/>
    </row>
    <row r="21" spans="2:8">
      <c r="B21" s="343" t="s">
        <v>3074</v>
      </c>
      <c r="C21" s="344"/>
      <c r="D21" s="344"/>
      <c r="E21" s="344"/>
      <c r="F21" s="344"/>
      <c r="G21" s="344"/>
      <c r="H21" s="345"/>
    </row>
    <row r="22" spans="2:8">
      <c r="B22" s="348" t="str">
        <f>IF(ISNA(VLOOKUP(H5,Incidents[],13,FALSE)),"",VLOOKUP(H5,Incidents[],13,FALSE))</f>
        <v xml:space="preserve"> -Rupture de la bande d'alimentation en sable concassé
- Usure de la bande
</v>
      </c>
      <c r="C22" s="349"/>
      <c r="D22" s="349"/>
      <c r="E22" s="349"/>
      <c r="F22" s="349"/>
      <c r="G22" s="349"/>
      <c r="H22" s="350"/>
    </row>
    <row r="23" spans="2:8">
      <c r="B23" s="351"/>
      <c r="C23" s="352"/>
      <c r="D23" s="352"/>
      <c r="E23" s="352"/>
      <c r="F23" s="352"/>
      <c r="G23" s="352"/>
      <c r="H23" s="353"/>
    </row>
    <row r="24" spans="2:8">
      <c r="B24" s="351"/>
      <c r="C24" s="352"/>
      <c r="D24" s="352"/>
      <c r="E24" s="352"/>
      <c r="F24" s="352"/>
      <c r="G24" s="352"/>
      <c r="H24" s="353"/>
    </row>
    <row r="25" spans="2:8">
      <c r="B25" s="351"/>
      <c r="C25" s="352"/>
      <c r="D25" s="352"/>
      <c r="E25" s="352"/>
      <c r="F25" s="352"/>
      <c r="G25" s="352"/>
      <c r="H25" s="353"/>
    </row>
    <row r="26" spans="2:8">
      <c r="B26" s="351"/>
      <c r="C26" s="352"/>
      <c r="D26" s="352"/>
      <c r="E26" s="352"/>
      <c r="F26" s="352"/>
      <c r="G26" s="352"/>
      <c r="H26" s="353"/>
    </row>
    <row r="27" spans="2:8">
      <c r="B27" s="354"/>
      <c r="C27" s="355"/>
      <c r="D27" s="355"/>
      <c r="E27" s="355"/>
      <c r="F27" s="355"/>
      <c r="G27" s="355"/>
      <c r="H27" s="356"/>
    </row>
    <row r="30" spans="2:8">
      <c r="B30" s="343" t="s">
        <v>3075</v>
      </c>
      <c r="C30" s="344"/>
      <c r="D30" s="344"/>
      <c r="E30" s="344"/>
      <c r="F30" s="344"/>
      <c r="G30" s="344"/>
      <c r="H30" s="345"/>
    </row>
    <row r="31" spans="2:8">
      <c r="B31" s="339" t="str">
        <f>IF(ISNA(VLOOKUP(H5,Incidents[],14,FALSE)),"",VLOOKUP(H5,Incidents[],14,FALSE))</f>
        <v>Changement de la bande de sable concassé et mise en plance d'un plan de contrôle pour éviter que ce genre d'accident ne se reproduisent</v>
      </c>
      <c r="C31" s="339"/>
      <c r="D31" s="339"/>
      <c r="E31" s="339"/>
      <c r="F31" s="339"/>
      <c r="G31" s="339"/>
      <c r="H31" s="339"/>
    </row>
    <row r="32" spans="2:8">
      <c r="B32" s="339"/>
      <c r="C32" s="339"/>
      <c r="D32" s="339"/>
      <c r="E32" s="339"/>
      <c r="F32" s="339"/>
      <c r="G32" s="339"/>
      <c r="H32" s="339"/>
    </row>
    <row r="33" spans="2:8">
      <c r="B33" s="339"/>
      <c r="C33" s="339"/>
      <c r="D33" s="339"/>
      <c r="E33" s="339"/>
      <c r="F33" s="339"/>
      <c r="G33" s="339"/>
      <c r="H33" s="339"/>
    </row>
    <row r="34" spans="2:8">
      <c r="B34" s="339"/>
      <c r="C34" s="339"/>
      <c r="D34" s="339"/>
      <c r="E34" s="339"/>
      <c r="F34" s="339"/>
      <c r="G34" s="339"/>
      <c r="H34" s="339"/>
    </row>
    <row r="35" spans="2:8">
      <c r="B35" s="339"/>
      <c r="C35" s="339"/>
      <c r="D35" s="339"/>
      <c r="E35" s="339"/>
      <c r="F35" s="339"/>
      <c r="G35" s="339"/>
      <c r="H35" s="339"/>
    </row>
    <row r="36" spans="2:8">
      <c r="B36" s="339"/>
      <c r="C36" s="339"/>
      <c r="D36" s="339"/>
      <c r="E36" s="339"/>
      <c r="F36" s="339"/>
      <c r="G36" s="339"/>
      <c r="H36" s="339"/>
    </row>
    <row r="37" spans="2:8">
      <c r="B37" s="339"/>
      <c r="C37" s="339"/>
      <c r="D37" s="339"/>
      <c r="E37" s="339"/>
      <c r="F37" s="339"/>
      <c r="G37" s="339"/>
      <c r="H37" s="339"/>
    </row>
    <row r="38" spans="2:8">
      <c r="B38" s="339"/>
      <c r="C38" s="339"/>
      <c r="D38" s="339"/>
      <c r="E38" s="339"/>
      <c r="F38" s="339"/>
      <c r="G38" s="339"/>
      <c r="H38" s="339"/>
    </row>
    <row r="39" spans="2:8">
      <c r="B39" s="339"/>
      <c r="C39" s="339"/>
      <c r="D39" s="339"/>
      <c r="E39" s="339"/>
      <c r="F39" s="339"/>
      <c r="G39" s="339"/>
      <c r="H39" s="339"/>
    </row>
    <row r="42" spans="2:8">
      <c r="B42" s="338" t="s">
        <v>3072</v>
      </c>
      <c r="C42" s="338"/>
      <c r="D42" s="338"/>
      <c r="E42" s="338"/>
      <c r="F42" s="338" t="s">
        <v>3073</v>
      </c>
      <c r="G42" s="338"/>
      <c r="H42" s="338"/>
    </row>
    <row r="43" spans="2:8">
      <c r="B43" s="338"/>
      <c r="C43" s="338"/>
      <c r="D43" s="338"/>
      <c r="E43" s="338"/>
      <c r="F43" s="338"/>
      <c r="G43" s="338"/>
      <c r="H43" s="338"/>
    </row>
    <row r="44" spans="2:8">
      <c r="B44" s="338"/>
      <c r="C44" s="338"/>
      <c r="D44" s="338"/>
      <c r="E44" s="338"/>
      <c r="F44" s="338"/>
      <c r="G44" s="338"/>
      <c r="H44" s="338"/>
    </row>
    <row r="45" spans="2:8">
      <c r="B45" s="338"/>
      <c r="C45" s="338"/>
      <c r="D45" s="338"/>
      <c r="E45" s="338"/>
      <c r="F45" s="338"/>
      <c r="G45" s="338"/>
      <c r="H45" s="338"/>
    </row>
    <row r="46" spans="2:8">
      <c r="B46" s="338"/>
      <c r="C46" s="338"/>
      <c r="D46" s="338"/>
      <c r="E46" s="338"/>
      <c r="F46" s="338"/>
      <c r="G46" s="338"/>
      <c r="H46" s="338"/>
    </row>
    <row r="48" spans="2:8" ht="15" customHeight="1">
      <c r="C48" s="340" t="s">
        <v>3057</v>
      </c>
      <c r="D48" s="340"/>
      <c r="E48" s="340"/>
      <c r="F48" s="340"/>
      <c r="G48" s="340"/>
      <c r="H48" s="222"/>
    </row>
    <row r="49" spans="2:8">
      <c r="B49" s="222"/>
      <c r="C49" s="341"/>
      <c r="D49" s="341"/>
      <c r="E49" s="341"/>
      <c r="F49" s="341"/>
      <c r="G49" s="341"/>
      <c r="H49" s="222"/>
    </row>
    <row r="50" spans="2:8">
      <c r="B50" s="222"/>
      <c r="C50" s="341"/>
      <c r="D50" s="341"/>
      <c r="E50" s="341"/>
      <c r="F50" s="341"/>
      <c r="G50" s="341"/>
      <c r="H50" s="222"/>
    </row>
  </sheetData>
  <mergeCells count="19">
    <mergeCell ref="B1:C3"/>
    <mergeCell ref="G9:G10"/>
    <mergeCell ref="H9:H10"/>
    <mergeCell ref="B21:H21"/>
    <mergeCell ref="B22:H27"/>
    <mergeCell ref="D1:F1"/>
    <mergeCell ref="D2:F3"/>
    <mergeCell ref="G1:H1"/>
    <mergeCell ref="G2:H2"/>
    <mergeCell ref="G3:H3"/>
    <mergeCell ref="B43:E46"/>
    <mergeCell ref="F43:H46"/>
    <mergeCell ref="B31:H39"/>
    <mergeCell ref="C48:G50"/>
    <mergeCell ref="B12:H12"/>
    <mergeCell ref="B13:H18"/>
    <mergeCell ref="B30:H30"/>
    <mergeCell ref="B42:E42"/>
    <mergeCell ref="F42:H42"/>
  </mergeCells>
  <pageMargins left="0.25" right="0.25" top="0.75" bottom="0.75" header="0.3" footer="0.3"/>
  <pageSetup paperSize="9" scale="99" orientation="portrait" r:id="rId1"/>
  <ignoredErrors>
    <ignoredError sqref="H5" numberStoredAsText="1"/>
  </ignoredErrors>
  <drawing r:id="rId2"/>
  <legacyDrawing r:id="rId3"/>
  <controls>
    <control shapeId="10242" r:id="rId4" name="CommandButton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>
    <pageSetUpPr fitToPage="1"/>
  </sheetPr>
  <dimension ref="B1:K13"/>
  <sheetViews>
    <sheetView workbookViewId="0">
      <selection activeCell="A3" sqref="A3:XFD13"/>
    </sheetView>
  </sheetViews>
  <sheetFormatPr baseColWidth="10" defaultRowHeight="15"/>
  <cols>
    <col min="4" max="4" width="14.5703125" customWidth="1"/>
    <col min="5" max="5" width="18.28515625" customWidth="1"/>
    <col min="6" max="6" width="14" customWidth="1"/>
    <col min="7" max="7" width="20" customWidth="1"/>
    <col min="8" max="8" width="13.42578125" customWidth="1"/>
    <col min="9" max="9" width="19" customWidth="1"/>
    <col min="10" max="10" width="13.85546875" customWidth="1"/>
    <col min="11" max="11" width="15.28515625" customWidth="1"/>
  </cols>
  <sheetData>
    <row r="1" spans="2:11" ht="30" customHeight="1">
      <c r="E1" s="360" t="s">
        <v>4349</v>
      </c>
      <c r="F1" s="360"/>
      <c r="G1" s="360"/>
    </row>
    <row r="3" spans="2:11" s="278" customFormat="1" ht="32.1" customHeight="1">
      <c r="E3" s="361" t="s">
        <v>4321</v>
      </c>
      <c r="F3" s="361"/>
      <c r="G3" s="362" t="s">
        <v>4322</v>
      </c>
      <c r="H3" s="362"/>
      <c r="I3" s="363" t="s">
        <v>4323</v>
      </c>
      <c r="J3" s="363"/>
      <c r="K3" s="270">
        <v>45017</v>
      </c>
    </row>
    <row r="4" spans="2:11" s="278" customFormat="1" ht="32.1" customHeight="1">
      <c r="B4" s="279" t="s">
        <v>4</v>
      </c>
      <c r="C4" s="279" t="s">
        <v>4328</v>
      </c>
      <c r="D4" s="280" t="s">
        <v>4320</v>
      </c>
      <c r="E4" s="265" t="s">
        <v>4324</v>
      </c>
      <c r="F4" s="265" t="s">
        <v>4325</v>
      </c>
      <c r="G4" s="266" t="s">
        <v>4326</v>
      </c>
      <c r="H4" s="266" t="s">
        <v>4325</v>
      </c>
      <c r="I4" s="267" t="s">
        <v>4327</v>
      </c>
      <c r="J4" s="267" t="s">
        <v>4325</v>
      </c>
      <c r="K4" s="268" t="s">
        <v>4345</v>
      </c>
    </row>
    <row r="5" spans="2:11" s="278" customFormat="1" ht="32.1" customHeight="1">
      <c r="B5" s="271">
        <v>562</v>
      </c>
      <c r="C5" s="271" t="s">
        <v>4329</v>
      </c>
      <c r="D5" s="271" t="s">
        <v>4330</v>
      </c>
      <c r="E5" s="264" t="s">
        <v>4334</v>
      </c>
      <c r="F5" s="264" t="s">
        <v>4335</v>
      </c>
      <c r="G5" s="264" t="s">
        <v>4334</v>
      </c>
      <c r="H5" s="264" t="s">
        <v>4336</v>
      </c>
      <c r="I5" s="264" t="s">
        <v>4334</v>
      </c>
      <c r="J5" s="264" t="s">
        <v>4337</v>
      </c>
      <c r="K5" s="264" t="s">
        <v>4346</v>
      </c>
    </row>
    <row r="6" spans="2:11" s="278" customFormat="1" ht="32.1" customHeight="1">
      <c r="B6" s="271">
        <v>568</v>
      </c>
      <c r="C6" s="271" t="s">
        <v>4333</v>
      </c>
      <c r="D6" s="271" t="s">
        <v>4331</v>
      </c>
      <c r="E6" s="264" t="s">
        <v>4334</v>
      </c>
      <c r="F6" s="272" t="s">
        <v>4336</v>
      </c>
      <c r="G6" s="264" t="s">
        <v>4334</v>
      </c>
      <c r="H6" s="264" t="s">
        <v>4336</v>
      </c>
      <c r="I6" s="264" t="s">
        <v>4334</v>
      </c>
      <c r="J6" s="264" t="s">
        <v>4337</v>
      </c>
      <c r="K6" s="264"/>
    </row>
    <row r="7" spans="2:11" s="278" customFormat="1" ht="32.1" customHeight="1">
      <c r="B7" s="271">
        <v>561</v>
      </c>
      <c r="C7" s="271" t="s">
        <v>4333</v>
      </c>
      <c r="D7" s="271" t="s">
        <v>4332</v>
      </c>
      <c r="E7" s="264" t="s">
        <v>4334</v>
      </c>
      <c r="F7" s="264" t="s">
        <v>4335</v>
      </c>
      <c r="G7" s="264" t="s">
        <v>4334</v>
      </c>
      <c r="H7" s="273" t="s">
        <v>4335</v>
      </c>
      <c r="I7" s="264" t="s">
        <v>4334</v>
      </c>
      <c r="J7" s="264" t="s">
        <v>4337</v>
      </c>
      <c r="K7" s="264"/>
    </row>
    <row r="8" spans="2:11" s="278" customFormat="1" ht="32.1" customHeight="1">
      <c r="B8" s="274">
        <v>573</v>
      </c>
      <c r="C8" s="274" t="s">
        <v>4338</v>
      </c>
      <c r="D8" s="274" t="s">
        <v>4341</v>
      </c>
      <c r="E8" s="264" t="s">
        <v>4334</v>
      </c>
      <c r="F8" s="264" t="s">
        <v>4335</v>
      </c>
      <c r="G8" s="264" t="s">
        <v>4334</v>
      </c>
      <c r="H8" s="264" t="s">
        <v>4336</v>
      </c>
      <c r="I8" s="264" t="s">
        <v>4334</v>
      </c>
      <c r="J8" s="264" t="s">
        <v>4337</v>
      </c>
      <c r="K8" s="264" t="s">
        <v>4347</v>
      </c>
    </row>
    <row r="9" spans="2:11" s="278" customFormat="1" ht="32.1" customHeight="1">
      <c r="B9" s="274">
        <v>574</v>
      </c>
      <c r="C9" s="274" t="s">
        <v>4339</v>
      </c>
      <c r="D9" s="274" t="s">
        <v>4340</v>
      </c>
      <c r="E9" s="264" t="s">
        <v>4334</v>
      </c>
      <c r="F9" s="272" t="s">
        <v>4336</v>
      </c>
      <c r="G9" s="264" t="s">
        <v>4334</v>
      </c>
      <c r="H9" s="264" t="s">
        <v>4336</v>
      </c>
      <c r="I9" s="264" t="s">
        <v>4334</v>
      </c>
      <c r="J9" s="264" t="s">
        <v>4337</v>
      </c>
      <c r="K9" s="281"/>
    </row>
    <row r="10" spans="2:11" s="278" customFormat="1" ht="32.1" customHeight="1">
      <c r="B10" s="275">
        <v>583</v>
      </c>
      <c r="C10" s="275" t="s">
        <v>4333</v>
      </c>
      <c r="D10" s="275" t="s">
        <v>4342</v>
      </c>
      <c r="E10" s="264" t="s">
        <v>4334</v>
      </c>
      <c r="F10" s="272" t="s">
        <v>4336</v>
      </c>
      <c r="G10" s="264" t="s">
        <v>4334</v>
      </c>
      <c r="H10" s="264" t="s">
        <v>4336</v>
      </c>
      <c r="I10" s="264" t="s">
        <v>4334</v>
      </c>
      <c r="J10" s="264" t="s">
        <v>4337</v>
      </c>
      <c r="K10" s="264"/>
    </row>
    <row r="11" spans="2:11" s="278" customFormat="1" ht="32.1" customHeight="1">
      <c r="B11" s="275">
        <v>584</v>
      </c>
      <c r="C11" s="275" t="s">
        <v>4339</v>
      </c>
      <c r="D11" s="275" t="s">
        <v>4343</v>
      </c>
      <c r="E11" s="264" t="s">
        <v>4334</v>
      </c>
      <c r="F11" s="272" t="s">
        <v>4336</v>
      </c>
      <c r="G11" s="264" t="s">
        <v>4334</v>
      </c>
      <c r="H11" s="264" t="s">
        <v>4336</v>
      </c>
      <c r="I11" s="264" t="s">
        <v>4334</v>
      </c>
      <c r="J11" s="264" t="s">
        <v>4337</v>
      </c>
      <c r="K11" s="264" t="s">
        <v>4348</v>
      </c>
    </row>
    <row r="12" spans="2:11" s="278" customFormat="1" ht="32.1" customHeight="1">
      <c r="B12" s="276">
        <v>591</v>
      </c>
      <c r="C12" s="276" t="s">
        <v>4333</v>
      </c>
      <c r="D12" s="276" t="s">
        <v>135</v>
      </c>
      <c r="E12" s="264" t="s">
        <v>4334</v>
      </c>
      <c r="F12" s="264" t="s">
        <v>4335</v>
      </c>
      <c r="G12" s="264" t="s">
        <v>4334</v>
      </c>
      <c r="H12" s="273" t="s">
        <v>4335</v>
      </c>
      <c r="I12" s="264" t="s">
        <v>4334</v>
      </c>
      <c r="J12" s="264" t="s">
        <v>4337</v>
      </c>
      <c r="K12" s="264"/>
    </row>
    <row r="13" spans="2:11" s="278" customFormat="1" ht="32.1" customHeight="1">
      <c r="B13" s="277">
        <v>502</v>
      </c>
      <c r="C13" s="277" t="s">
        <v>4333</v>
      </c>
      <c r="D13" s="277" t="s">
        <v>4344</v>
      </c>
      <c r="E13" s="264" t="s">
        <v>4334</v>
      </c>
      <c r="F13" s="272" t="s">
        <v>4336</v>
      </c>
      <c r="G13" s="264" t="s">
        <v>4334</v>
      </c>
      <c r="H13" s="264" t="s">
        <v>4336</v>
      </c>
      <c r="I13" s="264" t="s">
        <v>4334</v>
      </c>
      <c r="J13" s="264" t="s">
        <v>4337</v>
      </c>
      <c r="K13" s="264"/>
    </row>
  </sheetData>
  <mergeCells count="4">
    <mergeCell ref="E1:G1"/>
    <mergeCell ref="E3:F3"/>
    <mergeCell ref="G3:H3"/>
    <mergeCell ref="I3:J3"/>
  </mergeCells>
  <pageMargins left="0.7" right="0.7" top="0.75" bottom="0.75" header="0.3" footer="0.3"/>
  <pageSetup paperSize="9" scale="8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1</vt:i4>
      </vt:variant>
    </vt:vector>
  </HeadingPairs>
  <TitlesOfParts>
    <vt:vector size="16" baseType="lpstr">
      <vt:lpstr>Feuil2</vt:lpstr>
      <vt:lpstr>partie mchn</vt:lpstr>
      <vt:lpstr>Menu</vt:lpstr>
      <vt:lpstr>CODE mchn</vt:lpstr>
      <vt:lpstr>BDD interv</vt:lpstr>
      <vt:lpstr>KPI Maintenance</vt:lpstr>
      <vt:lpstr>En cours</vt:lpstr>
      <vt:lpstr>Rappel</vt:lpstr>
      <vt:lpstr>Jrs arret</vt:lpstr>
      <vt:lpstr>TYP INTERV</vt:lpstr>
      <vt:lpstr>Hist mchine</vt:lpstr>
      <vt:lpstr>Suivi air comprimé</vt:lpstr>
      <vt:lpstr>Bdd Incidents</vt:lpstr>
      <vt:lpstr>Form PV incidents</vt:lpstr>
      <vt:lpstr>Etats Ponts roulants</vt:lpstr>
      <vt:lpstr>'Suivi air comprimé'!Zone_d_impression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stagiaire</dc:creator>
  <cp:lastModifiedBy>m.maslouhi</cp:lastModifiedBy>
  <cp:lastPrinted>2023-06-01T11:08:35Z</cp:lastPrinted>
  <dcterms:created xsi:type="dcterms:W3CDTF">2016-06-21T06:43:31Z</dcterms:created>
  <dcterms:modified xsi:type="dcterms:W3CDTF">2026-01-27T12:56:26Z</dcterms:modified>
</cp:coreProperties>
</file>