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dOpT-NET0\adopt_net0\database\templates\technology_data\Industrial\CementHybridCCS_data\"/>
    </mc:Choice>
  </mc:AlternateContent>
  <xr:revisionPtr revIDLastSave="0" documentId="13_ncr:1_{02074255-3BE7-4E40-BA27-190CC16F52C6}" xr6:coauthVersionLast="47" xr6:coauthVersionMax="47" xr10:uidLastSave="{00000000-0000-0000-0000-000000000000}"/>
  <bookViews>
    <workbookView xWindow="22932" yWindow="-4404" windowWidth="30936" windowHeight="16896" activeTab="6" xr2:uid="{C0ECAA26-0769-408D-9398-31AECF4E3649}"/>
  </bookViews>
  <sheets>
    <sheet name="capex_oxyfuel" sheetId="1" r:id="rId1"/>
    <sheet name="capex_mea" sheetId="2" r:id="rId2"/>
    <sheet name="capex_cpu_oxyfuel" sheetId="6" r:id="rId3"/>
    <sheet name="capex_compressor_mea" sheetId="5" r:id="rId4"/>
    <sheet name="energy_oxy_mea" sheetId="3" r:id="rId5"/>
    <sheet name="energy_cpu_compressor" sheetId="7" r:id="rId6"/>
    <sheet name="calculation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4" l="1"/>
  <c r="F26" i="4"/>
  <c r="G26" i="4"/>
  <c r="I24" i="4" s="1"/>
  <c r="D26" i="4"/>
  <c r="G7" i="4"/>
  <c r="C25" i="4"/>
  <c r="I11" i="4"/>
  <c r="E13" i="4"/>
  <c r="F13" i="4"/>
  <c r="G13" i="4"/>
  <c r="D13" i="4"/>
  <c r="C12" i="4"/>
  <c r="D5" i="5" l="1"/>
  <c r="C5" i="5"/>
  <c r="B5" i="5"/>
  <c r="D4" i="5"/>
  <c r="C4" i="5"/>
  <c r="B4" i="5"/>
  <c r="D3" i="5"/>
  <c r="C3" i="5"/>
  <c r="C38" i="4"/>
  <c r="B2" i="3" s="1"/>
  <c r="C40" i="4" l="1"/>
  <c r="B4" i="3" s="1"/>
  <c r="C39" i="4"/>
  <c r="B3" i="3" s="1"/>
  <c r="C30" i="4"/>
  <c r="E20" i="4" l="1"/>
  <c r="F20" i="4"/>
  <c r="G20" i="4"/>
  <c r="B3" i="2" s="1"/>
  <c r="D20" i="4"/>
  <c r="B2" i="2" s="1"/>
  <c r="E7" i="4"/>
  <c r="F7" i="4"/>
  <c r="B4" i="2"/>
  <c r="D7" i="4"/>
  <c r="E29" i="4"/>
  <c r="C32" i="4"/>
  <c r="C33" i="4" s="1"/>
  <c r="C31" i="4" l="1"/>
  <c r="C34" i="4"/>
  <c r="C35" i="4" s="1"/>
  <c r="G29" i="4"/>
  <c r="F6" i="4" l="1"/>
  <c r="F8" i="4" s="1"/>
  <c r="F9" i="4" s="1"/>
  <c r="D19" i="4"/>
  <c r="G19" i="4"/>
  <c r="E31" i="4"/>
  <c r="F19" i="4"/>
  <c r="F21" i="4" s="1"/>
  <c r="F22" i="4" s="1"/>
  <c r="E32" i="4"/>
  <c r="E19" i="4"/>
  <c r="E21" i="4" s="1"/>
  <c r="E22" i="4" s="1"/>
  <c r="G6" i="4"/>
  <c r="D6" i="4"/>
  <c r="D8" i="4" s="1"/>
  <c r="D9" i="4" s="1"/>
  <c r="E6" i="4"/>
  <c r="E8" i="4" s="1"/>
  <c r="E9" i="4" s="1"/>
  <c r="G8" i="4" l="1"/>
  <c r="G9" i="4" s="1"/>
  <c r="A5" i="5"/>
  <c r="A4" i="2"/>
  <c r="G21" i="4"/>
  <c r="G22" i="4" s="1"/>
  <c r="A3" i="2"/>
  <c r="A4" i="5"/>
  <c r="D21" i="4"/>
  <c r="D22" i="4" s="1"/>
  <c r="A2" i="2"/>
  <c r="A3" i="5"/>
</calcChain>
</file>

<file path=xl/sharedStrings.xml><?xml version="1.0" encoding="utf-8"?>
<sst xmlns="http://schemas.openxmlformats.org/spreadsheetml/2006/main" count="180" uniqueCount="72">
  <si>
    <t>size_tclinker_per_h</t>
  </si>
  <si>
    <t>capex_eur</t>
  </si>
  <si>
    <t>size_tco2out_per_h</t>
  </si>
  <si>
    <r>
      <t>CEMCAP ref. plant 3000 tpd of clinker production - 0,85 MtCO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/y</t>
    </r>
  </si>
  <si>
    <t>CAPEX [M€]</t>
  </si>
  <si>
    <r>
      <t>CO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removal rate (direct emissions)</t>
    </r>
  </si>
  <si>
    <t>P.Oxy only</t>
  </si>
  <si>
    <t>MEA 30% - 95%CCR</t>
  </si>
  <si>
    <t>MEA 50% - 95%CCR</t>
  </si>
  <si>
    <t>MEA 80% - 95%CCR</t>
  </si>
  <si>
    <t>MEA 100% - 95%CCR</t>
  </si>
  <si>
    <r>
      <t>Cement plant 1800 tpd of clinker production - 0,51 MtCO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/y</t>
    </r>
  </si>
  <si>
    <t>emission factor clinker</t>
  </si>
  <si>
    <t>extra emissions for oxy</t>
  </si>
  <si>
    <t>tCO2/tclinker</t>
  </si>
  <si>
    <t>-</t>
  </si>
  <si>
    <t>%</t>
  </si>
  <si>
    <t>emission factor total</t>
  </si>
  <si>
    <t>ccr_correction_factor</t>
  </si>
  <si>
    <t>MEA capacity t/h CO2 out</t>
  </si>
  <si>
    <t>ccr_mea_based_on_avoided</t>
  </si>
  <si>
    <t>ccr_oxy_based_on_avoided</t>
  </si>
  <si>
    <t>ccr_oxy_with_total_emission</t>
  </si>
  <si>
    <t>ccr_mea_with_total_emission</t>
  </si>
  <si>
    <t>CAPEX in EUR</t>
  </si>
  <si>
    <t>specific capex eur/(t_out/h)</t>
  </si>
  <si>
    <t>specific capex Meur/(t_out/h)</t>
  </si>
  <si>
    <t>No CCS</t>
  </si>
  <si>
    <t>Clinker production, tpd</t>
  </si>
  <si>
    <t>CO2 basic cement plant, kg/s</t>
  </si>
  <si>
    <t>CO2 p.oxy cement plant, kg/s</t>
  </si>
  <si>
    <t>CO2 emission</t>
  </si>
  <si>
    <t>CO2 capture by MEA, kg/s</t>
  </si>
  <si>
    <t>Total CO2 captured, kg/s</t>
  </si>
  <si>
    <t>Direct CO2 avoided, kg/s</t>
  </si>
  <si>
    <t>Actual direct CO2 avoided, kg/s</t>
  </si>
  <si>
    <t>CO2 avoidance rate (direct emission)</t>
  </si>
  <si>
    <t>kgfuel/s</t>
  </si>
  <si>
    <t>Oxygen consumption, kg/s</t>
  </si>
  <si>
    <t>MEA reb duty, MW</t>
  </si>
  <si>
    <t>MEA reb duty, MJ/kgCO2</t>
  </si>
  <si>
    <t>ASU electric power, MW</t>
  </si>
  <si>
    <t>CO2 recycle fan power, MW</t>
  </si>
  <si>
    <t>MEA specific electric power consumption, kWh/tCO2</t>
  </si>
  <si>
    <t>MEA electric power consumption, MW</t>
  </si>
  <si>
    <t>Thermal Power available for recovery, kW</t>
  </si>
  <si>
    <t>Net th. Power consumtpion MEA, MW</t>
  </si>
  <si>
    <t xml:space="preserve">Electricity cons, KW (ASU+CO2recyfan+MEA pumps/fans) </t>
  </si>
  <si>
    <t xml:space="preserve">Clinker emis. factor, kgCO2/tCLK </t>
  </si>
  <si>
    <t>Sp. Fuel consumption, MJ/tCLK</t>
  </si>
  <si>
    <t>CEMCAP ref. plant 3000 tpd of clinker production - 0,85 MtCO2/y () - high CO2</t>
  </si>
  <si>
    <t>∆th. Power cons., MJ/kgCO2</t>
  </si>
  <si>
    <t>∆el. Power cons., kWh/tCO2</t>
  </si>
  <si>
    <t>CEMCAP ref. plant 1800 tpd of clinker production - 0,51 MtCO2/y - high CO2</t>
  </si>
  <si>
    <t>thermal_consumption_oxy</t>
  </si>
  <si>
    <t>electric_consumption_oxy</t>
  </si>
  <si>
    <t>electric_consumption_mea</t>
  </si>
  <si>
    <t>MWh/t_co2_out</t>
  </si>
  <si>
    <t>beta_oxy</t>
  </si>
  <si>
    <t>alpha_oxy</t>
  </si>
  <si>
    <t>alpha_mea</t>
  </si>
  <si>
    <t>value</t>
  </si>
  <si>
    <t>el_cons_cpu</t>
  </si>
  <si>
    <t>electricity_cons_MWh/tCO2</t>
  </si>
  <si>
    <t>liquid</t>
  </si>
  <si>
    <t>gas</t>
  </si>
  <si>
    <t>supercritical</t>
  </si>
  <si>
    <t>el_cons_compressor</t>
  </si>
  <si>
    <t>fixed OPEX MEUR</t>
  </si>
  <si>
    <t>compressor/cpu supercritical capex MEUR</t>
  </si>
  <si>
    <t>fixed O&amp;M as fraction of capex oxy+cpu</t>
  </si>
  <si>
    <t>fixed O&amp;M as fraction of capex MEA+compressor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</si>
</sst>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11" applyNumberFormat="0" applyFill="0" applyAlignment="0" applyProtection="0"/>
    <xf numFmtId="0" fontId="4" fillId="2" borderId="12" applyNumberFormat="0" applyAlignment="0" applyProtection="0"/>
    <xf numFmtId="0" fontId="5" fillId="3" borderId="13" applyNumberFormat="0" applyAlignment="0" applyProtection="0"/>
    <xf numFmtId="0" fontId="6" fillId="3" borderId="12" applyNumberFormat="0" applyAlignment="0" applyProtection="0"/>
  </cellStyleXfs>
  <cellXfs count="33">
    <xf numFmtId="0" fontId="0" fillId="0" borderId="0" xfId="0"/>
    <xf numFmtId="9" fontId="0" fillId="0" borderId="0" xfId="0" applyNumberFormat="1"/>
    <xf numFmtId="9" fontId="0" fillId="0" borderId="6" xfId="0" applyNumberFormat="1" applyBorder="1"/>
    <xf numFmtId="0" fontId="0" fillId="0" borderId="0" xfId="0" applyAlignment="1">
      <alignment horizontal="center" vertical="center"/>
    </xf>
    <xf numFmtId="0" fontId="4" fillId="2" borderId="12" xfId="3"/>
    <xf numFmtId="0" fontId="6" fillId="3" borderId="12" xfId="5"/>
    <xf numFmtId="9" fontId="6" fillId="3" borderId="12" xfId="5" applyNumberFormat="1"/>
    <xf numFmtId="0" fontId="5" fillId="3" borderId="13" xfId="4"/>
    <xf numFmtId="164" fontId="5" fillId="3" borderId="13" xfId="4" applyNumberFormat="1"/>
    <xf numFmtId="9" fontId="4" fillId="2" borderId="12" xfId="1" applyFont="1" applyFill="1" applyBorder="1"/>
    <xf numFmtId="0" fontId="0" fillId="0" borderId="0" xfId="0" applyBorder="1" applyAlignment="1">
      <alignment horizontal="center" vertical="center"/>
    </xf>
    <xf numFmtId="0" fontId="3" fillId="0" borderId="11" xfId="2" applyAlignment="1">
      <alignment horizontal="center" vertical="center"/>
    </xf>
    <xf numFmtId="0" fontId="4" fillId="2" borderId="12" xfId="3" applyAlignment="1">
      <alignment horizontal="center" vertical="center"/>
    </xf>
    <xf numFmtId="0" fontId="0" fillId="0" borderId="0" xfId="0" applyBorder="1"/>
    <xf numFmtId="2" fontId="0" fillId="0" borderId="0" xfId="0" applyNumberFormat="1" applyBorder="1" applyAlignment="1">
      <alignment vertical="center"/>
    </xf>
    <xf numFmtId="2" fontId="7" fillId="0" borderId="0" xfId="0" applyNumberFormat="1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2" borderId="12" xfId="3" applyAlignment="1">
      <alignment horizontal="center" vertical="center"/>
    </xf>
    <xf numFmtId="0" fontId="4" fillId="2" borderId="12" xfId="3" applyAlignment="1">
      <alignment vertical="center"/>
    </xf>
    <xf numFmtId="0" fontId="7" fillId="0" borderId="0" xfId="0" applyFont="1" applyBorder="1" applyAlignment="1">
      <alignment vertical="center"/>
    </xf>
    <xf numFmtId="2" fontId="4" fillId="2" borderId="12" xfId="3" applyNumberFormat="1"/>
    <xf numFmtId="2" fontId="5" fillId="3" borderId="13" xfId="4" applyNumberFormat="1"/>
    <xf numFmtId="164" fontId="5" fillId="3" borderId="13" xfId="1" applyNumberFormat="1" applyFont="1" applyFill="1" applyBorder="1"/>
  </cellXfs>
  <cellStyles count="6">
    <cellStyle name="Calculation" xfId="5" builtinId="22"/>
    <cellStyle name="Heading 3" xfId="2" builtinId="18"/>
    <cellStyle name="Input" xfId="3" builtinId="20"/>
    <cellStyle name="Normal" xfId="0" builtinId="0"/>
    <cellStyle name="Output" xfId="4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8EB36-8885-41F7-B3E9-60083815A79B}">
  <dimension ref="A1:B3"/>
  <sheetViews>
    <sheetView workbookViewId="0">
      <selection activeCell="A2" sqref="A2:A3"/>
    </sheetView>
  </sheetViews>
  <sheetFormatPr defaultRowHeight="14.4" x14ac:dyDescent="0.3"/>
  <cols>
    <col min="1" max="1" width="17.88671875" bestFit="1" customWidth="1"/>
    <col min="2" max="2" width="9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75</v>
      </c>
      <c r="B2">
        <v>137540000</v>
      </c>
    </row>
    <row r="3" spans="1:2" x14ac:dyDescent="0.3">
      <c r="A3">
        <v>125</v>
      </c>
      <c r="B3">
        <v>151620000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E0F8A-1C59-405C-B3D0-EB533A2330E6}">
  <dimension ref="A1:B4"/>
  <sheetViews>
    <sheetView workbookViewId="0">
      <selection activeCell="A2" sqref="A2:A4"/>
    </sheetView>
  </sheetViews>
  <sheetFormatPr defaultRowHeight="14.4" x14ac:dyDescent="0.3"/>
  <cols>
    <col min="1" max="1" width="17.88671875" bestFit="1" customWidth="1"/>
    <col min="2" max="2" width="10" bestFit="1" customWidth="1"/>
  </cols>
  <sheetData>
    <row r="1" spans="1:2" x14ac:dyDescent="0.3">
      <c r="A1" t="s">
        <v>2</v>
      </c>
      <c r="B1" t="s">
        <v>1</v>
      </c>
    </row>
    <row r="2" spans="1:2" x14ac:dyDescent="0.3">
      <c r="A2">
        <f>calculations!D19</f>
        <v>3.7084942228242932</v>
      </c>
      <c r="B2">
        <f>calculations!D20</f>
        <v>28210000.000000007</v>
      </c>
    </row>
    <row r="3" spans="1:2" x14ac:dyDescent="0.3">
      <c r="A3">
        <f>calculations!G19</f>
        <v>12.361647409414312</v>
      </c>
      <c r="B3">
        <f>calculations!G20</f>
        <v>46360000.000000015</v>
      </c>
    </row>
    <row r="4" spans="1:2" x14ac:dyDescent="0.3">
      <c r="A4">
        <f>calculations!G6</f>
        <v>20.602745682357188</v>
      </c>
      <c r="B4">
        <f>calculations!G7</f>
        <v>62449999.999999985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DFFB0-96B6-4F96-B3DF-E2D36B37C43F}">
  <dimension ref="A1:D4"/>
  <sheetViews>
    <sheetView workbookViewId="0">
      <selection activeCell="E6" sqref="E6"/>
    </sheetView>
  </sheetViews>
  <sheetFormatPr defaultRowHeight="14.4" x14ac:dyDescent="0.3"/>
  <sheetData>
    <row r="1" spans="1:4" x14ac:dyDescent="0.3">
      <c r="A1" t="s">
        <v>2</v>
      </c>
      <c r="B1" t="s">
        <v>64</v>
      </c>
      <c r="C1" t="s">
        <v>65</v>
      </c>
      <c r="D1" t="s">
        <v>66</v>
      </c>
    </row>
    <row r="2" spans="1:4" x14ac:dyDescent="0.3">
      <c r="A2">
        <v>0</v>
      </c>
      <c r="B2">
        <v>0</v>
      </c>
      <c r="C2">
        <v>0</v>
      </c>
      <c r="D2">
        <v>0</v>
      </c>
    </row>
    <row r="3" spans="1:4" x14ac:dyDescent="0.3">
      <c r="A3">
        <v>75</v>
      </c>
      <c r="B3">
        <v>48600000</v>
      </c>
      <c r="C3">
        <v>50200000</v>
      </c>
      <c r="D3">
        <v>61000000</v>
      </c>
    </row>
    <row r="4" spans="1:4" x14ac:dyDescent="0.3">
      <c r="A4">
        <v>125</v>
      </c>
      <c r="B4">
        <v>62500000</v>
      </c>
      <c r="C4">
        <v>63300000</v>
      </c>
      <c r="D4">
        <v>71600000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5DE27-F5E7-40F1-8502-5CC793EB5921}">
  <dimension ref="A1:D5"/>
  <sheetViews>
    <sheetView workbookViewId="0">
      <selection activeCell="A3" sqref="A3"/>
    </sheetView>
  </sheetViews>
  <sheetFormatPr defaultRowHeight="14.4" x14ac:dyDescent="0.3"/>
  <cols>
    <col min="1" max="1" width="17.88671875" bestFit="1" customWidth="1"/>
    <col min="2" max="2" width="12.109375" bestFit="1" customWidth="1"/>
    <col min="3" max="3" width="10.109375" bestFit="1" customWidth="1"/>
    <col min="4" max="4" width="18.44140625" bestFit="1" customWidth="1"/>
  </cols>
  <sheetData>
    <row r="1" spans="1:4" x14ac:dyDescent="0.3">
      <c r="A1" t="s">
        <v>2</v>
      </c>
      <c r="B1" t="s">
        <v>64</v>
      </c>
      <c r="C1" t="s">
        <v>65</v>
      </c>
      <c r="D1" t="s">
        <v>66</v>
      </c>
    </row>
    <row r="2" spans="1:4" x14ac:dyDescent="0.3">
      <c r="A2">
        <v>0</v>
      </c>
      <c r="B2">
        <v>0</v>
      </c>
      <c r="C2">
        <v>0</v>
      </c>
      <c r="D2">
        <v>0</v>
      </c>
    </row>
    <row r="3" spans="1:4" x14ac:dyDescent="0.3">
      <c r="A3">
        <f>calculations!D19</f>
        <v>3.7084942228242932</v>
      </c>
      <c r="B3">
        <v>7530000</v>
      </c>
      <c r="C3">
        <f>8.00649089380739*10^6</f>
        <v>8006490.8938073898</v>
      </c>
      <c r="D3">
        <f>10.684945673991*10^6</f>
        <v>10684945.673991</v>
      </c>
    </row>
    <row r="4" spans="1:4" x14ac:dyDescent="0.3">
      <c r="A4">
        <f>calculations!G19</f>
        <v>12.361647409414312</v>
      </c>
      <c r="B4">
        <f>11.2041255209316*10^6</f>
        <v>11204125.5209316</v>
      </c>
      <c r="C4">
        <f>12.5665678479893*10^6</f>
        <v>12566567.847989298</v>
      </c>
      <c r="D4">
        <f>16.5887397694844*10^6</f>
        <v>16588739.769484399</v>
      </c>
    </row>
    <row r="5" spans="1:4" x14ac:dyDescent="0.3">
      <c r="A5">
        <f>calculations!G6</f>
        <v>20.602745682357188</v>
      </c>
      <c r="B5">
        <f>13.2435084663724*10^6</f>
        <v>13243508.466372401</v>
      </c>
      <c r="C5">
        <f>15.1282369696705*10^6</f>
        <v>15128236.969670501</v>
      </c>
      <c r="D5">
        <f>19.9398066221897*10^6</f>
        <v>19939806.622189701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2579-C7D8-42EE-9801-1FD637D0A17F}">
  <dimension ref="A1:B4"/>
  <sheetViews>
    <sheetView workbookViewId="0">
      <selection activeCell="B4" sqref="B4"/>
    </sheetView>
  </sheetViews>
  <sheetFormatPr defaultRowHeight="14.4" x14ac:dyDescent="0.3"/>
  <sheetData>
    <row r="1" spans="1:2" x14ac:dyDescent="0.3">
      <c r="B1" t="s">
        <v>61</v>
      </c>
    </row>
    <row r="2" spans="1:2" x14ac:dyDescent="0.3">
      <c r="A2" t="s">
        <v>58</v>
      </c>
      <c r="B2">
        <f>calculations!C38</f>
        <v>0.25548249251013122</v>
      </c>
    </row>
    <row r="3" spans="1:2" x14ac:dyDescent="0.3">
      <c r="A3" t="s">
        <v>59</v>
      </c>
      <c r="B3">
        <f>calculations!C39</f>
        <v>8.2307186539958971E-2</v>
      </c>
    </row>
    <row r="4" spans="1:2" x14ac:dyDescent="0.3">
      <c r="A4" t="s">
        <v>60</v>
      </c>
      <c r="B4">
        <f>calculations!C40</f>
        <v>5.4302358825637935E-2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85F42-04E5-4941-B133-36036095D1EF}">
  <dimension ref="A1:E4"/>
  <sheetViews>
    <sheetView workbookViewId="0">
      <selection activeCell="D3" sqref="D3"/>
    </sheetView>
  </sheetViews>
  <sheetFormatPr defaultRowHeight="14.4" x14ac:dyDescent="0.3"/>
  <cols>
    <col min="1" max="1" width="25.109375" bestFit="1" customWidth="1"/>
  </cols>
  <sheetData>
    <row r="1" spans="1:5" x14ac:dyDescent="0.3">
      <c r="A1" t="s">
        <v>63</v>
      </c>
      <c r="B1" t="s">
        <v>64</v>
      </c>
      <c r="C1" t="s">
        <v>65</v>
      </c>
      <c r="D1" t="s">
        <v>66</v>
      </c>
    </row>
    <row r="2" spans="1:5" x14ac:dyDescent="0.3">
      <c r="A2" s="13" t="s">
        <v>62</v>
      </c>
      <c r="B2" s="14">
        <v>0.17050594000000002</v>
      </c>
      <c r="C2" s="14">
        <v>0.120245032</v>
      </c>
      <c r="D2" s="14">
        <v>0.13739152500000001</v>
      </c>
      <c r="E2" s="13"/>
    </row>
    <row r="3" spans="1:5" x14ac:dyDescent="0.3">
      <c r="A3" s="13" t="s">
        <v>67</v>
      </c>
      <c r="B3" s="15">
        <v>0.11930297990344463</v>
      </c>
      <c r="C3" s="15">
        <v>7.4589551950173874E-2</v>
      </c>
      <c r="D3" s="15">
        <v>8.9737128657946114E-2</v>
      </c>
      <c r="E3" s="13"/>
    </row>
    <row r="4" spans="1:5" x14ac:dyDescent="0.3">
      <c r="A4" s="13"/>
      <c r="B4" s="13"/>
      <c r="C4" s="13"/>
      <c r="D4" s="13"/>
      <c r="E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D47C-565F-4352-814A-A37F11C35FBF}">
  <dimension ref="A1:T55"/>
  <sheetViews>
    <sheetView tabSelected="1" workbookViewId="0">
      <selection activeCell="J21" sqref="J21"/>
    </sheetView>
  </sheetViews>
  <sheetFormatPr defaultRowHeight="14.4" x14ac:dyDescent="0.3"/>
  <cols>
    <col min="1" max="1" width="26.33203125" bestFit="1" customWidth="1"/>
    <col min="2" max="2" width="41.21875" bestFit="1" customWidth="1"/>
    <col min="14" max="14" width="52" bestFit="1" customWidth="1"/>
  </cols>
  <sheetData>
    <row r="1" spans="1:20" ht="16.2" thickBot="1" x14ac:dyDescent="0.4">
      <c r="A1" s="16" t="s">
        <v>3</v>
      </c>
      <c r="B1" s="17"/>
      <c r="C1" s="17"/>
      <c r="D1" s="17"/>
      <c r="E1" s="17"/>
      <c r="F1" s="17"/>
      <c r="G1" s="18"/>
      <c r="N1" s="11"/>
      <c r="O1" s="11" t="s">
        <v>50</v>
      </c>
      <c r="P1" s="11"/>
      <c r="Q1" s="11"/>
      <c r="R1" s="11"/>
      <c r="S1" s="11"/>
      <c r="T1" s="3"/>
    </row>
    <row r="2" spans="1:20" ht="15.6" x14ac:dyDescent="0.35">
      <c r="A2" s="19" t="s">
        <v>4</v>
      </c>
      <c r="B2" s="20"/>
      <c r="C2" s="25" t="s">
        <v>5</v>
      </c>
      <c r="D2" s="25"/>
      <c r="E2" s="25"/>
      <c r="F2" s="25"/>
      <c r="G2" s="26"/>
      <c r="N2" s="3"/>
      <c r="O2" s="3" t="s">
        <v>27</v>
      </c>
      <c r="P2" s="3" t="s">
        <v>6</v>
      </c>
      <c r="Q2" s="3" t="s">
        <v>7</v>
      </c>
      <c r="R2" s="3" t="s">
        <v>8</v>
      </c>
      <c r="S2" s="3" t="s">
        <v>9</v>
      </c>
      <c r="T2" s="3" t="s">
        <v>10</v>
      </c>
    </row>
    <row r="3" spans="1:20" x14ac:dyDescent="0.3">
      <c r="A3" s="21"/>
      <c r="B3" s="22"/>
      <c r="C3" s="1" t="s">
        <v>6</v>
      </c>
      <c r="D3" s="1" t="s">
        <v>7</v>
      </c>
      <c r="E3" s="1" t="s">
        <v>8</v>
      </c>
      <c r="F3" s="1" t="s">
        <v>9</v>
      </c>
      <c r="G3" s="2" t="s">
        <v>10</v>
      </c>
      <c r="N3" s="3" t="s">
        <v>28</v>
      </c>
      <c r="O3" s="12">
        <v>3000.1314299999999</v>
      </c>
      <c r="P3" s="12">
        <v>3000.20095584</v>
      </c>
      <c r="Q3" s="12">
        <v>3000.20095584</v>
      </c>
      <c r="R3" s="12">
        <v>3000.20095584</v>
      </c>
      <c r="S3" s="12">
        <v>3000.20095584</v>
      </c>
      <c r="T3" s="12">
        <v>3000.20095584</v>
      </c>
    </row>
    <row r="4" spans="1:20" x14ac:dyDescent="0.3">
      <c r="A4" s="21"/>
      <c r="B4" s="22"/>
      <c r="C4" s="27">
        <v>151.62</v>
      </c>
      <c r="D4" s="27">
        <v>187.3</v>
      </c>
      <c r="E4" s="27">
        <v>195.27</v>
      </c>
      <c r="F4" s="27">
        <v>206.45</v>
      </c>
      <c r="G4" s="27">
        <v>214.07</v>
      </c>
      <c r="N4" s="3" t="s">
        <v>29</v>
      </c>
      <c r="O4" s="12">
        <v>28.937020555555556</v>
      </c>
      <c r="P4" s="12" t="s">
        <v>15</v>
      </c>
      <c r="Q4" s="12" t="s">
        <v>15</v>
      </c>
      <c r="R4" s="12" t="s">
        <v>15</v>
      </c>
      <c r="S4" s="12" t="s">
        <v>15</v>
      </c>
      <c r="T4" s="12" t="s">
        <v>15</v>
      </c>
    </row>
    <row r="5" spans="1:20" x14ac:dyDescent="0.3">
      <c r="A5" s="23"/>
      <c r="B5" s="24"/>
      <c r="C5" s="27"/>
      <c r="D5" s="27"/>
      <c r="E5" s="27"/>
      <c r="F5" s="27"/>
      <c r="G5" s="27"/>
      <c r="N5" s="3" t="s">
        <v>30</v>
      </c>
      <c r="O5" s="12" t="s">
        <v>15</v>
      </c>
      <c r="P5" s="12">
        <v>31.161112290000002</v>
      </c>
      <c r="Q5" s="12">
        <v>31.161112290000002</v>
      </c>
      <c r="R5" s="12">
        <v>31.161112290000002</v>
      </c>
      <c r="S5" s="12">
        <v>31.161112290000002</v>
      </c>
      <c r="T5" s="12">
        <v>31.161112290000002</v>
      </c>
    </row>
    <row r="6" spans="1:20" x14ac:dyDescent="0.3">
      <c r="B6" s="7" t="s">
        <v>19</v>
      </c>
      <c r="C6" s="7">
        <v>0</v>
      </c>
      <c r="D6" s="7">
        <f>125*$C$31*(1-$C$35)*$C$33*0.3</f>
        <v>6.1808237047071559</v>
      </c>
      <c r="E6" s="7">
        <f>125*$C$31*(1-$C$35)*$C$33*0.5</f>
        <v>10.301372841178594</v>
      </c>
      <c r="F6" s="7">
        <f>125*$C$31*(1-$C$35)*$C$33*0.8</f>
        <v>16.482196545885753</v>
      </c>
      <c r="G6" s="7">
        <f>125*$C$31*(1-$C$35)*$C$33*1</f>
        <v>20.602745682357188</v>
      </c>
      <c r="N6" s="3" t="s">
        <v>31</v>
      </c>
      <c r="O6" s="12">
        <v>28.937020555555556</v>
      </c>
      <c r="P6" s="12">
        <v>5.9986426732054996</v>
      </c>
      <c r="Q6" s="12">
        <v>4.2866932527493846</v>
      </c>
      <c r="R6" s="12">
        <v>3.1450441869826009</v>
      </c>
      <c r="S6" s="12">
        <v>1.4325705883324247</v>
      </c>
      <c r="T6" s="12">
        <v>0.29092152256564102</v>
      </c>
    </row>
    <row r="7" spans="1:20" x14ac:dyDescent="0.3">
      <c r="B7" s="7" t="s">
        <v>24</v>
      </c>
      <c r="C7" s="7"/>
      <c r="D7" s="7">
        <f>(D4-$C$4)*10^6</f>
        <v>35680000.000000007</v>
      </c>
      <c r="E7" s="7">
        <f t="shared" ref="E7:G7" si="0">(E4-$C$4)*10^6</f>
        <v>43650000.000000007</v>
      </c>
      <c r="F7" s="7">
        <f t="shared" si="0"/>
        <v>54829999.999999985</v>
      </c>
      <c r="G7" s="7">
        <f>(G4-$C$4)*10^6</f>
        <v>62449999.999999985</v>
      </c>
      <c r="N7" s="3" t="s">
        <v>32</v>
      </c>
      <c r="O7" s="12" t="s">
        <v>15</v>
      </c>
      <c r="P7" s="12">
        <v>0</v>
      </c>
      <c r="Q7" s="12">
        <v>1.7124735986501758</v>
      </c>
      <c r="R7" s="12">
        <v>2.8541226644169595</v>
      </c>
      <c r="S7" s="12">
        <v>4.5665962630671357</v>
      </c>
      <c r="T7" s="12">
        <v>5.708245328833919</v>
      </c>
    </row>
    <row r="8" spans="1:20" ht="15.6" customHeight="1" x14ac:dyDescent="0.3">
      <c r="B8" s="7" t="s">
        <v>25</v>
      </c>
      <c r="C8" s="7"/>
      <c r="D8" s="7">
        <f>D7/D6</f>
        <v>5772693.3665535618</v>
      </c>
      <c r="E8" s="7">
        <f t="shared" ref="E8:G8" si="1">E7/E6</f>
        <v>4237299.306895677</v>
      </c>
      <c r="F8" s="7">
        <f t="shared" si="1"/>
        <v>3326619.7164531765</v>
      </c>
      <c r="G8" s="7">
        <f t="shared" si="1"/>
        <v>3031149.3896407206</v>
      </c>
      <c r="N8" s="3" t="s">
        <v>33</v>
      </c>
      <c r="O8" s="12" t="s">
        <v>15</v>
      </c>
      <c r="P8" s="12">
        <v>25.162469616794503</v>
      </c>
      <c r="Q8" s="12">
        <v>26.874419037250618</v>
      </c>
      <c r="R8" s="12">
        <v>28.0160681030174</v>
      </c>
      <c r="S8" s="12">
        <v>29.728541701667577</v>
      </c>
      <c r="T8" s="12">
        <v>30.870190767434362</v>
      </c>
    </row>
    <row r="9" spans="1:20" x14ac:dyDescent="0.3">
      <c r="B9" t="s">
        <v>26</v>
      </c>
      <c r="D9">
        <f>D8/10^6</f>
        <v>5.772693366553562</v>
      </c>
      <c r="E9">
        <f>E8/10^6</f>
        <v>4.237299306895677</v>
      </c>
      <c r="F9">
        <f>F8/10^6</f>
        <v>3.3266197164531763</v>
      </c>
      <c r="G9">
        <f>G8/10^6</f>
        <v>3.0311493896407207</v>
      </c>
      <c r="N9" s="3" t="s">
        <v>34</v>
      </c>
      <c r="O9" s="12">
        <v>0</v>
      </c>
      <c r="P9" s="12">
        <v>22.938377882350057</v>
      </c>
      <c r="Q9" s="12">
        <v>24.650327302806172</v>
      </c>
      <c r="R9" s="12">
        <v>25.791976368572954</v>
      </c>
      <c r="S9" s="12">
        <v>27.504449967223131</v>
      </c>
      <c r="T9" s="12">
        <v>28.646099032989916</v>
      </c>
    </row>
    <row r="10" spans="1:20" x14ac:dyDescent="0.3">
      <c r="B10" s="4" t="s">
        <v>68</v>
      </c>
      <c r="C10" s="28">
        <v>10.5</v>
      </c>
      <c r="D10" s="28">
        <v>16.8</v>
      </c>
      <c r="E10" s="28">
        <v>17.100000000000001</v>
      </c>
      <c r="F10" s="28">
        <v>17.5</v>
      </c>
      <c r="G10" s="28">
        <v>17.8</v>
      </c>
      <c r="N10" s="3" t="s">
        <v>35</v>
      </c>
      <c r="O10" s="12" t="s">
        <v>15</v>
      </c>
      <c r="P10" s="12">
        <v>20.714286147905611</v>
      </c>
      <c r="Q10" s="12">
        <v>22.426235568361726</v>
      </c>
      <c r="R10" s="12">
        <v>23.567884634128511</v>
      </c>
      <c r="S10" s="12">
        <v>25.280358232778681</v>
      </c>
      <c r="T10" s="12">
        <v>26.42200729854547</v>
      </c>
    </row>
    <row r="11" spans="1:20" x14ac:dyDescent="0.3">
      <c r="B11" s="4" t="s">
        <v>69</v>
      </c>
      <c r="C11" s="4">
        <v>71.599999999999994</v>
      </c>
      <c r="D11" s="30">
        <v>13.8351376727394</v>
      </c>
      <c r="E11" s="30">
        <v>16.144174311321741</v>
      </c>
      <c r="F11" s="30">
        <v>18.337292879637591</v>
      </c>
      <c r="G11" s="30">
        <v>19.939806622189707</v>
      </c>
      <c r="I11">
        <f>G13*(G7/10^6+G11)+C12*(C11+C4)</f>
        <v>17.8</v>
      </c>
      <c r="N11" s="3" t="s">
        <v>36</v>
      </c>
      <c r="O11" s="12">
        <v>0</v>
      </c>
      <c r="P11" s="12">
        <v>0.79270005833223789</v>
      </c>
      <c r="Q11" s="12">
        <v>0.85186127768339337</v>
      </c>
      <c r="R11" s="12">
        <v>0.8913141668837502</v>
      </c>
      <c r="S11" s="12">
        <v>0.95049350068428562</v>
      </c>
      <c r="T11" s="12">
        <v>0.98994638988464256</v>
      </c>
    </row>
    <row r="12" spans="1:20" x14ac:dyDescent="0.3">
      <c r="A12" s="7"/>
      <c r="B12" s="7" t="s">
        <v>70</v>
      </c>
      <c r="C12" s="32">
        <f>C10/(C4+C11)</f>
        <v>4.7038795806827342E-2</v>
      </c>
      <c r="D12" s="31"/>
      <c r="E12" s="31"/>
      <c r="F12" s="31"/>
      <c r="G12" s="31"/>
      <c r="N12" s="3" t="s">
        <v>37</v>
      </c>
      <c r="O12" s="12">
        <v>3.817511444444444</v>
      </c>
      <c r="P12" s="12">
        <v>4.6709789600000002</v>
      </c>
      <c r="Q12" s="12">
        <v>4.6709789600000002</v>
      </c>
      <c r="R12" s="12">
        <v>4.6709789600000002</v>
      </c>
      <c r="S12" s="12">
        <v>4.6709789600000002</v>
      </c>
      <c r="T12" s="12">
        <v>4.6709789600000002</v>
      </c>
    </row>
    <row r="13" spans="1:20" ht="15" thickBot="1" x14ac:dyDescent="0.35">
      <c r="B13" s="7" t="s">
        <v>71</v>
      </c>
      <c r="C13" s="32"/>
      <c r="D13" s="32">
        <f>(D10-$C$10)/(D7/10^6+D11)</f>
        <v>0.1272338176991169</v>
      </c>
      <c r="E13" s="32">
        <f t="shared" ref="E13:G13" si="2">(E10-$C$10)/(E7/10^6+E11)</f>
        <v>0.11037864601385293</v>
      </c>
      <c r="F13" s="32">
        <f t="shared" si="2"/>
        <v>9.5671162954125061E-2</v>
      </c>
      <c r="G13" s="32">
        <f t="shared" si="2"/>
        <v>8.8603193760063065E-2</v>
      </c>
      <c r="N13" s="3" t="s">
        <v>38</v>
      </c>
      <c r="O13" s="12" t="s">
        <v>15</v>
      </c>
      <c r="P13" s="12">
        <v>8.5676397800000004</v>
      </c>
      <c r="Q13" s="12">
        <v>8.5676397800000004</v>
      </c>
      <c r="R13" s="12">
        <v>8.5676397800000004</v>
      </c>
      <c r="S13" s="12">
        <v>8.5676397800000004</v>
      </c>
      <c r="T13" s="12">
        <v>8.5676397800000004</v>
      </c>
    </row>
    <row r="14" spans="1:20" ht="15.6" x14ac:dyDescent="0.35">
      <c r="A14" s="16" t="s">
        <v>11</v>
      </c>
      <c r="B14" s="17"/>
      <c r="C14" s="17"/>
      <c r="D14" s="17"/>
      <c r="E14" s="17"/>
      <c r="F14" s="17"/>
      <c r="G14" s="18"/>
      <c r="N14" s="3" t="s">
        <v>39</v>
      </c>
      <c r="O14" s="12" t="s">
        <v>15</v>
      </c>
      <c r="P14" s="12">
        <v>0</v>
      </c>
      <c r="Q14" s="12">
        <v>7.2536318281466574</v>
      </c>
      <c r="R14" s="12">
        <v>12.089386380244429</v>
      </c>
      <c r="S14" s="12">
        <v>19.343018208391086</v>
      </c>
      <c r="T14" s="12">
        <v>24.178772760488858</v>
      </c>
    </row>
    <row r="15" spans="1:20" ht="15.6" x14ac:dyDescent="0.35">
      <c r="A15" s="19" t="s">
        <v>4</v>
      </c>
      <c r="B15" s="20"/>
      <c r="C15" s="25" t="s">
        <v>5</v>
      </c>
      <c r="D15" s="25"/>
      <c r="E15" s="25"/>
      <c r="F15" s="25"/>
      <c r="G15" s="26"/>
      <c r="N15" s="3" t="s">
        <v>40</v>
      </c>
      <c r="O15" s="12" t="s">
        <v>15</v>
      </c>
      <c r="P15" s="12">
        <v>0</v>
      </c>
      <c r="Q15" s="12">
        <v>4.2357627200000003</v>
      </c>
      <c r="R15" s="12">
        <v>4.2357627200000003</v>
      </c>
      <c r="S15" s="12">
        <v>4.2357627200000003</v>
      </c>
      <c r="T15" s="12">
        <v>4.2357627200000003</v>
      </c>
    </row>
    <row r="16" spans="1:20" x14ac:dyDescent="0.3">
      <c r="A16" s="21"/>
      <c r="B16" s="22"/>
      <c r="C16" s="1" t="s">
        <v>6</v>
      </c>
      <c r="D16" s="1" t="s">
        <v>7</v>
      </c>
      <c r="E16" s="1" t="s">
        <v>8</v>
      </c>
      <c r="F16" s="1" t="s">
        <v>9</v>
      </c>
      <c r="G16" s="2" t="s">
        <v>10</v>
      </c>
      <c r="N16" s="3" t="s">
        <v>41</v>
      </c>
      <c r="O16" s="12" t="s">
        <v>15</v>
      </c>
      <c r="P16" s="12">
        <v>7.0940057399999992</v>
      </c>
      <c r="Q16" s="12">
        <v>7.0940057399999992</v>
      </c>
      <c r="R16" s="12">
        <v>7.0940057399999992</v>
      </c>
      <c r="S16" s="12">
        <v>7.0940057399999992</v>
      </c>
      <c r="T16" s="12">
        <v>7.0940057399999992</v>
      </c>
    </row>
    <row r="17" spans="1:20" x14ac:dyDescent="0.3">
      <c r="A17" s="21"/>
      <c r="B17" s="22"/>
      <c r="C17" s="27">
        <v>137.54</v>
      </c>
      <c r="D17" s="27">
        <v>165.75</v>
      </c>
      <c r="E17" s="27">
        <v>172.9</v>
      </c>
      <c r="F17" s="27">
        <v>179.8</v>
      </c>
      <c r="G17" s="27">
        <v>183.9</v>
      </c>
      <c r="N17" s="3" t="s">
        <v>42</v>
      </c>
      <c r="O17" s="12" t="s">
        <v>15</v>
      </c>
      <c r="P17" s="12">
        <v>0.36178175000000001</v>
      </c>
      <c r="Q17" s="12">
        <v>0.36178175000000001</v>
      </c>
      <c r="R17" s="12">
        <v>0.36178175000000001</v>
      </c>
      <c r="S17" s="12">
        <v>0.36178175000000001</v>
      </c>
      <c r="T17" s="12">
        <v>0.36178175000000001</v>
      </c>
    </row>
    <row r="18" spans="1:20" x14ac:dyDescent="0.3">
      <c r="A18" s="23"/>
      <c r="B18" s="24"/>
      <c r="C18" s="27"/>
      <c r="D18" s="27"/>
      <c r="E18" s="27"/>
      <c r="F18" s="27"/>
      <c r="G18" s="27"/>
      <c r="N18" s="3" t="s">
        <v>43</v>
      </c>
      <c r="O18" s="12" t="s">
        <v>15</v>
      </c>
      <c r="P18" s="12" t="s">
        <v>15</v>
      </c>
      <c r="Q18" s="12">
        <v>54.302358825637938</v>
      </c>
      <c r="R18" s="12">
        <v>54.302358825637903</v>
      </c>
      <c r="S18" s="12">
        <v>54.302358825637938</v>
      </c>
      <c r="T18" s="12">
        <v>54.302358825637938</v>
      </c>
    </row>
    <row r="19" spans="1:20" x14ac:dyDescent="0.3">
      <c r="A19" s="10"/>
      <c r="B19" s="7" t="s">
        <v>19</v>
      </c>
      <c r="C19" s="7">
        <v>0</v>
      </c>
      <c r="D19" s="7">
        <f>75*$C$31*(1-$C$35)*$C$33*0.3</f>
        <v>3.7084942228242932</v>
      </c>
      <c r="E19" s="7">
        <f>75*$C$31*(1-$C$35)*$C$33*0.5</f>
        <v>6.1808237047071559</v>
      </c>
      <c r="F19" s="7">
        <f>75*$C$31*(1-$C$35)*$C$33*0.8</f>
        <v>9.8893179275314509</v>
      </c>
      <c r="G19" s="7">
        <f>75*$C$31*(1-$C$35)*$C$33*1</f>
        <v>12.361647409414312</v>
      </c>
      <c r="N19" s="3" t="s">
        <v>44</v>
      </c>
      <c r="O19" s="12" t="s">
        <v>15</v>
      </c>
      <c r="P19" s="12" t="s">
        <v>15</v>
      </c>
      <c r="Q19" s="12">
        <v>0.33476888100000002</v>
      </c>
      <c r="R19" s="12">
        <v>0.55794813499999985</v>
      </c>
      <c r="S19" s="12">
        <v>0.89271701600000009</v>
      </c>
      <c r="T19" s="12">
        <v>1.1158962699999997</v>
      </c>
    </row>
    <row r="20" spans="1:20" x14ac:dyDescent="0.3">
      <c r="B20" s="7" t="s">
        <v>24</v>
      </c>
      <c r="C20" s="7"/>
      <c r="D20" s="7">
        <f>(D17-$C$17)*10^6</f>
        <v>28210000.000000007</v>
      </c>
      <c r="E20" s="7">
        <f t="shared" ref="E20:G20" si="3">(E17-$C$17)*10^6</f>
        <v>35360000.000000015</v>
      </c>
      <c r="F20" s="7">
        <f t="shared" si="3"/>
        <v>42260000.000000022</v>
      </c>
      <c r="G20" s="7">
        <f t="shared" si="3"/>
        <v>46360000.000000015</v>
      </c>
      <c r="N20" s="3" t="s">
        <v>45</v>
      </c>
      <c r="O20" s="12" t="s">
        <v>15</v>
      </c>
      <c r="P20" s="12">
        <v>40368.159200000002</v>
      </c>
      <c r="Q20" s="12">
        <v>40368.159200000002</v>
      </c>
      <c r="R20" s="12">
        <v>40368.159200000002</v>
      </c>
      <c r="S20" s="12">
        <v>40368.159200000002</v>
      </c>
      <c r="T20" s="12">
        <v>40368.159200000002</v>
      </c>
    </row>
    <row r="21" spans="1:20" x14ac:dyDescent="0.3">
      <c r="B21" s="7" t="s">
        <v>25</v>
      </c>
      <c r="C21" s="7"/>
      <c r="D21" s="7">
        <f>D20/D19</f>
        <v>7606860.9804968229</v>
      </c>
      <c r="E21" s="7">
        <f t="shared" ref="E21" si="4">E20/E19</f>
        <v>5720920.331875952</v>
      </c>
      <c r="F21" s="7">
        <f>F20/F19</f>
        <v>4273297.7450699545</v>
      </c>
      <c r="G21" s="7">
        <f t="shared" ref="G21" si="5">G20/G19</f>
        <v>3750309.1994594052</v>
      </c>
      <c r="N21" s="3" t="s">
        <v>46</v>
      </c>
      <c r="O21" s="12" t="s">
        <v>15</v>
      </c>
      <c r="P21" s="12">
        <v>0</v>
      </c>
      <c r="Q21" s="12">
        <v>-33.114527371853342</v>
      </c>
      <c r="R21" s="12">
        <v>-28.278772819755574</v>
      </c>
      <c r="S21" s="12">
        <v>-21.025140991608914</v>
      </c>
      <c r="T21" s="12">
        <v>-16.189386439511143</v>
      </c>
    </row>
    <row r="22" spans="1:20" x14ac:dyDescent="0.3">
      <c r="B22" t="s">
        <v>26</v>
      </c>
      <c r="D22">
        <f>D21/10^6</f>
        <v>7.6068609804968226</v>
      </c>
      <c r="E22">
        <f t="shared" ref="E22:G22" si="6">E21/10^6</f>
        <v>5.7209203318759521</v>
      </c>
      <c r="F22">
        <f t="shared" si="6"/>
        <v>4.2732977450699545</v>
      </c>
      <c r="G22">
        <f t="shared" si="6"/>
        <v>3.7503091994594051</v>
      </c>
      <c r="N22" s="3"/>
      <c r="O22" s="12"/>
      <c r="P22" s="12"/>
      <c r="Q22" s="12">
        <v>0</v>
      </c>
      <c r="R22" s="12">
        <v>0</v>
      </c>
      <c r="S22" s="12">
        <v>0</v>
      </c>
      <c r="T22" s="12">
        <v>0</v>
      </c>
    </row>
    <row r="23" spans="1:20" x14ac:dyDescent="0.3">
      <c r="B23" s="4" t="s">
        <v>68</v>
      </c>
      <c r="C23" s="28">
        <v>9.68</v>
      </c>
      <c r="D23" s="28">
        <v>15</v>
      </c>
      <c r="E23" s="28">
        <v>15.3</v>
      </c>
      <c r="F23" s="28">
        <v>15.5</v>
      </c>
      <c r="G23" s="28">
        <v>15.7</v>
      </c>
      <c r="N23" s="3" t="s">
        <v>51</v>
      </c>
      <c r="O23" s="12">
        <v>0</v>
      </c>
      <c r="P23" s="12">
        <v>0.92088111382626803</v>
      </c>
      <c r="Q23" s="12">
        <v>0.86221931031197918</v>
      </c>
      <c r="R23" s="12">
        <v>0.82708404912956746</v>
      </c>
      <c r="S23" s="12">
        <v>0.77944095878855613</v>
      </c>
      <c r="T23" s="12">
        <v>0.75061547957059027</v>
      </c>
    </row>
    <row r="24" spans="1:20" x14ac:dyDescent="0.3">
      <c r="B24" s="4" t="s">
        <v>69</v>
      </c>
      <c r="C24" s="4">
        <v>61</v>
      </c>
      <c r="D24" s="30">
        <v>10.684945673991011</v>
      </c>
      <c r="E24" s="30">
        <v>12.848498270378062</v>
      </c>
      <c r="F24" s="30">
        <v>15.269676480302797</v>
      </c>
      <c r="G24" s="30">
        <v>16.588739769484363</v>
      </c>
      <c r="I24">
        <f>G26*(G20/10^6+G24)+$C$25*($C$24+$C$17)</f>
        <v>15.7</v>
      </c>
      <c r="N24" s="3" t="s">
        <v>47</v>
      </c>
      <c r="O24" s="12">
        <v>0</v>
      </c>
      <c r="P24" s="12">
        <v>7455.7874899999988</v>
      </c>
      <c r="Q24" s="12">
        <v>7456.1222588809987</v>
      </c>
      <c r="R24" s="12">
        <v>7456.3454381349984</v>
      </c>
      <c r="S24" s="12">
        <v>7456.6802070159983</v>
      </c>
      <c r="T24" s="12">
        <v>7456.9033862699989</v>
      </c>
    </row>
    <row r="25" spans="1:20" x14ac:dyDescent="0.3">
      <c r="B25" s="7" t="s">
        <v>70</v>
      </c>
      <c r="C25" s="32">
        <f>C23/(C17+C24)</f>
        <v>4.8755918202881034E-2</v>
      </c>
      <c r="D25" s="31"/>
      <c r="E25" s="31"/>
      <c r="F25" s="31"/>
      <c r="G25" s="31"/>
      <c r="N25" s="3" t="s">
        <v>52</v>
      </c>
      <c r="O25" s="12">
        <v>0</v>
      </c>
      <c r="P25" s="12">
        <v>82.307186539958977</v>
      </c>
      <c r="Q25" s="12">
        <v>77.067529126511559</v>
      </c>
      <c r="R25" s="12">
        <v>73.929255830354606</v>
      </c>
      <c r="S25" s="12">
        <v>69.673786164501223</v>
      </c>
      <c r="T25" s="12">
        <v>67.099101114943267</v>
      </c>
    </row>
    <row r="26" spans="1:20" x14ac:dyDescent="0.3">
      <c r="B26" s="7" t="s">
        <v>71</v>
      </c>
      <c r="C26" s="32"/>
      <c r="D26" s="32">
        <f>(D23-$C$23)/(D20/10^6+D24)</f>
        <v>0.13677869727833236</v>
      </c>
      <c r="E26" s="32">
        <f t="shared" ref="E26:G26" si="7">(E23-$C$23)/(E20/10^6+E24)</f>
        <v>0.11657695637976832</v>
      </c>
      <c r="F26" s="32">
        <f t="shared" si="7"/>
        <v>0.10116517867074516</v>
      </c>
      <c r="G26" s="32">
        <f t="shared" si="7"/>
        <v>9.5633368071306665E-2</v>
      </c>
      <c r="N26" s="3" t="s">
        <v>48</v>
      </c>
      <c r="O26" s="12">
        <v>833.34968295039005</v>
      </c>
      <c r="P26" s="12">
        <v>172.74933732558779</v>
      </c>
      <c r="Q26" s="12">
        <v>123.44849644708221</v>
      </c>
      <c r="R26" s="12">
        <v>90.571205647528672</v>
      </c>
      <c r="S26" s="12">
        <v>41.255269448198362</v>
      </c>
      <c r="T26" s="12">
        <v>8.3779786486448486</v>
      </c>
    </row>
    <row r="27" spans="1:20" x14ac:dyDescent="0.3">
      <c r="A27" s="4" t="s">
        <v>20</v>
      </c>
      <c r="B27" s="4" t="s">
        <v>16</v>
      </c>
      <c r="C27" s="9">
        <v>0.95</v>
      </c>
      <c r="N27" s="3" t="s">
        <v>49</v>
      </c>
      <c r="O27" s="12">
        <v>2984.8577820205692</v>
      </c>
      <c r="P27" s="12">
        <v>3652.0872323173585</v>
      </c>
      <c r="Q27" s="12">
        <v>3652.0872323173585</v>
      </c>
      <c r="R27" s="12">
        <v>3652.0872323173585</v>
      </c>
      <c r="S27" s="12">
        <v>3652.0872323173585</v>
      </c>
      <c r="T27" s="12">
        <v>3652.0872323173585</v>
      </c>
    </row>
    <row r="28" spans="1:20" x14ac:dyDescent="0.3">
      <c r="A28" s="4" t="s">
        <v>21</v>
      </c>
      <c r="B28" s="4" t="s">
        <v>16</v>
      </c>
      <c r="C28" s="9">
        <v>0.79249999999999998</v>
      </c>
      <c r="N28" s="3"/>
      <c r="O28" s="3"/>
      <c r="P28" s="3"/>
      <c r="Q28" s="3"/>
      <c r="R28" s="3"/>
      <c r="S28" s="3"/>
      <c r="T28" s="3"/>
    </row>
    <row r="29" spans="1:20" ht="15" thickBot="1" x14ac:dyDescent="0.35">
      <c r="A29" s="4" t="s">
        <v>12</v>
      </c>
      <c r="B29" s="4" t="s">
        <v>14</v>
      </c>
      <c r="C29" s="4">
        <v>0.83299999999999996</v>
      </c>
      <c r="E29">
        <f>C29*(1-0.95)</f>
        <v>4.1650000000000034E-2</v>
      </c>
      <c r="G29">
        <f>0.95/(1+C30)</f>
        <v>0.88219474555148414</v>
      </c>
      <c r="N29" s="11"/>
      <c r="O29" s="11" t="s">
        <v>53</v>
      </c>
      <c r="P29" s="11"/>
      <c r="Q29" s="11"/>
      <c r="R29" s="11"/>
      <c r="S29" s="11"/>
      <c r="T29" s="11"/>
    </row>
    <row r="30" spans="1:20" x14ac:dyDescent="0.3">
      <c r="A30" s="5" t="s">
        <v>13</v>
      </c>
      <c r="B30" s="5" t="s">
        <v>16</v>
      </c>
      <c r="C30" s="6">
        <f>P5/O4-1</f>
        <v>7.6859735098658843E-2</v>
      </c>
      <c r="N30" s="3"/>
      <c r="O30" s="3" t="s">
        <v>27</v>
      </c>
      <c r="P30" s="3" t="s">
        <v>6</v>
      </c>
      <c r="Q30" s="3" t="s">
        <v>7</v>
      </c>
      <c r="R30" s="3" t="s">
        <v>8</v>
      </c>
      <c r="S30" s="3" t="s">
        <v>9</v>
      </c>
      <c r="T30" s="3" t="s">
        <v>10</v>
      </c>
    </row>
    <row r="31" spans="1:20" x14ac:dyDescent="0.3">
      <c r="A31" s="7" t="s">
        <v>17</v>
      </c>
      <c r="B31" s="7" t="s">
        <v>14</v>
      </c>
      <c r="C31" s="7">
        <f>C29*(1+C30)</f>
        <v>0.89702415933718282</v>
      </c>
      <c r="E31">
        <f>C31*(1-0.95)/(1+C30)</f>
        <v>4.1650000000000034E-2</v>
      </c>
      <c r="N31" s="3" t="s">
        <v>28</v>
      </c>
      <c r="O31" s="12">
        <v>1800</v>
      </c>
      <c r="P31" s="12">
        <v>1799.9672083200001</v>
      </c>
      <c r="Q31" s="12">
        <v>1799.9672083200001</v>
      </c>
      <c r="R31" s="12">
        <v>1799.9672083200001</v>
      </c>
      <c r="S31" s="12">
        <v>1799.9672083200001</v>
      </c>
      <c r="T31" s="12">
        <v>1799.9672083200001</v>
      </c>
    </row>
    <row r="32" spans="1:20" x14ac:dyDescent="0.3">
      <c r="A32" s="5" t="s">
        <v>18</v>
      </c>
      <c r="B32" s="5" t="s">
        <v>15</v>
      </c>
      <c r="C32" s="5">
        <f>1/C27-(1-C27)/(C27*(1+C30))</f>
        <v>1.0037565237921615</v>
      </c>
      <c r="E32">
        <f>C31*(1-0.95*C32)</f>
        <v>4.165000000000009E-2</v>
      </c>
      <c r="N32" s="3" t="s">
        <v>29</v>
      </c>
      <c r="O32" s="12">
        <v>17.36112369616254</v>
      </c>
      <c r="P32" s="12" t="s">
        <v>15</v>
      </c>
      <c r="Q32" s="12" t="s">
        <v>15</v>
      </c>
      <c r="R32" s="12" t="s">
        <v>15</v>
      </c>
      <c r="S32" s="12" t="s">
        <v>15</v>
      </c>
      <c r="T32" s="12" t="s">
        <v>15</v>
      </c>
    </row>
    <row r="33" spans="1:20" x14ac:dyDescent="0.3">
      <c r="A33" s="8" t="s">
        <v>23</v>
      </c>
      <c r="B33" s="8" t="s">
        <v>16</v>
      </c>
      <c r="C33" s="8">
        <f>C27*C32</f>
        <v>0.95356869760255336</v>
      </c>
      <c r="N33" s="3" t="s">
        <v>30</v>
      </c>
      <c r="O33" s="12" t="s">
        <v>15</v>
      </c>
      <c r="P33" s="12">
        <v>18.706244290000001</v>
      </c>
      <c r="Q33" s="12">
        <v>18.706244290000001</v>
      </c>
      <c r="R33" s="12">
        <v>18.706244290000001</v>
      </c>
      <c r="S33" s="12">
        <v>18.706244290000001</v>
      </c>
      <c r="T33" s="12">
        <v>18.706244290000001</v>
      </c>
    </row>
    <row r="34" spans="1:20" x14ac:dyDescent="0.3">
      <c r="A34" s="5" t="s">
        <v>18</v>
      </c>
      <c r="B34" s="5" t="s">
        <v>15</v>
      </c>
      <c r="C34" s="5">
        <f>1/C28-(1-C28)/(C28*(1+C30))</f>
        <v>1.0186878170985447</v>
      </c>
      <c r="N34" s="3" t="s">
        <v>31</v>
      </c>
      <c r="O34" s="12">
        <v>17.36112369616254</v>
      </c>
      <c r="P34" s="12">
        <v>3.6043543187220006</v>
      </c>
      <c r="Q34" s="12">
        <v>2.5751468778264703</v>
      </c>
      <c r="R34" s="12">
        <v>1.889604242144971</v>
      </c>
      <c r="S34" s="12">
        <v>0.86129028862272161</v>
      </c>
      <c r="T34" s="12">
        <v>0.17574765294122172</v>
      </c>
    </row>
    <row r="35" spans="1:20" x14ac:dyDescent="0.3">
      <c r="A35" s="8" t="s">
        <v>22</v>
      </c>
      <c r="B35" s="8" t="s">
        <v>16</v>
      </c>
      <c r="C35" s="8">
        <f>C28*C34</f>
        <v>0.8073100950505967</v>
      </c>
      <c r="N35" s="3" t="s">
        <v>32</v>
      </c>
      <c r="O35" s="12" t="s">
        <v>15</v>
      </c>
      <c r="P35" s="12">
        <v>0</v>
      </c>
      <c r="Q35" s="12">
        <v>1.028313953522249</v>
      </c>
      <c r="R35" s="12">
        <v>1.7138565892037487</v>
      </c>
      <c r="S35" s="12">
        <v>2.7421705427259981</v>
      </c>
      <c r="T35" s="12">
        <v>3.4278460399999999</v>
      </c>
    </row>
    <row r="36" spans="1:20" x14ac:dyDescent="0.3">
      <c r="N36" s="3" t="s">
        <v>33</v>
      </c>
      <c r="O36" s="12" t="s">
        <v>15</v>
      </c>
      <c r="P36" s="12">
        <v>15.101889971278</v>
      </c>
      <c r="Q36" s="12">
        <v>16.131097412173531</v>
      </c>
      <c r="R36" s="12">
        <v>16.816640047855032</v>
      </c>
      <c r="S36" s="12">
        <v>17.844954001377278</v>
      </c>
      <c r="T36" s="12">
        <v>18.530496637058778</v>
      </c>
    </row>
    <row r="37" spans="1:20" x14ac:dyDescent="0.3">
      <c r="N37" s="3" t="s">
        <v>34</v>
      </c>
      <c r="O37" s="12">
        <v>0</v>
      </c>
      <c r="P37" s="12">
        <v>13.75676937744054</v>
      </c>
      <c r="Q37" s="12">
        <v>14.785976818336071</v>
      </c>
      <c r="R37" s="12">
        <v>15.471519454017569</v>
      </c>
      <c r="S37" s="12">
        <v>16.499833407539818</v>
      </c>
      <c r="T37" s="12">
        <v>17.185376043221318</v>
      </c>
    </row>
    <row r="38" spans="1:20" x14ac:dyDescent="0.3">
      <c r="A38" s="7" t="s">
        <v>54</v>
      </c>
      <c r="B38" s="7" t="s">
        <v>57</v>
      </c>
      <c r="C38" s="7">
        <f>AVERAGE(P51,P23)*1000/3600</f>
        <v>0.25548249251013122</v>
      </c>
      <c r="N38" s="3" t="s">
        <v>35</v>
      </c>
      <c r="O38" s="12" t="s">
        <v>15</v>
      </c>
      <c r="P38" s="12">
        <v>12.411648783603077</v>
      </c>
      <c r="Q38" s="12">
        <v>13.44085622449861</v>
      </c>
      <c r="R38" s="12">
        <v>14.12639886018011</v>
      </c>
      <c r="S38" s="12">
        <v>15.154712813702357</v>
      </c>
      <c r="T38" s="12">
        <v>15.840255449383857</v>
      </c>
    </row>
    <row r="39" spans="1:20" x14ac:dyDescent="0.3">
      <c r="A39" s="7" t="s">
        <v>55</v>
      </c>
      <c r="B39" s="7" t="s">
        <v>57</v>
      </c>
      <c r="C39" s="7">
        <f>P25/1000</f>
        <v>8.2307186539958971E-2</v>
      </c>
      <c r="N39" s="3" t="s">
        <v>36</v>
      </c>
      <c r="O39" s="12">
        <v>0</v>
      </c>
      <c r="P39" s="12">
        <v>0.79238934173836351</v>
      </c>
      <c r="Q39" s="12">
        <v>0.85167164736026424</v>
      </c>
      <c r="R39" s="12">
        <v>0.89115887455126852</v>
      </c>
      <c r="S39" s="12">
        <v>0.95038971533777505</v>
      </c>
      <c r="T39" s="12">
        <v>0.98987694252877945</v>
      </c>
    </row>
    <row r="40" spans="1:20" x14ac:dyDescent="0.3">
      <c r="A40" s="7" t="s">
        <v>56</v>
      </c>
      <c r="B40" s="7" t="s">
        <v>57</v>
      </c>
      <c r="C40" s="7">
        <f>Q18/1000</f>
        <v>5.4302358825637935E-2</v>
      </c>
      <c r="N40" s="3" t="s">
        <v>37</v>
      </c>
      <c r="O40" s="12">
        <v>2.2903950636466317</v>
      </c>
      <c r="P40" s="12">
        <v>2.8013522599999998</v>
      </c>
      <c r="Q40" s="12">
        <v>2.8013522599999998</v>
      </c>
      <c r="R40" s="12">
        <v>2.8013522599999998</v>
      </c>
      <c r="S40" s="12">
        <v>2.8013522599999998</v>
      </c>
      <c r="T40" s="12">
        <v>2.8013522599999998</v>
      </c>
    </row>
    <row r="41" spans="1:20" x14ac:dyDescent="0.3">
      <c r="H41" s="13"/>
      <c r="N41" s="3" t="s">
        <v>38</v>
      </c>
      <c r="O41" s="12" t="s">
        <v>15</v>
      </c>
      <c r="P41" s="12">
        <v>5.1205206399999996</v>
      </c>
      <c r="Q41" s="12">
        <v>5.1205206399999996</v>
      </c>
      <c r="R41" s="12">
        <v>5.1205206399999996</v>
      </c>
      <c r="S41" s="12">
        <v>5.1205206399999996</v>
      </c>
      <c r="T41" s="12">
        <v>5.1205206399999996</v>
      </c>
    </row>
    <row r="42" spans="1:20" x14ac:dyDescent="0.3">
      <c r="H42" s="13"/>
      <c r="N42" s="3" t="s">
        <v>39</v>
      </c>
      <c r="O42" s="12" t="s">
        <v>15</v>
      </c>
      <c r="P42" s="12">
        <v>0</v>
      </c>
      <c r="Q42" s="12">
        <v>4.3718006576010016</v>
      </c>
      <c r="R42" s="12">
        <v>7.2863344293350041</v>
      </c>
      <c r="S42" s="12">
        <v>11.658135086936008</v>
      </c>
      <c r="T42" s="12">
        <v>14.573233709896117</v>
      </c>
    </row>
    <row r="43" spans="1:20" x14ac:dyDescent="0.3">
      <c r="H43" s="13"/>
      <c r="N43" s="3" t="s">
        <v>40</v>
      </c>
      <c r="O43" s="12" t="s">
        <v>15</v>
      </c>
      <c r="P43" s="12">
        <v>0</v>
      </c>
      <c r="Q43" s="12">
        <v>4.2514259799999996</v>
      </c>
      <c r="R43" s="12">
        <v>4.2514259799999996</v>
      </c>
      <c r="S43" s="12">
        <v>4.2514259799999996</v>
      </c>
      <c r="T43" s="12">
        <v>4.2514259799999996</v>
      </c>
    </row>
    <row r="44" spans="1:20" x14ac:dyDescent="0.3">
      <c r="H44" s="13"/>
      <c r="N44" s="3" t="s">
        <v>41</v>
      </c>
      <c r="O44" s="12" t="s">
        <v>15</v>
      </c>
      <c r="P44" s="12">
        <v>4.2397910899999998</v>
      </c>
      <c r="Q44" s="12">
        <v>4.2397910899999998</v>
      </c>
      <c r="R44" s="12">
        <v>4.2397910899999998</v>
      </c>
      <c r="S44" s="12">
        <v>4.2397910899999998</v>
      </c>
      <c r="T44" s="12">
        <v>4.2397910899999998</v>
      </c>
    </row>
    <row r="45" spans="1:20" x14ac:dyDescent="0.3">
      <c r="B45" s="13"/>
      <c r="C45" s="29"/>
      <c r="D45" s="29"/>
      <c r="E45" s="29"/>
      <c r="F45" s="29"/>
      <c r="G45" s="29"/>
      <c r="H45" s="13"/>
      <c r="N45" s="3" t="s">
        <v>42</v>
      </c>
      <c r="O45" s="12" t="s">
        <v>15</v>
      </c>
      <c r="P45" s="12">
        <v>0.18547881599999999</v>
      </c>
      <c r="Q45" s="12">
        <v>0.18547881599999999</v>
      </c>
      <c r="R45" s="12">
        <v>0.18547881599999999</v>
      </c>
      <c r="S45" s="12">
        <v>0.18547881599999999</v>
      </c>
      <c r="T45" s="12">
        <v>0.18547881599999999</v>
      </c>
    </row>
    <row r="46" spans="1:20" x14ac:dyDescent="0.3">
      <c r="B46" s="13"/>
      <c r="C46" s="29"/>
      <c r="D46" s="29"/>
      <c r="E46" s="29"/>
      <c r="F46" s="29"/>
      <c r="G46" s="29"/>
      <c r="H46" s="13"/>
      <c r="N46" s="3" t="s">
        <v>43</v>
      </c>
      <c r="O46" s="12" t="s">
        <v>15</v>
      </c>
      <c r="P46" s="12" t="s">
        <v>15</v>
      </c>
      <c r="Q46" s="12">
        <v>54.302358825637938</v>
      </c>
      <c r="R46" s="12">
        <v>54.302358825637938</v>
      </c>
      <c r="S46" s="12">
        <v>54.302358825637938</v>
      </c>
      <c r="T46" s="12">
        <v>54.474585290604679</v>
      </c>
    </row>
    <row r="47" spans="1:20" x14ac:dyDescent="0.3">
      <c r="B47" s="13"/>
      <c r="C47" s="13"/>
      <c r="D47" s="13"/>
      <c r="E47" s="13"/>
      <c r="F47" s="13"/>
      <c r="G47" s="13"/>
      <c r="H47" s="13"/>
      <c r="N47" s="3" t="s">
        <v>44</v>
      </c>
      <c r="O47" s="12" t="s">
        <v>15</v>
      </c>
      <c r="P47" s="12" t="s">
        <v>15</v>
      </c>
      <c r="Q47" s="12">
        <v>0.20102354384247192</v>
      </c>
      <c r="R47" s="12">
        <v>0.33503923973745331</v>
      </c>
      <c r="S47" s="12">
        <v>0.53606278357992532</v>
      </c>
      <c r="T47" s="12">
        <v>0.67222976928854927</v>
      </c>
    </row>
    <row r="48" spans="1:20" x14ac:dyDescent="0.3">
      <c r="B48" s="13"/>
      <c r="C48" s="13"/>
      <c r="D48" s="13"/>
      <c r="E48" s="13"/>
      <c r="F48" s="13"/>
      <c r="G48" s="13"/>
      <c r="H48" s="13"/>
      <c r="N48" s="3" t="s">
        <v>45</v>
      </c>
      <c r="O48" s="12" t="s">
        <v>15</v>
      </c>
      <c r="P48" s="12">
        <v>23737.731500000002</v>
      </c>
      <c r="Q48" s="12">
        <v>23737.731500000002</v>
      </c>
      <c r="R48" s="12">
        <v>23737.731500000002</v>
      </c>
      <c r="S48" s="12">
        <v>23737.731500000002</v>
      </c>
      <c r="T48" s="12">
        <v>23737.731500000002</v>
      </c>
    </row>
    <row r="49" spans="2:20" x14ac:dyDescent="0.3">
      <c r="B49" s="13"/>
      <c r="C49" s="13"/>
      <c r="D49" s="13"/>
      <c r="E49" s="13"/>
      <c r="F49" s="13"/>
      <c r="G49" s="13"/>
      <c r="N49" s="3" t="s">
        <v>46</v>
      </c>
      <c r="O49" s="12" t="s">
        <v>15</v>
      </c>
      <c r="P49" s="12">
        <v>0</v>
      </c>
      <c r="Q49" s="12">
        <v>-19.365930842399003</v>
      </c>
      <c r="R49" s="12">
        <v>-16.451397070664999</v>
      </c>
      <c r="S49" s="12">
        <v>-12.079596413063994</v>
      </c>
      <c r="T49" s="12">
        <v>-9.1644977901038853</v>
      </c>
    </row>
    <row r="50" spans="2:20" x14ac:dyDescent="0.3">
      <c r="B50" s="13"/>
      <c r="C50" s="29"/>
      <c r="D50" s="29"/>
      <c r="E50" s="29"/>
      <c r="F50" s="29"/>
      <c r="G50" s="29"/>
      <c r="N50" s="3"/>
      <c r="O50" s="12"/>
      <c r="P50" s="12"/>
      <c r="Q50" s="12">
        <v>0</v>
      </c>
      <c r="R50" s="12">
        <v>0</v>
      </c>
      <c r="S50" s="12">
        <v>0</v>
      </c>
      <c r="T50" s="12">
        <v>0</v>
      </c>
    </row>
    <row r="51" spans="2:20" x14ac:dyDescent="0.3">
      <c r="B51" s="13"/>
      <c r="C51" s="13"/>
      <c r="D51" s="13"/>
      <c r="E51" s="13"/>
      <c r="F51" s="13"/>
      <c r="G51" s="13"/>
      <c r="N51" s="3" t="s">
        <v>51</v>
      </c>
      <c r="O51" s="12">
        <v>0</v>
      </c>
      <c r="P51" s="12">
        <v>0.91859283224667687</v>
      </c>
      <c r="Q51" s="12">
        <v>0.85998413663566997</v>
      </c>
      <c r="R51" s="12">
        <v>0.82492625408625453</v>
      </c>
      <c r="S51" s="12">
        <v>0.77738994899752956</v>
      </c>
      <c r="T51" s="12">
        <v>0.74863011783778244</v>
      </c>
    </row>
    <row r="52" spans="2:20" x14ac:dyDescent="0.3">
      <c r="B52" s="13"/>
      <c r="C52" s="13"/>
      <c r="D52" s="13"/>
      <c r="E52" s="13"/>
      <c r="F52" s="13"/>
      <c r="G52" s="13"/>
      <c r="N52" s="3" t="s">
        <v>47</v>
      </c>
      <c r="O52" s="12">
        <v>0</v>
      </c>
      <c r="P52" s="12">
        <v>4425.2699059999995</v>
      </c>
      <c r="Q52" s="12">
        <v>4425.4709295438424</v>
      </c>
      <c r="R52" s="12">
        <v>4425.6049452397374</v>
      </c>
      <c r="S52" s="12">
        <v>4425.8059687835794</v>
      </c>
      <c r="T52" s="12">
        <v>4425.9421357692881</v>
      </c>
    </row>
    <row r="53" spans="2:20" x14ac:dyDescent="0.3">
      <c r="N53" s="3" t="s">
        <v>52</v>
      </c>
      <c r="O53" s="12">
        <v>0</v>
      </c>
      <c r="P53" s="12">
        <v>81.396543273287449</v>
      </c>
      <c r="Q53" s="12">
        <v>76.206686316402795</v>
      </c>
      <c r="R53" s="12">
        <v>73.102278666411735</v>
      </c>
      <c r="S53" s="12">
        <v>68.892895257081804</v>
      </c>
      <c r="T53" s="12">
        <v>66.346218081835687</v>
      </c>
    </row>
    <row r="54" spans="2:20" x14ac:dyDescent="0.3">
      <c r="N54" s="3" t="s">
        <v>48</v>
      </c>
      <c r="O54" s="12">
        <v>833.33393741580187</v>
      </c>
      <c r="P54" s="12">
        <v>173.01215916496682</v>
      </c>
      <c r="Q54" s="12">
        <v>123.6093020004907</v>
      </c>
      <c r="R54" s="12">
        <v>90.702656007664686</v>
      </c>
      <c r="S54" s="12">
        <v>41.342687018425664</v>
      </c>
      <c r="T54" s="12">
        <v>8.4360410255996303</v>
      </c>
    </row>
    <row r="55" spans="2:20" x14ac:dyDescent="0.3">
      <c r="N55" s="3" t="s">
        <v>49</v>
      </c>
      <c r="O55" s="12">
        <v>2984.8428469442906</v>
      </c>
      <c r="P55" s="12">
        <v>3650.7887738415661</v>
      </c>
      <c r="Q55" s="12">
        <v>3650.7887738415661</v>
      </c>
      <c r="R55" s="12">
        <v>3650.7887738415661</v>
      </c>
      <c r="S55" s="12">
        <v>3650.7887738415661</v>
      </c>
      <c r="T55" s="12">
        <v>3650.7887738415661</v>
      </c>
    </row>
  </sheetData>
  <mergeCells count="16">
    <mergeCell ref="A14:G14"/>
    <mergeCell ref="A15:B18"/>
    <mergeCell ref="C15:G15"/>
    <mergeCell ref="C17:C18"/>
    <mergeCell ref="D17:D18"/>
    <mergeCell ref="E17:E18"/>
    <mergeCell ref="F17:F18"/>
    <mergeCell ref="G17:G18"/>
    <mergeCell ref="A1:G1"/>
    <mergeCell ref="A2:B5"/>
    <mergeCell ref="C2:G2"/>
    <mergeCell ref="C4:C5"/>
    <mergeCell ref="D4:D5"/>
    <mergeCell ref="E4:E5"/>
    <mergeCell ref="F4:F5"/>
    <mergeCell ref="G4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capex_oxyfuel</vt:lpstr>
      <vt:lpstr>capex_mea</vt:lpstr>
      <vt:lpstr>capex_cpu_oxyfuel</vt:lpstr>
      <vt:lpstr>capex_compressor_mea</vt:lpstr>
      <vt:lpstr>energy_oxy_mea</vt:lpstr>
      <vt:lpstr>energy_cpu_compressor</vt:lpstr>
      <vt:lpstr>calculations</vt:lpstr>
    </vt:vector>
  </TitlesOfParts>
  <Company>Utrecht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Bertoni, L. (Luca)</dc:creator>
  <cp:lastModifiedBy>Bertoni, L. (Luca)</cp:lastModifiedBy>
  <dcterms:created xsi:type="dcterms:W3CDTF">2025-04-22T14:21:42Z</dcterms:created>
  <dcterms:modified xsi:type="dcterms:W3CDTF">2025-04-25T17:25:32Z</dcterms:modified>
</cp:coreProperties>
</file>