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8D1056B1-A860-430A-8B09-87C976E8AD84}"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 name="vacationRedondo" sheetId="6" r:id="rId4"/>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94" i="1" l="1"/>
  <c r="M295" i="1"/>
  <c r="M296" i="1"/>
  <c r="M297" i="1"/>
  <c r="M298" i="1"/>
  <c r="M299" i="1"/>
  <c r="AH299" i="1"/>
  <c r="AG299" i="1"/>
  <c r="AF299" i="1"/>
  <c r="AE299" i="1"/>
  <c r="AK299" i="1" s="1"/>
  <c r="AD299" i="1"/>
  <c r="AC299" i="1"/>
  <c r="AB299" i="1"/>
  <c r="AI299" i="1"/>
  <c r="AJ299" i="1"/>
  <c r="AL299" i="1"/>
  <c r="AM299" i="1"/>
  <c r="AN299" i="1"/>
  <c r="AI298" i="1"/>
  <c r="AJ298" i="1"/>
  <c r="AK298" i="1"/>
  <c r="AL298" i="1"/>
  <c r="AM298" i="1"/>
  <c r="AN298" i="1"/>
  <c r="AH298" i="1"/>
  <c r="AG298" i="1"/>
  <c r="AF298" i="1"/>
  <c r="AE298" i="1"/>
  <c r="AD298" i="1"/>
  <c r="AC298" i="1"/>
  <c r="AB298" i="1"/>
  <c r="AI297" i="1"/>
  <c r="AJ297" i="1"/>
  <c r="AK297" i="1"/>
  <c r="AL297" i="1"/>
  <c r="AM297" i="1"/>
  <c r="AN297" i="1"/>
  <c r="AH297" i="1"/>
  <c r="AG297" i="1"/>
  <c r="AF297" i="1"/>
  <c r="AE297" i="1"/>
  <c r="AD297" i="1"/>
  <c r="AC297" i="1"/>
  <c r="AB297" i="1"/>
  <c r="H658" i="4"/>
  <c r="G658" i="4"/>
  <c r="F658" i="4"/>
  <c r="E658" i="4"/>
  <c r="D658" i="4"/>
  <c r="C658" i="4"/>
  <c r="B658" i="4"/>
  <c r="AI296" i="1"/>
  <c r="AJ296" i="1"/>
  <c r="AK296" i="1"/>
  <c r="AL296" i="1"/>
  <c r="AM296" i="1"/>
  <c r="AN296" i="1"/>
  <c r="AH296" i="1"/>
  <c r="AG296" i="1"/>
  <c r="AF296" i="1"/>
  <c r="AE296" i="1"/>
  <c r="AD296" i="1"/>
  <c r="AC296" i="1"/>
  <c r="AB296" i="1"/>
  <c r="H657" i="4"/>
  <c r="G657" i="4"/>
  <c r="F657" i="4"/>
  <c r="E657" i="4"/>
  <c r="D657" i="4"/>
  <c r="C657" i="4"/>
  <c r="B657" i="4"/>
  <c r="AH295" i="1"/>
  <c r="AG295" i="1"/>
  <c r="AF295" i="1"/>
  <c r="AE295" i="1"/>
  <c r="AD295" i="1"/>
  <c r="AC295" i="1"/>
  <c r="AB295" i="1"/>
  <c r="AH294" i="1"/>
  <c r="AG294" i="1"/>
  <c r="AF294" i="1"/>
  <c r="AE294" i="1"/>
  <c r="AD294" i="1"/>
  <c r="AC294" i="1"/>
  <c r="AB294" i="1"/>
  <c r="AK294" i="1" s="1"/>
  <c r="AI294" i="1"/>
  <c r="AJ294" i="1"/>
  <c r="AN294" i="1"/>
  <c r="AL295" i="1"/>
  <c r="AH293" i="1"/>
  <c r="AG293" i="1"/>
  <c r="AF293" i="1"/>
  <c r="AE293" i="1"/>
  <c r="AD293" i="1"/>
  <c r="AC293" i="1"/>
  <c r="AB293" i="1"/>
  <c r="AK293" i="1"/>
  <c r="AH292" i="1"/>
  <c r="AN292" i="1" s="1"/>
  <c r="AG292" i="1"/>
  <c r="AF292" i="1"/>
  <c r="AE292" i="1"/>
  <c r="AD292" i="1"/>
  <c r="AJ292" i="1" s="1"/>
  <c r="AC292" i="1"/>
  <c r="AB292" i="1"/>
  <c r="AK292" i="1" s="1"/>
  <c r="AH290" i="1"/>
  <c r="AG290" i="1"/>
  <c r="AF290" i="1"/>
  <c r="AE290" i="1"/>
  <c r="AD290" i="1"/>
  <c r="AC290" i="1"/>
  <c r="AB290" i="1"/>
  <c r="AH291" i="1"/>
  <c r="AN291" i="1" s="1"/>
  <c r="AG291" i="1"/>
  <c r="AM291" i="1" s="1"/>
  <c r="AF291" i="1"/>
  <c r="AE291" i="1"/>
  <c r="AD291" i="1"/>
  <c r="AC291" i="1"/>
  <c r="AB291" i="1"/>
  <c r="AH289" i="1"/>
  <c r="AG289" i="1"/>
  <c r="AF289" i="1"/>
  <c r="AL289" i="1" s="1"/>
  <c r="AE289" i="1"/>
  <c r="AD289" i="1"/>
  <c r="AC289" i="1"/>
  <c r="AB289" i="1"/>
  <c r="AI289" i="1" s="1"/>
  <c r="AH288" i="1"/>
  <c r="AG288" i="1"/>
  <c r="AF288" i="1"/>
  <c r="AL288" i="1" s="1"/>
  <c r="AE288" i="1"/>
  <c r="AK288" i="1" s="1"/>
  <c r="AD288" i="1"/>
  <c r="AC288" i="1"/>
  <c r="AB288" i="1"/>
  <c r="AH287" i="1"/>
  <c r="AG287" i="1"/>
  <c r="AF287" i="1"/>
  <c r="AE287" i="1"/>
  <c r="AK287" i="1" s="1"/>
  <c r="AD287" i="1"/>
  <c r="AC287" i="1"/>
  <c r="AI287" i="1" s="1"/>
  <c r="AB287" i="1"/>
  <c r="M288" i="1" s="1"/>
  <c r="AH286" i="1"/>
  <c r="AG286" i="1"/>
  <c r="AF286" i="1"/>
  <c r="AE286" i="1"/>
  <c r="AD286" i="1"/>
  <c r="AC286" i="1"/>
  <c r="AB286" i="1"/>
  <c r="AI286" i="1" s="1"/>
  <c r="AH285" i="1"/>
  <c r="AG285" i="1"/>
  <c r="AF285" i="1"/>
  <c r="AE285" i="1"/>
  <c r="AD285" i="1"/>
  <c r="AC285" i="1"/>
  <c r="AI285" i="1" s="1"/>
  <c r="AB285" i="1"/>
  <c r="AK285" i="1" s="1"/>
  <c r="AH284" i="1"/>
  <c r="AG284" i="1"/>
  <c r="AF284" i="1"/>
  <c r="AE284" i="1"/>
  <c r="AD284" i="1"/>
  <c r="AJ284" i="1" s="1"/>
  <c r="AC284" i="1"/>
  <c r="AB284" i="1"/>
  <c r="AH283" i="1"/>
  <c r="AG283" i="1"/>
  <c r="AF283" i="1"/>
  <c r="AE283" i="1"/>
  <c r="AD283" i="1"/>
  <c r="AC283" i="1"/>
  <c r="AI283" i="1" s="1"/>
  <c r="AB283" i="1"/>
  <c r="AJ283" i="1" s="1"/>
  <c r="L293" i="1"/>
  <c r="M293" i="1"/>
  <c r="AI291" i="1"/>
  <c r="BM291" i="1"/>
  <c r="BM290" i="1"/>
  <c r="L290" i="1"/>
  <c r="L289" i="1"/>
  <c r="AJ287" i="1"/>
  <c r="AL287" i="1"/>
  <c r="AM287" i="1"/>
  <c r="L286" i="1"/>
  <c r="L288" i="1"/>
  <c r="L285" i="1"/>
  <c r="M285" i="1"/>
  <c r="L284" i="1"/>
  <c r="L277" i="1"/>
  <c r="L278" i="1"/>
  <c r="L279" i="1"/>
  <c r="M279" i="1"/>
  <c r="L280" i="1"/>
  <c r="M280" i="1"/>
  <c r="L282" i="1"/>
  <c r="L283" i="1"/>
  <c r="M283" i="1"/>
  <c r="AH282" i="1"/>
  <c r="AN282" i="1" s="1"/>
  <c r="AG282" i="1"/>
  <c r="AF282" i="1"/>
  <c r="AE282" i="1"/>
  <c r="AD282" i="1"/>
  <c r="AC282" i="1"/>
  <c r="AB282" i="1"/>
  <c r="AH281" i="1"/>
  <c r="AG281" i="1"/>
  <c r="AF281" i="1"/>
  <c r="AL281" i="1" s="1"/>
  <c r="AE281" i="1"/>
  <c r="AK281" i="1" s="1"/>
  <c r="AD281" i="1"/>
  <c r="AC281" i="1"/>
  <c r="AB281" i="1"/>
  <c r="AH280" i="1"/>
  <c r="AN280" i="1" s="1"/>
  <c r="AG280" i="1"/>
  <c r="AF280" i="1"/>
  <c r="AE280" i="1"/>
  <c r="AD280" i="1"/>
  <c r="AC280" i="1"/>
  <c r="AB280" i="1"/>
  <c r="AI280" i="1" s="1"/>
  <c r="AB279" i="1"/>
  <c r="AC279" i="1"/>
  <c r="AD279" i="1"/>
  <c r="AE279" i="1"/>
  <c r="AF279" i="1"/>
  <c r="AH279" i="1"/>
  <c r="AG279" i="1"/>
  <c r="AH278" i="1"/>
  <c r="AG278" i="1"/>
  <c r="AM278" i="1" s="1"/>
  <c r="AF278" i="1"/>
  <c r="AE278" i="1"/>
  <c r="AD278" i="1"/>
  <c r="AC278" i="1"/>
  <c r="AI278" i="1" s="1"/>
  <c r="AB278" i="1"/>
  <c r="AN278" i="1" s="1"/>
  <c r="AH277" i="1"/>
  <c r="AG277" i="1"/>
  <c r="AF277" i="1"/>
  <c r="AE277" i="1"/>
  <c r="AD277" i="1"/>
  <c r="AC277" i="1"/>
  <c r="AI277" i="1" s="1"/>
  <c r="AB277" i="1"/>
  <c r="AJ277" i="1" s="1"/>
  <c r="AH276" i="1"/>
  <c r="AG276" i="1"/>
  <c r="AF276" i="1"/>
  <c r="AE276" i="1"/>
  <c r="AD276" i="1"/>
  <c r="AC276" i="1"/>
  <c r="AB276" i="1"/>
  <c r="AK276" i="1" s="1"/>
  <c r="H642" i="4"/>
  <c r="G642" i="4"/>
  <c r="F642" i="4"/>
  <c r="E642" i="4"/>
  <c r="D642" i="4"/>
  <c r="C642" i="4"/>
  <c r="B642" i="4"/>
  <c r="AI276" i="1"/>
  <c r="AJ276" i="1"/>
  <c r="AI279" i="1"/>
  <c r="AJ279" i="1"/>
  <c r="AK279" i="1"/>
  <c r="AM280" i="1"/>
  <c r="H637" i="4"/>
  <c r="G637" i="4"/>
  <c r="F637" i="4"/>
  <c r="E637" i="4"/>
  <c r="D637" i="4"/>
  <c r="C637" i="4"/>
  <c r="B637" i="4"/>
  <c r="H634" i="4"/>
  <c r="G634" i="4"/>
  <c r="F634" i="4"/>
  <c r="E634" i="4"/>
  <c r="D634" i="4"/>
  <c r="C634" i="4"/>
  <c r="B634" i="4"/>
  <c r="AH275" i="1"/>
  <c r="AG275" i="1"/>
  <c r="AF275" i="1"/>
  <c r="AE275" i="1"/>
  <c r="AD275" i="1"/>
  <c r="AC275" i="1"/>
  <c r="AB275" i="1"/>
  <c r="M276" i="1" s="1"/>
  <c r="L276" i="1"/>
  <c r="AH274" i="1"/>
  <c r="AG274" i="1"/>
  <c r="AF274" i="1"/>
  <c r="AE274" i="1"/>
  <c r="AD274" i="1"/>
  <c r="AC274" i="1"/>
  <c r="AB274" i="1"/>
  <c r="AM274" i="1" s="1"/>
  <c r="AH273" i="1"/>
  <c r="AG273" i="1"/>
  <c r="AF273" i="1"/>
  <c r="AE273" i="1"/>
  <c r="AD273" i="1"/>
  <c r="AC273" i="1"/>
  <c r="AB273" i="1"/>
  <c r="AL273" i="1" s="1"/>
  <c r="AH272" i="1"/>
  <c r="AG272" i="1"/>
  <c r="AF272" i="1"/>
  <c r="AE272" i="1"/>
  <c r="AD272" i="1"/>
  <c r="AC272" i="1"/>
  <c r="AB272" i="1"/>
  <c r="H629" i="4"/>
  <c r="G629" i="4"/>
  <c r="F629" i="4"/>
  <c r="E629" i="4"/>
  <c r="D629" i="4"/>
  <c r="C629" i="4"/>
  <c r="B629" i="4"/>
  <c r="AL274" i="1"/>
  <c r="L272" i="1"/>
  <c r="M272" i="1"/>
  <c r="L273" i="1"/>
  <c r="L274" i="1"/>
  <c r="L275" i="1"/>
  <c r="AH271" i="1"/>
  <c r="AN271" i="1" s="1"/>
  <c r="AG271" i="1"/>
  <c r="AF271" i="1"/>
  <c r="AL271" i="1" s="1"/>
  <c r="AE271" i="1"/>
  <c r="AK271" i="1" s="1"/>
  <c r="AD271" i="1"/>
  <c r="AJ271" i="1" s="1"/>
  <c r="AC271" i="1"/>
  <c r="AI271" i="1" s="1"/>
  <c r="AB271" i="1"/>
  <c r="AM271" i="1"/>
  <c r="L271" i="1"/>
  <c r="M271" i="1"/>
  <c r="AH270" i="1"/>
  <c r="AG270" i="1"/>
  <c r="AF270" i="1"/>
  <c r="AE270" i="1"/>
  <c r="AD270" i="1"/>
  <c r="AC270" i="1"/>
  <c r="AI270" i="1" s="1"/>
  <c r="AB270" i="1"/>
  <c r="AJ270" i="1" s="1"/>
  <c r="AH269" i="1"/>
  <c r="AG269" i="1"/>
  <c r="AF269" i="1"/>
  <c r="AE269" i="1"/>
  <c r="AD269" i="1"/>
  <c r="AC269" i="1"/>
  <c r="AB269" i="1"/>
  <c r="AL269" i="1" s="1"/>
  <c r="C625" i="4"/>
  <c r="D625" i="4"/>
  <c r="E625" i="4"/>
  <c r="F625" i="4"/>
  <c r="G625" i="4"/>
  <c r="H625" i="4"/>
  <c r="B625" i="4"/>
  <c r="AH268" i="1"/>
  <c r="AG268" i="1"/>
  <c r="AF268" i="1"/>
  <c r="AE268" i="1"/>
  <c r="AD268" i="1"/>
  <c r="AC268" i="1"/>
  <c r="AB268" i="1"/>
  <c r="AH267" i="1"/>
  <c r="AG267" i="1"/>
  <c r="AF267" i="1"/>
  <c r="AE267" i="1"/>
  <c r="AD267" i="1"/>
  <c r="AC267" i="1"/>
  <c r="AB267" i="1"/>
  <c r="M268" i="1" s="1"/>
  <c r="C624" i="4"/>
  <c r="D624" i="4"/>
  <c r="E624" i="4"/>
  <c r="F624" i="4"/>
  <c r="G624" i="4"/>
  <c r="H624" i="4"/>
  <c r="B624" i="4"/>
  <c r="L269" i="1"/>
  <c r="L270" i="1"/>
  <c r="AJ269" i="1"/>
  <c r="AK269" i="1"/>
  <c r="AN269" i="1"/>
  <c r="AY268" i="1"/>
  <c r="BG268" i="1"/>
  <c r="L268" i="1"/>
  <c r="AH266" i="1"/>
  <c r="AG266" i="1"/>
  <c r="AF266" i="1"/>
  <c r="AE266" i="1"/>
  <c r="AD266" i="1"/>
  <c r="AC266" i="1"/>
  <c r="AB266" i="1"/>
  <c r="AI266" i="1" s="1"/>
  <c r="AH265" i="1"/>
  <c r="AG265" i="1"/>
  <c r="AF265" i="1"/>
  <c r="AL265" i="1" s="1"/>
  <c r="AE265" i="1"/>
  <c r="AD265" i="1"/>
  <c r="AC265" i="1"/>
  <c r="AB265" i="1"/>
  <c r="AN265" i="1"/>
  <c r="L266" i="1"/>
  <c r="M266" i="1"/>
  <c r="L267" i="1"/>
  <c r="L265" i="1"/>
  <c r="AH264" i="1"/>
  <c r="AG264" i="1"/>
  <c r="AF264" i="1"/>
  <c r="AE264" i="1"/>
  <c r="AD264" i="1"/>
  <c r="AJ264" i="1" s="1"/>
  <c r="AC264" i="1"/>
  <c r="AB264" i="1"/>
  <c r="M265" i="1" s="1"/>
  <c r="L264" i="1"/>
  <c r="AH263" i="1"/>
  <c r="AG263" i="1"/>
  <c r="AF263" i="1"/>
  <c r="AE263" i="1"/>
  <c r="AD263" i="1"/>
  <c r="AJ263" i="1" s="1"/>
  <c r="AC263" i="1"/>
  <c r="AI263" i="1" s="1"/>
  <c r="AB263" i="1"/>
  <c r="AN263" i="1" s="1"/>
  <c r="AH262" i="1"/>
  <c r="AG262" i="1"/>
  <c r="AF262" i="1"/>
  <c r="AE262" i="1"/>
  <c r="AD262" i="1"/>
  <c r="AC262" i="1"/>
  <c r="AB262" i="1"/>
  <c r="M263" i="1" s="1"/>
  <c r="L263" i="1"/>
  <c r="C620" i="4"/>
  <c r="D620" i="4"/>
  <c r="E620" i="4"/>
  <c r="F620" i="4"/>
  <c r="G620" i="4"/>
  <c r="H620" i="4"/>
  <c r="B620" i="4"/>
  <c r="L262" i="1"/>
  <c r="AH261" i="1"/>
  <c r="AG261" i="1"/>
  <c r="AF261" i="1"/>
  <c r="AE261" i="1"/>
  <c r="AD261" i="1"/>
  <c r="AC261" i="1"/>
  <c r="AB261" i="1"/>
  <c r="M262" i="1" s="1"/>
  <c r="AH260" i="1"/>
  <c r="AG260" i="1"/>
  <c r="AE260" i="1"/>
  <c r="AK260" i="1" s="1"/>
  <c r="AD260" i="1"/>
  <c r="AC260" i="1"/>
  <c r="AI260" i="1" s="1"/>
  <c r="AB260" i="1"/>
  <c r="AH259" i="1"/>
  <c r="AG259" i="1"/>
  <c r="AF259" i="1"/>
  <c r="AE259" i="1"/>
  <c r="AK259" i="1" s="1"/>
  <c r="AD259" i="1"/>
  <c r="AC259" i="1"/>
  <c r="AI259" i="1" s="1"/>
  <c r="AB259" i="1"/>
  <c r="AN259" i="1" s="1"/>
  <c r="AF260" i="1"/>
  <c r="L261" i="1"/>
  <c r="M261" i="1"/>
  <c r="L260" i="1"/>
  <c r="L259" i="1"/>
  <c r="AH256" i="1"/>
  <c r="AG256" i="1"/>
  <c r="AM256" i="1" s="1"/>
  <c r="AF256" i="1"/>
  <c r="AL256" i="1" s="1"/>
  <c r="AE256" i="1"/>
  <c r="AK256" i="1" s="1"/>
  <c r="AD256" i="1"/>
  <c r="AC256" i="1"/>
  <c r="AB256" i="1"/>
  <c r="M257" i="1" s="1"/>
  <c r="AH258" i="1"/>
  <c r="AG258" i="1"/>
  <c r="AF258" i="1"/>
  <c r="AE258" i="1"/>
  <c r="AD258" i="1"/>
  <c r="AC258" i="1"/>
  <c r="AB258" i="1"/>
  <c r="AK258" i="1" s="1"/>
  <c r="AH257" i="1"/>
  <c r="AG257" i="1"/>
  <c r="AF257" i="1"/>
  <c r="AE257" i="1"/>
  <c r="AD257" i="1"/>
  <c r="AJ257" i="1" s="1"/>
  <c r="AC257" i="1"/>
  <c r="AB257" i="1"/>
  <c r="AL257" i="1" s="1"/>
  <c r="AI256" i="1"/>
  <c r="L258" i="1"/>
  <c r="L257" i="1"/>
  <c r="L256" i="1"/>
  <c r="M256" i="1"/>
  <c r="AK255" i="1"/>
  <c r="AL255" i="1"/>
  <c r="AH255" i="1"/>
  <c r="AN255" i="1" s="1"/>
  <c r="AG255" i="1"/>
  <c r="AM255" i="1" s="1"/>
  <c r="AF255" i="1"/>
  <c r="AE255" i="1"/>
  <c r="AD255" i="1"/>
  <c r="AJ255" i="1" s="1"/>
  <c r="AC255" i="1"/>
  <c r="AI255" i="1" s="1"/>
  <c r="AB255" i="1"/>
  <c r="L255" i="1"/>
  <c r="M255" i="1"/>
  <c r="AH254" i="1"/>
  <c r="AN254" i="1" s="1"/>
  <c r="AG254" i="1"/>
  <c r="AF254" i="1"/>
  <c r="AL254" i="1" s="1"/>
  <c r="AE254" i="1"/>
  <c r="AK254" i="1" s="1"/>
  <c r="AD254" i="1"/>
  <c r="AC254" i="1"/>
  <c r="AB254" i="1"/>
  <c r="L254" i="1"/>
  <c r="M254" i="1"/>
  <c r="AH253" i="1"/>
  <c r="AG253" i="1"/>
  <c r="AF253" i="1"/>
  <c r="AE253" i="1"/>
  <c r="AD253" i="1"/>
  <c r="AC253" i="1"/>
  <c r="AB253" i="1"/>
  <c r="AK253" i="1"/>
  <c r="AI252" i="1"/>
  <c r="AK252" i="1"/>
  <c r="AH252" i="1"/>
  <c r="AN252" i="1" s="1"/>
  <c r="AG252" i="1"/>
  <c r="AM252" i="1" s="1"/>
  <c r="AF252" i="1"/>
  <c r="AL252" i="1" s="1"/>
  <c r="AE252" i="1"/>
  <c r="AD252" i="1"/>
  <c r="AJ252" i="1" s="1"/>
  <c r="AC252" i="1"/>
  <c r="AB252" i="1"/>
  <c r="M253" i="1" s="1"/>
  <c r="C599" i="4"/>
  <c r="D599" i="4"/>
  <c r="E599" i="4"/>
  <c r="F599" i="4"/>
  <c r="G599" i="4"/>
  <c r="H599" i="4"/>
  <c r="B599" i="4"/>
  <c r="L253" i="1"/>
  <c r="L252" i="1"/>
  <c r="M252" i="1"/>
  <c r="AS251" i="1"/>
  <c r="AI251" i="1"/>
  <c r="AK251" i="1"/>
  <c r="AH251" i="1"/>
  <c r="AN251" i="1" s="1"/>
  <c r="AG251" i="1"/>
  <c r="AM251" i="1" s="1"/>
  <c r="AF251" i="1"/>
  <c r="AL251" i="1" s="1"/>
  <c r="AE251" i="1"/>
  <c r="AD251" i="1"/>
  <c r="AJ251" i="1" s="1"/>
  <c r="AC251" i="1"/>
  <c r="AB251" i="1"/>
  <c r="L251" i="1"/>
  <c r="M251" i="1"/>
  <c r="AH250" i="1"/>
  <c r="AG250" i="1"/>
  <c r="AM250" i="1" s="1"/>
  <c r="AF250" i="1"/>
  <c r="AE250" i="1"/>
  <c r="AK250" i="1" s="1"/>
  <c r="AD250" i="1"/>
  <c r="AC250" i="1"/>
  <c r="AB250" i="1"/>
  <c r="AS250" i="1"/>
  <c r="AJ250" i="1"/>
  <c r="AL250" i="1"/>
  <c r="AN250" i="1"/>
  <c r="AH249" i="1"/>
  <c r="AG249" i="1"/>
  <c r="AF249" i="1"/>
  <c r="AE249" i="1"/>
  <c r="AK249" i="1" s="1"/>
  <c r="AD249" i="1"/>
  <c r="AJ249" i="1" s="1"/>
  <c r="AC249" i="1"/>
  <c r="AB249" i="1"/>
  <c r="AN249" i="1" s="1"/>
  <c r="L250" i="1"/>
  <c r="AH248" i="1"/>
  <c r="AG248" i="1"/>
  <c r="AF248" i="1"/>
  <c r="AE248" i="1"/>
  <c r="AD248" i="1"/>
  <c r="AC248" i="1"/>
  <c r="AB248" i="1"/>
  <c r="AJ248" i="1" s="1"/>
  <c r="L249" i="1"/>
  <c r="L248" i="1"/>
  <c r="M248" i="1"/>
  <c r="AH247" i="1"/>
  <c r="AG247" i="1"/>
  <c r="AF247" i="1"/>
  <c r="AE247" i="1"/>
  <c r="AD247" i="1"/>
  <c r="AC247" i="1"/>
  <c r="AB247" i="1"/>
  <c r="AU247" i="1"/>
  <c r="AD246" i="1"/>
  <c r="L247" i="1"/>
  <c r="M247" i="1"/>
  <c r="AH246" i="1"/>
  <c r="AG246" i="1"/>
  <c r="AF246" i="1"/>
  <c r="AE246" i="1"/>
  <c r="AC246" i="1"/>
  <c r="AB246" i="1"/>
  <c r="AI245" i="1"/>
  <c r="AJ245" i="1"/>
  <c r="AH245" i="1"/>
  <c r="AN245" i="1" s="1"/>
  <c r="AG245" i="1"/>
  <c r="AM245" i="1" s="1"/>
  <c r="AF245" i="1"/>
  <c r="AL245" i="1" s="1"/>
  <c r="AE245" i="1"/>
  <c r="AK245" i="1" s="1"/>
  <c r="AD245" i="1"/>
  <c r="AC245" i="1"/>
  <c r="AB245" i="1"/>
  <c r="M246" i="1" s="1"/>
  <c r="L246" i="1"/>
  <c r="L245" i="1"/>
  <c r="M245" i="1"/>
  <c r="AH244" i="1"/>
  <c r="AG244" i="1"/>
  <c r="AM244" i="1" s="1"/>
  <c r="AF244" i="1"/>
  <c r="AE244" i="1"/>
  <c r="AD244" i="1"/>
  <c r="AC244" i="1"/>
  <c r="AB244" i="1"/>
  <c r="AI295" i="1" l="1"/>
  <c r="AN295" i="1"/>
  <c r="AM295" i="1"/>
  <c r="AK295" i="1"/>
  <c r="AJ295" i="1"/>
  <c r="AM294" i="1"/>
  <c r="AL294" i="1"/>
  <c r="M260" i="1"/>
  <c r="AJ258" i="1"/>
  <c r="AI264" i="1"/>
  <c r="AI273" i="1"/>
  <c r="AJ275" i="1"/>
  <c r="AL279" i="1"/>
  <c r="AM281" i="1"/>
  <c r="AL292" i="1"/>
  <c r="AK291" i="1"/>
  <c r="AJ293" i="1"/>
  <c r="AJ244" i="1"/>
  <c r="AL249" i="1"/>
  <c r="AI253" i="1"/>
  <c r="AN256" i="1"/>
  <c r="AM259" i="1"/>
  <c r="M264" i="1"/>
  <c r="AJ273" i="1"/>
  <c r="M282" i="1"/>
  <c r="M277" i="1"/>
  <c r="AN287" i="1"/>
  <c r="AM249" i="1"/>
  <c r="M259" i="1"/>
  <c r="AK265" i="1"/>
  <c r="AK273" i="1"/>
  <c r="AJ281" i="1"/>
  <c r="AJ291" i="1"/>
  <c r="AM263" i="1"/>
  <c r="AL263" i="1"/>
  <c r="AI249" i="1"/>
  <c r="AN257" i="1"/>
  <c r="AI257" i="1"/>
  <c r="AJ259" i="1"/>
  <c r="AK263" i="1"/>
  <c r="AL285" i="1"/>
  <c r="M270" i="1"/>
  <c r="AK274" i="1"/>
  <c r="AI275" i="1"/>
  <c r="M278" i="1"/>
  <c r="AJ285" i="1"/>
  <c r="AI293" i="1"/>
  <c r="AI244" i="1"/>
  <c r="AK257" i="1"/>
  <c r="AL259" i="1"/>
  <c r="AN268" i="1"/>
  <c r="AL244" i="1"/>
  <c r="M250" i="1"/>
  <c r="AJ278" i="1"/>
  <c r="M284" i="1"/>
  <c r="AM292" i="1"/>
  <c r="AL293" i="1"/>
  <c r="AN293" i="1"/>
  <c r="AM293" i="1"/>
  <c r="AI292" i="1"/>
  <c r="AJ290" i="1"/>
  <c r="AI290" i="1"/>
  <c r="AL291" i="1"/>
  <c r="AK290" i="1"/>
  <c r="AN290" i="1"/>
  <c r="AM290" i="1"/>
  <c r="AL290" i="1"/>
  <c r="AN289" i="1"/>
  <c r="M290" i="1"/>
  <c r="AM289" i="1"/>
  <c r="AK289" i="1"/>
  <c r="AJ289" i="1"/>
  <c r="AN288" i="1"/>
  <c r="AM288" i="1"/>
  <c r="AJ288" i="1"/>
  <c r="AI288" i="1"/>
  <c r="M289" i="1"/>
  <c r="AN286" i="1"/>
  <c r="AM286" i="1"/>
  <c r="AL286" i="1"/>
  <c r="AK286" i="1"/>
  <c r="AJ286" i="1"/>
  <c r="M286" i="1"/>
  <c r="AN285" i="1"/>
  <c r="AM285" i="1"/>
  <c r="AI284" i="1"/>
  <c r="AL284" i="1"/>
  <c r="AN284" i="1"/>
  <c r="AM284" i="1"/>
  <c r="AK284" i="1"/>
  <c r="AN283" i="1"/>
  <c r="AM283" i="1"/>
  <c r="AL283" i="1"/>
  <c r="AK283" i="1"/>
  <c r="AI282" i="1"/>
  <c r="AM282" i="1"/>
  <c r="AL282" i="1"/>
  <c r="AK282" i="1"/>
  <c r="AJ282" i="1"/>
  <c r="AI281" i="1"/>
  <c r="AN281" i="1"/>
  <c r="AL280" i="1"/>
  <c r="AK280" i="1"/>
  <c r="AJ280" i="1"/>
  <c r="AM279" i="1"/>
  <c r="AN279" i="1"/>
  <c r="AK278" i="1"/>
  <c r="AL278" i="1"/>
  <c r="AN277" i="1"/>
  <c r="AM277" i="1"/>
  <c r="AL277" i="1"/>
  <c r="AK277" i="1"/>
  <c r="AL276" i="1"/>
  <c r="AN276" i="1"/>
  <c r="AM276" i="1"/>
  <c r="AN275" i="1"/>
  <c r="AL275" i="1"/>
  <c r="AM275" i="1"/>
  <c r="AK275" i="1"/>
  <c r="M275" i="1"/>
  <c r="AI274" i="1"/>
  <c r="AJ274" i="1"/>
  <c r="AN274" i="1"/>
  <c r="AN273" i="1"/>
  <c r="M274" i="1"/>
  <c r="AM273" i="1"/>
  <c r="AJ272" i="1"/>
  <c r="AN272" i="1"/>
  <c r="M273" i="1"/>
  <c r="AI272" i="1"/>
  <c r="AK272" i="1"/>
  <c r="AM272" i="1"/>
  <c r="AL272" i="1"/>
  <c r="AN270" i="1"/>
  <c r="AM270" i="1"/>
  <c r="AK270" i="1"/>
  <c r="AL270" i="1"/>
  <c r="AI269" i="1"/>
  <c r="AM269" i="1"/>
  <c r="AM268" i="1"/>
  <c r="AL268" i="1"/>
  <c r="M269" i="1"/>
  <c r="AK268" i="1"/>
  <c r="AJ268" i="1"/>
  <c r="AI268" i="1"/>
  <c r="AI267" i="1"/>
  <c r="AJ267" i="1"/>
  <c r="AN267" i="1"/>
  <c r="AL267" i="1"/>
  <c r="AM267" i="1"/>
  <c r="AK267" i="1"/>
  <c r="AN266" i="1"/>
  <c r="AL266" i="1"/>
  <c r="AM266" i="1"/>
  <c r="AK266" i="1"/>
  <c r="AJ266" i="1"/>
  <c r="M267" i="1"/>
  <c r="AJ265" i="1"/>
  <c r="AI265" i="1"/>
  <c r="AM265" i="1"/>
  <c r="AN264" i="1"/>
  <c r="AM264" i="1"/>
  <c r="AL264" i="1"/>
  <c r="AK264" i="1"/>
  <c r="AK262" i="1"/>
  <c r="AL262" i="1"/>
  <c r="AJ262" i="1"/>
  <c r="AI262" i="1"/>
  <c r="AN262" i="1"/>
  <c r="AM262" i="1"/>
  <c r="AI261" i="1"/>
  <c r="AM261" i="1"/>
  <c r="AL261" i="1"/>
  <c r="AN261" i="1"/>
  <c r="AK261" i="1"/>
  <c r="AJ261" i="1"/>
  <c r="AN260" i="1"/>
  <c r="AJ260" i="1"/>
  <c r="AM260" i="1"/>
  <c r="AL260" i="1"/>
  <c r="AJ256" i="1"/>
  <c r="AI258" i="1"/>
  <c r="AN258" i="1"/>
  <c r="AM258" i="1"/>
  <c r="AL258" i="1"/>
  <c r="AM257" i="1"/>
  <c r="M258" i="1"/>
  <c r="AI254" i="1"/>
  <c r="AJ254" i="1"/>
  <c r="AM254" i="1"/>
  <c r="AM253" i="1"/>
  <c r="AJ253" i="1"/>
  <c r="AL253" i="1"/>
  <c r="AN253" i="1"/>
  <c r="AI250" i="1"/>
  <c r="AN248" i="1"/>
  <c r="AL248" i="1"/>
  <c r="AI248" i="1"/>
  <c r="M249" i="1"/>
  <c r="AM248" i="1"/>
  <c r="AK248" i="1"/>
  <c r="AI247" i="1"/>
  <c r="AN247" i="1"/>
  <c r="AK247" i="1"/>
  <c r="AJ247" i="1"/>
  <c r="AM247" i="1"/>
  <c r="AL247" i="1"/>
  <c r="AM246" i="1"/>
  <c r="AJ246" i="1"/>
  <c r="AI246" i="1"/>
  <c r="AK246" i="1"/>
  <c r="AN246" i="1"/>
  <c r="AL246" i="1"/>
  <c r="AK244" i="1"/>
  <c r="AN244" i="1"/>
  <c r="L244" i="1"/>
  <c r="M244" i="1"/>
  <c r="AH243" i="1"/>
  <c r="AG243" i="1"/>
  <c r="AF243" i="1"/>
  <c r="AE243" i="1"/>
  <c r="AD243" i="1"/>
  <c r="AJ243" i="1" s="1"/>
  <c r="AC243" i="1"/>
  <c r="AI243" i="1" s="1"/>
  <c r="AB243" i="1"/>
  <c r="AU243" i="1"/>
  <c r="L243" i="1"/>
  <c r="M243" i="1"/>
  <c r="AI242" i="1"/>
  <c r="AK242" i="1"/>
  <c r="AH242" i="1"/>
  <c r="AN242" i="1" s="1"/>
  <c r="AG242" i="1"/>
  <c r="AM242" i="1" s="1"/>
  <c r="AF242" i="1"/>
  <c r="AL242" i="1" s="1"/>
  <c r="AE242" i="1"/>
  <c r="AD242" i="1"/>
  <c r="AJ242" i="1" s="1"/>
  <c r="AC242" i="1"/>
  <c r="AB242" i="1"/>
  <c r="L242" i="1"/>
  <c r="M242" i="1"/>
  <c r="AH241" i="1"/>
  <c r="AG241" i="1"/>
  <c r="AF241" i="1"/>
  <c r="AE241" i="1"/>
  <c r="AD241" i="1"/>
  <c r="AC241" i="1"/>
  <c r="AB241" i="1"/>
  <c r="L241" i="1"/>
  <c r="M241" i="1"/>
  <c r="AH240" i="1"/>
  <c r="AG240" i="1"/>
  <c r="AF240" i="1"/>
  <c r="AE240" i="1"/>
  <c r="AD240" i="1"/>
  <c r="AC240" i="1"/>
  <c r="AB240" i="1"/>
  <c r="AK240" i="1" s="1"/>
  <c r="AI240" i="1"/>
  <c r="AJ240" i="1"/>
  <c r="AN240" i="1"/>
  <c r="L240" i="1"/>
  <c r="AH239" i="1"/>
  <c r="AG239" i="1"/>
  <c r="AE239" i="1"/>
  <c r="AK239" i="1" s="1"/>
  <c r="AF239" i="1"/>
  <c r="AC239" i="1"/>
  <c r="AI239" i="1" s="1"/>
  <c r="AB239" i="1"/>
  <c r="M240" i="1" s="1"/>
  <c r="AD239" i="1"/>
  <c r="AJ239" i="1" s="1"/>
  <c r="L239" i="1"/>
  <c r="M239" i="1"/>
  <c r="AI238" i="1"/>
  <c r="AJ238" i="1"/>
  <c r="AH238" i="1"/>
  <c r="AN238" i="1" s="1"/>
  <c r="AG238" i="1"/>
  <c r="AM238" i="1" s="1"/>
  <c r="AF238" i="1"/>
  <c r="AL238" i="1" s="1"/>
  <c r="AE238" i="1"/>
  <c r="AK238" i="1" s="1"/>
  <c r="AD238" i="1"/>
  <c r="AC238" i="1"/>
  <c r="AB238" i="1"/>
  <c r="L238" i="1"/>
  <c r="M238" i="1"/>
  <c r="AI237" i="1"/>
  <c r="AK237" i="1"/>
  <c r="AH237" i="1"/>
  <c r="AN237" i="1" s="1"/>
  <c r="AG237" i="1"/>
  <c r="AM237" i="1" s="1"/>
  <c r="AF237" i="1"/>
  <c r="AL237" i="1" s="1"/>
  <c r="AE237" i="1"/>
  <c r="AD237" i="1"/>
  <c r="AJ237" i="1" s="1"/>
  <c r="AC237" i="1"/>
  <c r="AB237" i="1"/>
  <c r="L237" i="1"/>
  <c r="M237" i="1"/>
  <c r="AK236" i="1"/>
  <c r="AL236" i="1"/>
  <c r="AH236" i="1"/>
  <c r="AN236" i="1" s="1"/>
  <c r="AG236" i="1"/>
  <c r="AM236" i="1" s="1"/>
  <c r="AF236" i="1"/>
  <c r="AE236" i="1"/>
  <c r="AD236" i="1"/>
  <c r="AJ236" i="1" s="1"/>
  <c r="AC236" i="1"/>
  <c r="AI236" i="1" s="1"/>
  <c r="AB236" i="1"/>
  <c r="L236" i="1"/>
  <c r="M236" i="1"/>
  <c r="AH235" i="1"/>
  <c r="AG235" i="1"/>
  <c r="AF235" i="1"/>
  <c r="AE235" i="1"/>
  <c r="AD235" i="1"/>
  <c r="AJ235" i="1" s="1"/>
  <c r="AC235" i="1"/>
  <c r="AB235" i="1"/>
  <c r="AI235" i="1"/>
  <c r="L235" i="1"/>
  <c r="M235" i="1"/>
  <c r="AH234" i="1"/>
  <c r="AN234" i="1" s="1"/>
  <c r="AG234" i="1"/>
  <c r="AM234" i="1" s="1"/>
  <c r="AF234" i="1"/>
  <c r="AE234" i="1"/>
  <c r="AD234" i="1"/>
  <c r="AC234" i="1"/>
  <c r="AB234" i="1"/>
  <c r="AI234" i="1" s="1"/>
  <c r="AH233" i="1"/>
  <c r="AG233" i="1"/>
  <c r="AF233" i="1"/>
  <c r="AE233" i="1"/>
  <c r="AD233" i="1"/>
  <c r="AC233" i="1"/>
  <c r="AB233" i="1"/>
  <c r="AJ233" i="1" s="1"/>
  <c r="AJ234" i="1"/>
  <c r="AK234" i="1"/>
  <c r="AL234" i="1"/>
  <c r="L234" i="1"/>
  <c r="L233" i="1"/>
  <c r="M233" i="1"/>
  <c r="AH232" i="1"/>
  <c r="AG232" i="1"/>
  <c r="AM232" i="1" s="1"/>
  <c r="AF232" i="1"/>
  <c r="AE232" i="1"/>
  <c r="AD232" i="1"/>
  <c r="AC232" i="1"/>
  <c r="AB232" i="1"/>
  <c r="AI230" i="1"/>
  <c r="AJ230" i="1"/>
  <c r="AL230" i="1"/>
  <c r="AI231" i="1"/>
  <c r="AM231" i="1"/>
  <c r="AN231" i="1"/>
  <c r="L232" i="1"/>
  <c r="M232" i="1"/>
  <c r="AH231" i="1"/>
  <c r="AG231" i="1"/>
  <c r="AF231" i="1"/>
  <c r="AL231" i="1" s="1"/>
  <c r="AE231" i="1"/>
  <c r="AK231" i="1" s="1"/>
  <c r="AD231" i="1"/>
  <c r="AJ231" i="1" s="1"/>
  <c r="AC231" i="1"/>
  <c r="AB231" i="1"/>
  <c r="L231" i="1"/>
  <c r="M231" i="1"/>
  <c r="AH230" i="1"/>
  <c r="AN230" i="1" s="1"/>
  <c r="AG230" i="1"/>
  <c r="AM230" i="1" s="1"/>
  <c r="AF230" i="1"/>
  <c r="AE230" i="1"/>
  <c r="AK230" i="1" s="1"/>
  <c r="AD230" i="1"/>
  <c r="AC230" i="1"/>
  <c r="AB230" i="1"/>
  <c r="L230" i="1"/>
  <c r="M230" i="1"/>
  <c r="AH229" i="1"/>
  <c r="AG229" i="1"/>
  <c r="AM229" i="1" s="1"/>
  <c r="AF229" i="1"/>
  <c r="AL229" i="1" s="1"/>
  <c r="AE229" i="1"/>
  <c r="AD229" i="1"/>
  <c r="AC229" i="1"/>
  <c r="AB229" i="1"/>
  <c r="AJ229" i="1"/>
  <c r="AN229" i="1"/>
  <c r="C555" i="4"/>
  <c r="D555" i="4"/>
  <c r="E555" i="4"/>
  <c r="F555" i="4"/>
  <c r="G555" i="4"/>
  <c r="H555" i="4"/>
  <c r="B555" i="4"/>
  <c r="L229" i="1"/>
  <c r="AH228" i="1"/>
  <c r="AN228" i="1" s="1"/>
  <c r="AG228" i="1"/>
  <c r="AF228" i="1"/>
  <c r="AE228" i="1"/>
  <c r="AD228" i="1"/>
  <c r="AJ228" i="1" s="1"/>
  <c r="AC228" i="1"/>
  <c r="AI228" i="1" s="1"/>
  <c r="AB228" i="1"/>
  <c r="M229" i="1" s="1"/>
  <c r="L228" i="1"/>
  <c r="M228" i="1"/>
  <c r="AH227" i="1"/>
  <c r="AG227" i="1"/>
  <c r="AF227" i="1"/>
  <c r="AE227" i="1"/>
  <c r="AD227" i="1"/>
  <c r="AC227" i="1"/>
  <c r="AB227" i="1"/>
  <c r="M227" i="1"/>
  <c r="L227" i="1"/>
  <c r="AH226" i="1"/>
  <c r="AN226" i="1" s="1"/>
  <c r="AG226" i="1"/>
  <c r="AF226" i="1"/>
  <c r="AE226" i="1"/>
  <c r="AD226" i="1"/>
  <c r="AJ226" i="1" s="1"/>
  <c r="AC226" i="1"/>
  <c r="AI226" i="1" s="1"/>
  <c r="AB226" i="1"/>
  <c r="AK226" i="1" s="1"/>
  <c r="L226" i="1"/>
  <c r="AC221" i="1"/>
  <c r="AH225" i="1"/>
  <c r="AG225" i="1"/>
  <c r="AF225" i="1"/>
  <c r="AE225" i="1"/>
  <c r="AD225" i="1"/>
  <c r="AC225" i="1"/>
  <c r="AB225" i="1"/>
  <c r="AN225" i="1" s="1"/>
  <c r="L225" i="1"/>
  <c r="H551" i="4"/>
  <c r="G551" i="4"/>
  <c r="F551" i="4"/>
  <c r="E551" i="4"/>
  <c r="D551" i="4"/>
  <c r="C551" i="4"/>
  <c r="B551" i="4"/>
  <c r="AN224" i="1"/>
  <c r="AH224" i="1"/>
  <c r="AF224" i="1"/>
  <c r="AG224" i="1"/>
  <c r="AE224" i="1"/>
  <c r="AD224" i="1"/>
  <c r="AJ224" i="1" s="1"/>
  <c r="AC224" i="1"/>
  <c r="AI224" i="1" s="1"/>
  <c r="AB224" i="1"/>
  <c r="M225" i="1" s="1"/>
  <c r="C550" i="4"/>
  <c r="D550" i="4"/>
  <c r="E550" i="4"/>
  <c r="F550" i="4"/>
  <c r="G550" i="4"/>
  <c r="H550" i="4"/>
  <c r="B550" i="4"/>
  <c r="L224" i="1"/>
  <c r="M224" i="1"/>
  <c r="AH223" i="1"/>
  <c r="AG223" i="1"/>
  <c r="AF223" i="1"/>
  <c r="AE223" i="1"/>
  <c r="AD223" i="1"/>
  <c r="AC223" i="1"/>
  <c r="AB223" i="1"/>
  <c r="C545" i="4"/>
  <c r="D545" i="4"/>
  <c r="E545" i="4"/>
  <c r="F545" i="4"/>
  <c r="G545" i="4"/>
  <c r="H545" i="4"/>
  <c r="B545" i="4"/>
  <c r="L223" i="1"/>
  <c r="M223" i="1"/>
  <c r="AH222" i="1"/>
  <c r="AN222" i="1" s="1"/>
  <c r="AG222" i="1"/>
  <c r="AM222" i="1" s="1"/>
  <c r="AF222" i="1"/>
  <c r="AE222" i="1"/>
  <c r="AD222" i="1"/>
  <c r="AJ222" i="1" s="1"/>
  <c r="AC222" i="1"/>
  <c r="AI222" i="1" s="1"/>
  <c r="AB222" i="1"/>
  <c r="AL222" i="1" s="1"/>
  <c r="L222" i="1"/>
  <c r="M222" i="1"/>
  <c r="AI221" i="1"/>
  <c r="AH221" i="1"/>
  <c r="AN221" i="1" s="1"/>
  <c r="AG221" i="1"/>
  <c r="AM221" i="1" s="1"/>
  <c r="AF221" i="1"/>
  <c r="AL221" i="1" s="1"/>
  <c r="AE221" i="1"/>
  <c r="AD221" i="1"/>
  <c r="AJ221" i="1" s="1"/>
  <c r="AB221" i="1"/>
  <c r="AK221" i="1" s="1"/>
  <c r="L221" i="1"/>
  <c r="M221" i="1"/>
  <c r="AI220" i="1"/>
  <c r="AK220" i="1"/>
  <c r="AH220" i="1"/>
  <c r="AN220" i="1" s="1"/>
  <c r="AG220" i="1"/>
  <c r="AM220" i="1" s="1"/>
  <c r="AF220" i="1"/>
  <c r="AL220" i="1" s="1"/>
  <c r="AE220" i="1"/>
  <c r="AD220" i="1"/>
  <c r="AJ220" i="1" s="1"/>
  <c r="AC220" i="1"/>
  <c r="AB220" i="1"/>
  <c r="L220" i="1"/>
  <c r="M220" i="1"/>
  <c r="AH219" i="1"/>
  <c r="AF219" i="1"/>
  <c r="AE219" i="1"/>
  <c r="AD219" i="1"/>
  <c r="AC219" i="1"/>
  <c r="AB219" i="1"/>
  <c r="AG219" i="1"/>
  <c r="AH218" i="1"/>
  <c r="AN218" i="1" s="1"/>
  <c r="AG218" i="1"/>
  <c r="AF218" i="1"/>
  <c r="AE218" i="1"/>
  <c r="AD218" i="1"/>
  <c r="AJ218" i="1" s="1"/>
  <c r="AC218" i="1"/>
  <c r="AI218" i="1" s="1"/>
  <c r="AB218" i="1"/>
  <c r="M219" i="1" s="1"/>
  <c r="L219" i="1"/>
  <c r="L218" i="1"/>
  <c r="AH217" i="1"/>
  <c r="AN217" i="1" s="1"/>
  <c r="AG217" i="1"/>
  <c r="AF217" i="1"/>
  <c r="AE217" i="1"/>
  <c r="AD217" i="1"/>
  <c r="AJ217" i="1" s="1"/>
  <c r="AC217" i="1"/>
  <c r="AI217" i="1" s="1"/>
  <c r="AB217" i="1"/>
  <c r="AL217" i="1" s="1"/>
  <c r="C540" i="4"/>
  <c r="D540" i="4"/>
  <c r="E540" i="4"/>
  <c r="F540" i="4"/>
  <c r="G540" i="4"/>
  <c r="H540" i="4"/>
  <c r="B540" i="4"/>
  <c r="L217" i="1"/>
  <c r="AH216" i="1"/>
  <c r="AG216" i="1"/>
  <c r="AF216" i="1"/>
  <c r="AE216" i="1"/>
  <c r="AD216" i="1"/>
  <c r="AC216" i="1"/>
  <c r="AB216" i="1"/>
  <c r="M217" i="1" s="1"/>
  <c r="AH215" i="1"/>
  <c r="AG215" i="1"/>
  <c r="AF215" i="1"/>
  <c r="AE215" i="1"/>
  <c r="AD215" i="1"/>
  <c r="AC215" i="1"/>
  <c r="AB215" i="1"/>
  <c r="AI215" i="1" s="1"/>
  <c r="L216" i="1"/>
  <c r="AH214" i="1"/>
  <c r="AG214" i="1"/>
  <c r="AF214" i="1"/>
  <c r="AE214" i="1"/>
  <c r="AD214" i="1"/>
  <c r="AC214" i="1"/>
  <c r="AB214" i="1"/>
  <c r="M215" i="1" s="1"/>
  <c r="L215" i="1"/>
  <c r="L214" i="1"/>
  <c r="M214" i="1"/>
  <c r="AK213" i="1"/>
  <c r="AL213" i="1"/>
  <c r="AH213" i="1"/>
  <c r="AN213" i="1" s="1"/>
  <c r="AG213" i="1"/>
  <c r="AM213" i="1" s="1"/>
  <c r="AF213" i="1"/>
  <c r="AE213" i="1"/>
  <c r="AD213" i="1"/>
  <c r="AJ213" i="1" s="1"/>
  <c r="AC213" i="1"/>
  <c r="AI213" i="1" s="1"/>
  <c r="AB213" i="1"/>
  <c r="C525" i="4"/>
  <c r="D525" i="4"/>
  <c r="E525" i="4"/>
  <c r="F525" i="4"/>
  <c r="G525" i="4"/>
  <c r="H525" i="4"/>
  <c r="B525" i="4"/>
  <c r="C524" i="4"/>
  <c r="D524" i="4"/>
  <c r="E524" i="4"/>
  <c r="F524" i="4"/>
  <c r="G524" i="4"/>
  <c r="H524" i="4"/>
  <c r="B524" i="4"/>
  <c r="H523" i="4"/>
  <c r="G523" i="4"/>
  <c r="F523" i="4"/>
  <c r="E523" i="4"/>
  <c r="D523" i="4"/>
  <c r="C523" i="4"/>
  <c r="B523" i="4"/>
  <c r="L213" i="1"/>
  <c r="M213" i="1"/>
  <c r="AH212" i="1"/>
  <c r="AN212" i="1" s="1"/>
  <c r="AG212" i="1"/>
  <c r="AM212" i="1" s="1"/>
  <c r="AF212" i="1"/>
  <c r="AE212" i="1"/>
  <c r="AD212" i="1"/>
  <c r="AJ212" i="1" s="1"/>
  <c r="AC212" i="1"/>
  <c r="AI212" i="1" s="1"/>
  <c r="AB212" i="1"/>
  <c r="AK212" i="1" s="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H210" i="1"/>
  <c r="AN210" i="1" s="1"/>
  <c r="AG210" i="1"/>
  <c r="AM210" i="1" s="1"/>
  <c r="AF210" i="1"/>
  <c r="AL210" i="1" s="1"/>
  <c r="AE210" i="1"/>
  <c r="AK210" i="1" s="1"/>
  <c r="AD210" i="1"/>
  <c r="AC210" i="1"/>
  <c r="AB210" i="1"/>
  <c r="C514" i="4"/>
  <c r="D514" i="4"/>
  <c r="E514" i="4"/>
  <c r="F514" i="4"/>
  <c r="G514" i="4"/>
  <c r="H514" i="4"/>
  <c r="B514" i="4"/>
  <c r="L210" i="1"/>
  <c r="M210" i="1"/>
  <c r="AK209" i="1"/>
  <c r="AL209" i="1"/>
  <c r="AH209" i="1"/>
  <c r="AN209" i="1" s="1"/>
  <c r="AG209" i="1"/>
  <c r="AM209" i="1" s="1"/>
  <c r="AF209" i="1"/>
  <c r="AE209" i="1"/>
  <c r="AD209" i="1"/>
  <c r="AJ209" i="1" s="1"/>
  <c r="AC209" i="1"/>
  <c r="AI209" i="1" s="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AN207" i="1"/>
  <c r="AH207" i="1"/>
  <c r="AG207" i="1"/>
  <c r="AF207" i="1"/>
  <c r="AE207" i="1"/>
  <c r="AD207" i="1"/>
  <c r="AJ207" i="1" s="1"/>
  <c r="AC207" i="1"/>
  <c r="AI207" i="1" s="1"/>
  <c r="AB207" i="1"/>
  <c r="M208" i="1" s="1"/>
  <c r="C507" i="4"/>
  <c r="B507" i="4"/>
  <c r="L207" i="1"/>
  <c r="AH206" i="1"/>
  <c r="AN206" i="1" s="1"/>
  <c r="AG206" i="1"/>
  <c r="AF206" i="1"/>
  <c r="AE206" i="1"/>
  <c r="AD206" i="1"/>
  <c r="AJ206" i="1" s="1"/>
  <c r="AC206" i="1"/>
  <c r="AI206" i="1" s="1"/>
  <c r="AB206" i="1"/>
  <c r="M207" i="1" s="1"/>
  <c r="L206" i="1"/>
  <c r="AN205" i="1"/>
  <c r="AH205" i="1"/>
  <c r="AG205" i="1"/>
  <c r="AF205" i="1"/>
  <c r="AE205" i="1"/>
  <c r="AD205" i="1"/>
  <c r="AJ205" i="1" s="1"/>
  <c r="AC205" i="1"/>
  <c r="AI205" i="1" s="1"/>
  <c r="AB205" i="1"/>
  <c r="AK205" i="1" s="1"/>
  <c r="AM218" i="1" l="1"/>
  <c r="M226" i="1"/>
  <c r="AM207" i="1"/>
  <c r="AL218" i="1"/>
  <c r="AL206" i="1"/>
  <c r="AM224" i="1"/>
  <c r="AL205" i="1"/>
  <c r="AK217" i="1"/>
  <c r="AK218" i="1"/>
  <c r="AL224" i="1"/>
  <c r="AM228" i="1"/>
  <c r="AK207" i="1"/>
  <c r="AJ223" i="1"/>
  <c r="AK224" i="1"/>
  <c r="AL226" i="1"/>
  <c r="AL228" i="1"/>
  <c r="AL212" i="1"/>
  <c r="AN232" i="1"/>
  <c r="M218" i="1"/>
  <c r="AK222" i="1"/>
  <c r="M206" i="1"/>
  <c r="AN214" i="1"/>
  <c r="AN219" i="1"/>
  <c r="AN239" i="1"/>
  <c r="AM206" i="1"/>
  <c r="AM217" i="1"/>
  <c r="AM205" i="1"/>
  <c r="AK206" i="1"/>
  <c r="AL207" i="1"/>
  <c r="AM226" i="1"/>
  <c r="AK228" i="1"/>
  <c r="AM239" i="1"/>
  <c r="AM225" i="1"/>
  <c r="AI229" i="1"/>
  <c r="AK229" i="1"/>
  <c r="AK233" i="1"/>
  <c r="AN243" i="1"/>
  <c r="AK243" i="1"/>
  <c r="AM243" i="1"/>
  <c r="AL243" i="1"/>
  <c r="AN241" i="1"/>
  <c r="AI241" i="1"/>
  <c r="AM241" i="1"/>
  <c r="AL241" i="1"/>
  <c r="AK241" i="1"/>
  <c r="AJ241" i="1"/>
  <c r="AM240" i="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H204" i="1"/>
  <c r="AN204" i="1" s="1"/>
  <c r="AG204" i="1"/>
  <c r="AM204" i="1" s="1"/>
  <c r="AF204" i="1"/>
  <c r="AL204" i="1" s="1"/>
  <c r="AE204" i="1"/>
  <c r="AD204" i="1"/>
  <c r="AJ204" i="1" s="1"/>
  <c r="AC204" i="1"/>
  <c r="AB204" i="1"/>
  <c r="AK204" i="1" s="1"/>
  <c r="AY204" i="1"/>
  <c r="BG204" i="1"/>
  <c r="L204" i="1"/>
  <c r="AH203" i="1"/>
  <c r="AG203" i="1"/>
  <c r="AF203" i="1"/>
  <c r="AE203" i="1"/>
  <c r="AD203" i="1"/>
  <c r="AC203" i="1"/>
  <c r="AB203" i="1"/>
  <c r="AJ203" i="1" s="1"/>
  <c r="C501" i="4"/>
  <c r="D501" i="4"/>
  <c r="E501" i="4"/>
  <c r="F501" i="4"/>
  <c r="G501" i="4"/>
  <c r="H501" i="4"/>
  <c r="B501" i="4"/>
  <c r="AI202" i="1"/>
  <c r="AJ202" i="1"/>
  <c r="AH202" i="1"/>
  <c r="AN202" i="1" s="1"/>
  <c r="AG202" i="1"/>
  <c r="AM202" i="1" s="1"/>
  <c r="AF202" i="1"/>
  <c r="AL202" i="1" s="1"/>
  <c r="AE202" i="1"/>
  <c r="AK202" i="1" s="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M195" i="1" l="1"/>
  <c r="M204" i="1"/>
  <c r="AI203" i="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L175" i="1" l="1"/>
  <c r="AM186" i="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I99" i="1" l="1"/>
  <c r="AK98" i="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L91" i="1"/>
  <c r="AH90" i="1"/>
  <c r="AG90" i="1"/>
  <c r="AF90" i="1"/>
  <c r="AE90" i="1"/>
  <c r="AD90" i="1"/>
  <c r="AC90" i="1"/>
  <c r="AB90" i="1"/>
  <c r="L90" i="1"/>
  <c r="AH89" i="1"/>
  <c r="AG89" i="1"/>
  <c r="AF89" i="1"/>
  <c r="AE89" i="1"/>
  <c r="AD89" i="1"/>
  <c r="AC89" i="1"/>
  <c r="AB89" i="1"/>
  <c r="M90" i="1" s="1"/>
  <c r="L89" i="1"/>
  <c r="AN91" i="1" l="1"/>
  <c r="AI91" i="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I83" i="1" s="1"/>
  <c r="AB83" i="1"/>
  <c r="M84" i="1" s="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G62" i="1"/>
  <c r="AF62" i="1"/>
  <c r="AL62" i="1" s="1"/>
  <c r="AE62" i="1"/>
  <c r="AK62" i="1" s="1"/>
  <c r="AD62" i="1"/>
  <c r="AC62" i="1"/>
  <c r="AB62" i="1"/>
  <c r="M63" i="1" s="1"/>
  <c r="L62" i="1"/>
  <c r="AH61" i="1"/>
  <c r="AG61" i="1"/>
  <c r="AF61" i="1"/>
  <c r="AL61" i="1" s="1"/>
  <c r="AE61" i="1"/>
  <c r="AD61" i="1"/>
  <c r="AC61" i="1"/>
  <c r="AB61" i="1"/>
  <c r="M62" i="1" s="1"/>
  <c r="L61" i="1"/>
  <c r="AH60" i="1"/>
  <c r="AG60" i="1"/>
  <c r="AF60" i="1"/>
  <c r="AE60" i="1"/>
  <c r="AD60" i="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2" i="1" l="1"/>
  <c r="AN60" i="1"/>
  <c r="AN61" i="1"/>
  <c r="AN62" i="1"/>
  <c r="AJ60" i="1"/>
  <c r="AM60" i="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C56" i="1"/>
  <c r="AB56" i="1"/>
  <c r="AI56" i="1" s="1"/>
  <c r="L56" i="1"/>
  <c r="AH55" i="1"/>
  <c r="AG55" i="1"/>
  <c r="AF55" i="1"/>
  <c r="AE55" i="1"/>
  <c r="AD55" i="1"/>
  <c r="AC55" i="1"/>
  <c r="AB55" i="1"/>
  <c r="M56" i="1" s="1"/>
  <c r="AJ56" i="1" l="1"/>
  <c r="AI55" i="1"/>
  <c r="AL55" i="1"/>
  <c r="AK55" i="1"/>
  <c r="AJ55" i="1"/>
  <c r="AM55" i="1"/>
  <c r="AN55" i="1"/>
  <c r="AL56" i="1"/>
  <c r="M57" i="1"/>
  <c r="AN56" i="1"/>
  <c r="AM56" i="1"/>
  <c r="AK56" i="1"/>
  <c r="L55" i="1"/>
  <c r="BG43" i="1"/>
  <c r="BG54" i="1"/>
  <c r="AH54" i="1"/>
  <c r="AG54" i="1"/>
  <c r="AF54" i="1"/>
  <c r="AE54" i="1"/>
  <c r="AD54" i="1"/>
  <c r="AC54" i="1"/>
  <c r="AB54" i="1"/>
  <c r="AJ54" i="1" s="1"/>
  <c r="C144" i="4"/>
  <c r="D144" i="4"/>
  <c r="E144" i="4"/>
  <c r="F144" i="4"/>
  <c r="G144" i="4"/>
  <c r="H144" i="4"/>
  <c r="B144" i="4"/>
  <c r="AH53" i="1"/>
  <c r="AN53" i="1" s="1"/>
  <c r="AG53" i="1"/>
  <c r="AF53" i="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L53" i="1" l="1"/>
  <c r="AI52" i="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M30" i="1" s="1"/>
  <c r="AB28" i="1"/>
  <c r="M29" i="1" s="1"/>
  <c r="AB27" i="1"/>
  <c r="C90" i="4"/>
  <c r="D90" i="4"/>
  <c r="E90" i="4"/>
  <c r="F90" i="4"/>
  <c r="G90" i="4"/>
  <c r="H90" i="4"/>
  <c r="B90" i="4"/>
  <c r="L30" i="1"/>
  <c r="L29" i="1"/>
  <c r="AG29" i="1"/>
  <c r="AF29" i="1"/>
  <c r="AE29" i="1"/>
  <c r="AD29" i="1"/>
  <c r="AJ29" i="1" s="1"/>
  <c r="AC29" i="1"/>
  <c r="AG28" i="1"/>
  <c r="AF28" i="1"/>
  <c r="AE28" i="1"/>
  <c r="AD28" i="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J28" i="1" l="1"/>
  <c r="AK28" i="1"/>
  <c r="AL24" i="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<sst xmlns="http://schemas.openxmlformats.org/spreadsheetml/2006/main" count="5514" uniqueCount="1504">
  <si>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</si>
  <si>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</si>
  <si>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</si>
  <si>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</si>
  <si>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</si>
  <si>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</si>
  <si>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</si>
  <si>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</si>
  <si>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</si>
  <si>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</si>
  <si>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</si>
  <si>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</si>
  <si>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</si>
  <si>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</si>
  <si>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</si>
  <si>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</si>
  <si>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</si>
  <si>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</si>
  <si>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</si>
  <si>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</si>
  <si>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</si>
  <si>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</si>
  <si>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</si>
  <si>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</si>
  <si>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</si>
  <si>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</si>
  <si>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</si>
  <si>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</si>
  <si>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</si>
  <si>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</si>
  <si>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</si>
  <si>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</si>
  <si>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</si>
  <si>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</si>
  <si>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</si>
  <si>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</si>
  <si>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</si>
  <si>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</si>
  <si>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</si>
  <si>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</si>
  <si>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</si>
  <si>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</si>
  <si>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</si>
  <si>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</si>
  <si>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</si>
  <si>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</si>
  <si>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</si>
  <si>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</si>
  <si>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</si>
  <si>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</si>
  <si>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</si>
  <si>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</si>
  <si>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</si>
  <si>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</si>
  <si>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</si>
  <si>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</si>
  <si>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</si>
  <si>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</si>
  <si>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</si>
  <si>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</si>
  <si>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</si>
  <si>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</si>
  <si>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</si>
  <si>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</si>
  <si>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</si>
  <si>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</si>
  <si>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</si>
  <si>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</si>
  <si>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</si>
  <si>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</si>
  <si>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</si>
  <si>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</si>
  <si>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</si>
  <si>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</si>
  <si>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</si>
  <si>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</si>
  <si>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</si>
  <si>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</si>
  <si>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</si>
  <si>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</si>
  <si>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</si>
  <si>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</si>
  <si>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</si>
  <si>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</si>
  <si>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</si>
  <si>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</si>
  <si>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</si>
  <si>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</si>
  <si>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</si>
  <si>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</si>
  <si>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</si>
  <si>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</si>
  <si>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</si>
  <si>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</si>
  <si>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</si>
  <si>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</si>
  <si>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</si>
  <si>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</si>
  <si>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</si>
  <si>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</si>
  <si>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</si>
  <si>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</si>
  <si>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</si>
  <si>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</si>
  <si>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</si>
  <si>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</si>
  <si>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</si>
  <si>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</si>
  <si>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</si>
  <si>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</si>
  <si>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</si>
  <si>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</si>
  <si>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</si>
  <si>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</si>
  <si>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</si>
  <si>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</si>
  <si>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</si>
  <si>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</si>
  <si>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</si>
  <si>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</si>
  <si>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</si>
  <si>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</si>
  <si>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</si>
  <si>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</si>
  <si>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</si>
  <si>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</si>
  <si>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</si>
  <si>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</si>
  <si>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</si>
  <si>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</si>
  <si>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</si>
  <si>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</si>
  <si>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</si>
  <si>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</si>
  <si>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</si>
  <si>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</si>
  <si>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</si>
  <si>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</si>
  <si>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</si>
  <si>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</si>
  <si>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</si>
  <si>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</si>
  <si>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</si>
  <si>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</si>
  <si>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</si>
  <si>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</si>
  <si>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</si>
  <si>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</si>
  <si>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</si>
  <si>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</si>
  <si>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</si>
  <si>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</si>
  <si>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</si>
  <si>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</si>
  <si>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</si>
  <si>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</si>
  <si>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</si>
  <si>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</si>
  <si>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</si>
  <si>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</si>
  <si>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</si>
  <si>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</si>
  <si>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</si>
  <si>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</si>
  <si>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</si>
  <si>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</si>
  <si>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</si>
  <si>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</si>
  <si>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</si>
  <si>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</si>
  <si>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</si>
  <si>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</si>
  <si>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</si>
  <si>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</si>
  <si>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</si>
  <si>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</si>
  <si>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</si>
  <si>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</si>
  <si>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</si>
  <si>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</si>
  <si>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</si>
  <si>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</si>
  <si>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</si>
  <si>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</si>
  <si>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</si>
  <si>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</si>
  <si>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</si>
  <si>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</si>
  <si>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</si>
  <si>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</si>
  <si>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</si>
  <si>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</si>
  <si>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</si>
  <si>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</si>
  <si>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</si>
  <si>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</si>
  <si>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</si>
  <si>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</si>
  <si>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</si>
  <si>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</si>
  <si>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</si>
  <si>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</si>
  <si>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</si>
  <si>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</si>
  <si>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</si>
  <si>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</si>
  <si>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</si>
  <si>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</si>
  <si>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</si>
  <si>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</si>
  <si>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</si>
  <si>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</si>
  <si>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</si>
  <si>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</si>
  <si>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</si>
  <si>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</si>
  <si>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</si>
  <si>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</si>
  <si>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</si>
  <si>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</si>
  <si>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</si>
  <si>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</si>
  <si>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</si>
  <si>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</si>
  <si>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</si>
  <si>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</si>
  <si>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</si>
  <si>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</si>
  <si>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</si>
  <si>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</si>
  <si>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</si>
  <si>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</si>
  <si>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</si>
  <si>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</si>
  <si>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</si>
  <si>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</si>
  <si>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</si>
  <si>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</si>
  <si>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</si>
  <si>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</si>
  <si>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</si>
  <si>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</si>
  <si>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</si>
  <si>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</si>
  <si>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</si>
  <si>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</si>
  <si>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</si>
  <si>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</si>
  <si>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</si>
  <si>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</si>
  <si>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</si>
  <si>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</si>
  <si>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</si>
  <si>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</si>
  <si>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</si>
  <si>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</si>
  <si>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</si>
  <si>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</si>
  <si>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</si>
  <si>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</si>
  <si>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</si>
  <si>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</si>
  <si>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</si>
  <si>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</si>
  <si>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</si>
  <si>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</si>
  <si>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</si>
  <si>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</si>
  <si>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</si>
  <si>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</si>
  <si>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</si>
  <si>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</si>
  <si>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</si>
  <si>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</si>
  <si>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</si>
  <si>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</si>
  <si>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</si>
  <si>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</si>
  <si>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</si>
  <si>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</si>
  <si>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</si>
  <si>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</si>
  <si>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</si>
  <si>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</si>
  <si>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</si>
  <si>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</si>
  <si>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</si>
  <si>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</si>
  <si>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</si>
  <si>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</si>
  <si>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</si>
  <si>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</si>
  <si>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</si>
  <si>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</si>
  <si>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</si>
  <si>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</si>
  <si>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</si>
  <si>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</si>
  <si>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</si>
  <si>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</si>
  <si>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</si>
  <si>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</si>
  <si>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</si>
  <si>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</si>
  <si>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</si>
  <si>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</si>
  <si>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</si>
  <si>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</si>
  <si>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</si>
  <si>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</si>
  <si>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</si>
  <si>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</si>
  <si>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</si>
  <si>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</si>
  <si>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</si>
  <si>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</si>
  <si>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</si>
  <si>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</si>
  <si>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</si>
  <si>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</si>
  <si>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</si>
  <si>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</si>
  <si>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</si>
  <si>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</si>
  <si>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</si>
  <si>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</si>
  <si>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</si>
  <si>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</si>
  <si>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</si>
  <si>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</si>
  <si>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</si>
  <si>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</si>
  <si>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</si>
  <si>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</si>
  <si>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</si>
  <si>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</si>
  <si>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</si>
  <si>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</si>
  <si>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</si>
  <si>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</si>
  <si>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</si>
  <si>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</si>
  <si>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</si>
  <si>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</si>
  <si>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</si>
  <si>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</si>
  <si>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</si>
  <si>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</si>
  <si>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</si>
  <si>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</si>
  <si>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</si>
  <si>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</si>
  <si>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</si>
  <si>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</si>
  <si>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</si>
  <si>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</si>
  <si>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</si>
  <si>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</si>
  <si>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</si>
  <si>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</si>
  <si>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</si>
  <si>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</si>
  <si>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</si>
  <si>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</si>
  <si>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</si>
  <si>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</si>
  <si>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</si>
  <si>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</si>
  <si>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</si>
  <si>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</si>
  <si>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</si>
  <si>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</si>
  <si>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</si>
  <si>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</si>
  <si>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</si>
  <si>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</si>
  <si>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</si>
  <si>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</si>
  <si>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</si>
  <si>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</si>
  <si>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</si>
  <si>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</si>
  <si>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</si>
  <si>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</si>
  <si>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</si>
  <si>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</si>
  <si>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</si>
  <si>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</si>
  <si>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</si>
  <si>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</si>
  <si>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</si>
  <si>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</si>
  <si>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</si>
  <si>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</si>
  <si>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</si>
  <si>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</si>
  <si>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</si>
  <si>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</si>
  <si>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</si>
  <si>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</si>
  <si>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</si>
  <si>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</si>
  <si>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</si>
  <si>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</si>
  <si>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</si>
  <si>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</si>
  <si>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</si>
  <si>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</si>
  <si>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</si>
  <si>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</si>
  <si>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</si>
  <si>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</si>
  <si>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</si>
  <si>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</si>
  <si>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</si>
  <si>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</si>
  <si>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</si>
  <si>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</si>
  <si>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</si>
  <si>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</si>
  <si>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</si>
  <si>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</si>
  <si>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</si>
  <si>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</si>
  <si>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</si>
  <si>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</si>
  <si>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</si>
  <si>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</si>
  <si>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</si>
  <si>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</si>
  <si>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</si>
  <si>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</si>
  <si>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</si>
  <si>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</si>
  <si>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</si>
  <si>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</si>
  <si>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</si>
  <si>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</si>
  <si>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</si>
  <si>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</si>
  <si>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</si>
  <si>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</si>
  <si>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</si>
  <si>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</si>
  <si>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</si>
  <si>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</si>
  <si>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</si>
  <si>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</si>
  <si>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</si>
  <si>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</si>
  <si>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</si>
  <si>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</si>
  <si>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</si>
  <si>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</si>
  <si>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</si>
  <si>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</si>
  <si>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</si>
  <si>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</si>
  <si>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</si>
  <si>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</si>
  <si>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</si>
  <si>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</si>
  <si>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</si>
  <si>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</si>
  <si>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</si>
  <si>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</si>
  <si>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</si>
  <si>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</si>
  <si>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</si>
  <si>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</si>
  <si>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</si>
  <si>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</si>
  <si>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</si>
  <si>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</si>
  <si>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</si>
  <si>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</si>
  <si>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</si>
  <si>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</si>
  <si>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</si>
  <si>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</si>
  <si>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</si>
  <si>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</si>
  <si>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</si>
  <si>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</si>
  <si>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</si>
  <si>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</si>
  <si>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</si>
  <si>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</si>
  <si>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</si>
  <si>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</si>
  <si>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</si>
  <si>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</si>
  <si>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</si>
  <si>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</si>
  <si>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</si>
  <si>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</si>
  <si>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</si>
  <si>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</si>
  <si>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</si>
  <si>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</si>
  <si>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</si>
  <si>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</si>
  <si>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</si>
  <si>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</si>
  <si>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</si>
  <si>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</si>
  <si>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</si>
  <si>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</si>
  <si>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</si>
  <si>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</si>
  <si>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</si>
  <si>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</si>
  <si>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</si>
  <si>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</si>
  <si>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</si>
  <si>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</si>
  <si>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</si>
  <si>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</si>
  <si>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</si>
  <si>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</si>
  <si>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</si>
  <si>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</si>
  <si>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</si>
  <si>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</si>
  <si>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</si>
  <si>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</si>
  <si>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</si>
  <si>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</si>
  <si>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</si>
  <si>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</si>
  <si>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</si>
  <si>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</si>
  <si>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</si>
  <si>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</si>
  <si>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</si>
  <si>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</si>
  <si>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</si>
  <si>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</si>
  <si>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</si>
  <si>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</si>
  <si>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</si>
  <si>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</si>
  <si>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</si>
  <si>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</si>
  <si>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</si>
  <si>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</si>
  <si>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</si>
  <si>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</si>
  <si>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</si>
  <si>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</si>
  <si>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</si>
  <si>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</si>
  <si>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</si>
  <si>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</si>
  <si>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</si>
  <si>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</si>
  <si>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</si>
  <si>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</si>
  <si>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</si>
  <si>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</si>
  <si>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</si>
  <si>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</si>
  <si>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</si>
  <si>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</si>
  <si>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</si>
  <si>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</si>
  <si>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</si>
  <si>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</si>
  <si>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</si>
  <si>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</si>
  <si>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</si>
  <si>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</si>
  <si>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</si>
  <si>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</si>
  <si>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</si>
  <si>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</si>
  <si>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</si>
  <si>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</si>
  <si>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</si>
  <si>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</si>
  <si>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</si>
  <si>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</si>
  <si>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</si>
  <si>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</si>
  <si>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</si>
  <si>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</si>
  <si>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</si>
  <si>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</si>
  <si>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</si>
  <si>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</si>
  <si>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</si>
  <si>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</si>
  <si>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</si>
  <si>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</si>
  <si>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</si>
  <si>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</si>
  <si>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</si>
  <si>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</si>
  <si>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</si>
  <si>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</si>
  <si>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</si>
  <si>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</si>
  <si>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</si>
  <si>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</si>
  <si>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</si>
  <si>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</si>
  <si>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</si>
  <si>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</si>
  <si>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</si>
  <si>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</si>
  <si>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</si>
  <si>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</si>
  <si>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</si>
  <si>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</si>
  <si>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</si>
  <si>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</si>
  <si>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</si>
  <si>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</si>
  <si>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</si>
  <si>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</si>
  <si>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</si>
  <si>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</si>
  <si>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</si>
  <si>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</si>
  <si>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</si>
  <si>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</si>
  <si>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</si>
  <si>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</si>
  <si>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</si>
  <si>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</si>
  <si>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</si>
  <si>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</si>
  <si>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</si>
  <si>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</si>
  <si>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</si>
  <si>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</si>
  <si>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</si>
  <si>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</si>
  <si>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</si>
  <si>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</si>
  <si>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</si>
  <si>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</si>
  <si>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</si>
  <si>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</si>
  <si>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</si>
  <si>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</si>
  <si>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</si>
  <si>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</si>
  <si>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</si>
  <si>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</si>
  <si>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</si>
  <si>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</si>
  <si>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</si>
  <si>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</si>
  <si>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</si>
  <si>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</si>
  <si>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</si>
  <si>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</si>
  <si>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</si>
  <si>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</si>
  <si>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</si>
  <si>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</si>
  <si>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</si>
  <si>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</si>
  <si>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</si>
  <si>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</si>
  <si>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</si>
  <si>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</si>
  <si>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</si>
  <si>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</si>
  <si>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</si>
  <si>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</si>
  <si>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</si>
  <si>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</si>
  <si>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</si>
  <si>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</si>
  <si>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</si>
  <si>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</si>
  <si>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</si>
  <si>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</si>
  <si>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</si>
  <si>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</si>
  <si>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</si>
  <si>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</si>
  <si>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</si>
  <si>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</si>
  <si>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</si>
  <si>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</si>
  <si>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</si>
  <si>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</si>
  <si>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</si>
  <si>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</si>
  <si>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</si>
  <si>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</si>
  <si>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</si>
  <si>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</si>
  <si>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</si>
  <si>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</si>
  <si>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</si>
  <si>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</si>
  <si>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</si>
  <si>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</si>
  <si>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</si>
  <si>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</si>
  <si>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</si>
  <si>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</si>
  <si>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</si>
  <si>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</si>
  <si>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</si>
  <si>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</si>
  <si>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</si>
  <si>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</si>
  <si>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</si>
  <si>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</si>
  <si>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</si>
  <si>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</si>
  <si>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</si>
  <si>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</si>
  <si>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</si>
  <si>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</si>
  <si>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</si>
  <si>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</si>
  <si>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</si>
  <si>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</si>
  <si>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</si>
  <si>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</si>
  <si>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</si>
  <si>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</si>
  <si>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</si>
  <si>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</si>
  <si>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</si>
  <si>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</si>
  <si>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</si>
  <si>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</si>
  <si>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</si>
  <si>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</si>
  <si>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</si>
  <si>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</si>
  <si>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</si>
  <si>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</si>
  <si>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</si>
  <si>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</si>
  <si>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</si>
  <si>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</si>
  <si>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</si>
  <si>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</si>
  <si>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</si>
  <si>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</si>
  <si>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</si>
  <si>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</si>
  <si>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</si>
  <si>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</si>
  <si>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</si>
  <si>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</si>
  <si>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</si>
  <si>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</si>
  <si>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</si>
  <si>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</si>
  <si>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</si>
  <si>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</si>
  <si>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</si>
  <si>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</si>
  <si>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</si>
  <si>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</si>
  <si>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</si>
  <si>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</si>
  <si>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</si>
  <si>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</si>
  <si>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</si>
  <si>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</si>
  <si>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</si>
  <si>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</si>
  <si>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</si>
  <si>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</si>
  <si>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</si>
  <si>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</si>
  <si>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</si>
  <si>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</si>
  <si>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</si>
  <si>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</si>
  <si>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</si>
  <si>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</si>
  <si>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</si>
  <si>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</si>
  <si>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</si>
  <si>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</si>
  <si>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</si>
  <si>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</si>
  <si>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</si>
  <si>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</si>
  <si>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</si>
  <si>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</si>
  <si>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</si>
  <si>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</si>
  <si>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</si>
  <si>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</si>
  <si>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</si>
  <si>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</si>
  <si>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</si>
  <si>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</si>
  <si>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</si>
  <si>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</si>
  <si>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</si>
  <si>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</si>
  <si>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</si>
  <si>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</si>
  <si>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</si>
  <si>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</si>
  <si>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</si>
  <si>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</si>
  <si>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</si>
  <si>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</si>
  <si>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</si>
  <si>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</si>
  <si>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</si>
  <si>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</si>
  <si>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</si>
  <si>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</si>
  <si>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</si>
  <si>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</si>
  <si>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</si>
  <si>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</si>
  <si>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</si>
  <si>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</si>
  <si>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</si>
  <si>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</si>
  <si>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</si>
  <si>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</si>
  <si>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</si>
  <si>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</si>
  <si>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</si>
  <si>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</si>
  <si>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</si>
  <si>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</si>
  <si>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</si>
  <si>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</si>
  <si>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</si>
  <si>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</si>
  <si>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</si>
  <si>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</si>
  <si>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</si>
  <si>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</si>
  <si>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</si>
  <si>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</si>
  <si>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</si>
  <si>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</si>
  <si>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</si>
  <si>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</si>
  <si>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</si>
  <si>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</si>
  <si>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</si>
  <si>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</si>
  <si>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</si>
  <si>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</si>
  <si>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</si>
  <si>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</si>
  <si>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</si>
  <si>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</si>
  <si>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</si>
  <si>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</si>
  <si>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</si>
  <si>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</si>
  <si>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</si>
  <si>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</si>
  <si>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</si>
  <si>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</si>
  <si>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</si>
  <si>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</si>
  <si>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</si>
  <si>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</si>
  <si>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</si>
  <si>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</si>
  <si>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</si>
  <si>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</si>
  <si>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</si>
  <si>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</si>
  <si>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</si>
  <si>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</si>
  <si>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</si>
  <si>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</si>
  <si>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</si>
  <si>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</si>
  <si>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</si>
  <si>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</si>
  <si>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</si>
  <si>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</si>
  <si>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</si>
  <si>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</si>
  <si>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</si>
  <si>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</si>
  <si>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</si>
  <si>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</si>
  <si>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</si>
  <si>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</si>
  <si>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</si>
  <si>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</si>
  <si>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</si>
  <si>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</si>
  <si>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</si>
  <si>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</si>
  <si>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</si>
  <si>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</si>
  <si>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</si>
  <si>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</si>
  <si>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</si>
  <si>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</si>
  <si>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</si>
  <si>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</si>
  <si>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</si>
  <si>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</si>
  <si>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</si>
  <si>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</si>
  <si>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</si>
  <si>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</si>
  <si>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</si>
  <si>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</si>
  <si>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</si>
  <si>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</si>
  <si>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</si>
  <si>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</si>
  <si>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</si>
  <si>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</si>
  <si>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</si>
  <si>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</si>
  <si>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</si>
  <si>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</si>
  <si>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</si>
  <si>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</si>
  <si>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</si>
  <si>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</si>
  <si>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</si>
  <si>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</si>
  <si>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</si>
  <si>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</si>
  <si>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</si>
  <si>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</si>
  <si>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</si>
  <si>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</si>
  <si>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</si>
  <si>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</si>
  <si>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</si>
  <si>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</si>
  <si>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</si>
  <si>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</si>
  <si>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</si>
  <si>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</si>
  <si>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</si>
  <si>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</si>
  <si>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</si>
  <si>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</si>
  <si>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</si>
  <si>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</si>
  <si>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</si>
  <si>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</si>
  <si>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</si>
  <si>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</si>
  <si>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</si>
  <si>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</si>
  <si>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</si>
  <si>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</si>
  <si>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</si>
  <si>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</si>
  <si>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</si>
  <si>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</si>
  <si>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</si>
  <si>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</si>
  <si>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</si>
  <si>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</si>
  <si>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</si>
  <si>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</si>
  <si>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</si>
  <si>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</si>
  <si>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</si>
  <si>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</si>
  <si>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</si>
  <si>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</si>
  <si>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</si>
  <si>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</si>
  <si>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</si>
  <si>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</si>
  <si>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</si>
  <si>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</si>
  <si>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</si>
  <si>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</si>
  <si>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</si>
  <si>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</si>
  <si>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</si>
  <si>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</si>
  <si>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</si>
  <si>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</si>
  <si>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</si>
  <si>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</si>
  <si>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</si>
  <si>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</si>
  <si>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</si>
  <si>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</si>
  <si>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</si>
  <si>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</si>
  <si>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</si>
  <si>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</si>
  <si>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</si>
  <si>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</si>
  <si>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</si>
  <si>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</si>
  <si>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</si>
  <si>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</si>
  <si>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</si>
  <si>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</si>
  <si>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</si>
  <si>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</si>
  <si>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</si>
  <si>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</si>
  <si>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</si>
  <si>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</si>
  <si>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</si>
  <si>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</si>
  <si>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</si>
  <si>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</si>
  <si>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</si>
  <si>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</si>
  <si>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</si>
  <si>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</si>
  <si>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</si>
  <si>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</si>
  <si>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</si>
  <si>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</si>
  <si>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</si>
  <si>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</si>
  <si>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</si>
  <si>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</si>
  <si>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</si>
  <si>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</si>
  <si>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</si>
  <si>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</si>
  <si>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</si>
  <si>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</si>
  <si>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</si>
  <si>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</si>
  <si>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</si>
  <si>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</si>
  <si>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</si>
  <si>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</si>
  <si>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</si>
  <si>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</si>
  <si>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</si>
  <si>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</si>
  <si>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</si>
  <si>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</si>
  <si>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</si>
  <si>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</si>
  <si>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</si>
  <si>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</si>
  <si>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</si>
  <si>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</si>
  <si>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</si>
  <si>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</si>
  <si>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</si>
  <si>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</si>
  <si>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</si>
  <si>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</si>
  <si>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</si>
  <si>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</si>
  <si>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</si>
  <si>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</si>
  <si>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</si>
  <si>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</si>
  <si>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</si>
  <si>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</si>
  <si>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</si>
  <si>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</si>
  <si>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</si>
  <si>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</si>
  <si>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</si>
  <si>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</si>
  <si>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</si>
  <si>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</si>
  <si>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</si>
  <si>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</si>
  <si>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</si>
  <si>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</si>
  <si>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</si>
  <si>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</si>
  <si>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</si>
  <si>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</si>
  <si>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</si>
  <si>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</si>
  <si>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</si>
  <si>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</si>
  <si>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</si>
  <si>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</si>
  <si>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</si>
  <si>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</si>
  <si>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</si>
  <si>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</si>
  <si>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</si>
  <si>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</si>
  <si>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</si>
  <si>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</si>
  <si>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</si>
  <si>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</si>
  <si>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</si>
  <si>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</si>
  <si>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</si>
  <si>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</si>
  <si>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</si>
  <si>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</si>
  <si>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</si>
  <si>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</si>
  <si>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</si>
  <si>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</si>
  <si>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</si>
  <si>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</si>
  <si>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</si>
  <si>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</si>
  <si>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</si>
  <si>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</si>
  <si>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</si>
  <si>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</si>
  <si>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</si>
  <si>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</si>
  <si>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</si>
  <si>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</si>
  <si>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</si>
  <si>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</si>
  <si>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</si>
  <si>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</si>
  <si>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</si>
  <si>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</si>
  <si>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</si>
  <si>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</si>
  <si>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</si>
  <si>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</si>
  <si>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</si>
  <si>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</si>
  <si>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</si>
  <si>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</si>
  <si>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</si>
  <si>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</si>
  <si>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</si>
  <si>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</si>
  <si>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</si>
  <si>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</si>
  <si>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</si>
  <si>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</si>
  <si>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</si>
  <si>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</si>
  <si>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</si>
  <si>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</si>
  <si>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</si>
  <si>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</si>
  <si>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</si>
  <si>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</si>
  <si>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</si>
  <si>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</si>
  <si>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</si>
  <si>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</si>
  <si>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</si>
  <si>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</si>
  <si>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</si>
  <si>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</si>
  <si>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</si>
  <si>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</si>
  <si>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</si>
  <si>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</si>
  <si>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</si>
  <si>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</si>
  <si>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</si>
  <si>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</si>
  <si>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</si>
  <si>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</si>
  <si>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</si>
  <si>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</si>
  <si>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</si>
  <si>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</si>
  <si>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</si>
  <si>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</si>
  <si>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</si>
  <si>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</si>
  <si>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</si>
  <si>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</si>
  <si>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</si>
  <si>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</si>
  <si>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</si>
  <si>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</si>
  <si>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</si>
  <si>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</si>
  <si>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</si>
  <si>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</si>
  <si>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</si>
  <si>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</si>
  <si>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</si>
  <si>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</si>
  <si>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</si>
  <si>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</si>
  <si>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</si>
  <si>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</si>
  <si>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</si>
  <si>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</si>
  <si>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</si>
  <si>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</si>
  <si>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</si>
  <si>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</si>
  <si>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</si>
  <si>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</si>
  <si>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</si>
  <si>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</si>
  <si>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</si>
  <si>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</si>
  <si>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</si>
  <si>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</si>
  <si>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</si>
  <si>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</si>
  <si>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</si>
  <si>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</si>
  <si>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</si>
  <si>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</si>
  <si>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</si>
  <si>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</si>
  <si>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</si>
  <si>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</si>
  <si>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</si>
  <si>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</si>
  <si>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</si>
  <si>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</si>
  <si>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</si>
  <si>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</si>
  <si>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</si>
  <si>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</si>
  <si>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</si>
  <si>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</si>
  <si>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</si>
  <si>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</si>
  <si>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</si>
  <si>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</si>
  <si>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</si>
  <si>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</si>
  <si>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</si>
  <si>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</si>
  <si>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</si>
  <si>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</si>
  <si>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</si>
  <si>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</si>
  <si>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</si>
  <si>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</si>
  <si>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</si>
  <si>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</si>
  <si>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</si>
  <si>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</si>
  <si>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</si>
  <si>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</si>
  <si>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</si>
  <si>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</si>
  <si>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</si>
  <si>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</si>
  <si>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</si>
  <si>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</si>
  <si>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</si>
  <si>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</si>
  <si>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</si>
  <si>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</si>
  <si>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</si>
  <si>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</si>
  <si>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</si>
  <si>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</si>
  <si>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</si>
  <si>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</si>
  <si>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</si>
  <si>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</si>
  <si>
    <t>Lunch Buddies Aldis brand snack packs fruit snacks, serving is 1 pouch:</t>
  </si>
  <si>
    <t>Clancys Apple chips Aldi brand dehydrated red apple snack, sering is 1 oz, 12 chips</t>
  </si>
  <si>
    <t>inner thighs, 3 sets 12, 40 lbs
quads leg extension/knee extension, 3 sets 12, 40 lbs
quads/glutes/hips squats barbell 3 sets 12, 55 lbs
hamstrings leg curls sitting machine, 3 sets 12, 40 lbs
stretches shoulders/neck/triceps/pecs</t>
  </si>
  <si>
    <t>Celeste cheese pizza for one, Smart&amp;Final</t>
  </si>
  <si>
    <t xml:space="preserve">1 everything bagel
(240.00	2.00	0.50	8.00	46.00	2.00	630.00)
1/4 cup mozzarella
(80	5	3.5	6	2	0	190)
3 of the Vlasic pickles high sodium per 2.5 pickles is 400 mg
(5.75	0	0	0	1.15	0	460)
1 tbs mustard
(0.00	0.00	0.00	0.00	0.00	0.00	55.00)
1 everything bagel
(240.00	2.00	0.50	8.00	46.00	2.00	630.00)
8 fruit snacks little snack packs Aldis
(640.00	0.00	0.00	8.00	152.00	0.00	160.00)
16 pcs/slices dehydrated Aldis brand apple slices
(186.67	9.33	1.33	0.00	26.67	2.67	20.00)
Celest pizza for one Smart &amp; Final serving is 1 pizza
(380.00	17.00	9.00	9.00	48.00	3.00	880.00)
Andes chocolates 3 pcs
(75	4.875	4.5	0.75	8.25	0.75	7.5)
avocado small in airfryer on top of celeste cheese pizza
(241.5	21.75	3	3	12.75	13.5	10.5)
=240+80+5.75+0+240+640+187+380+75+242
=2+5+0+02+0+9+17+5+22
=1+3.5+0+0+1+0+1+9+5+3
=8+6+0+0+8+8+0+9+1+3
=46+2+1.15+0+46+152+27+48+8+13
=2+0+0+0+2+0+3+3+1+14
=630+190+460+55+630+160+20+880+8+11
</t>
  </si>
  <si>
    <t>Woke up at 530 am and got out of bed 10 minutes later. Made my 1st cup of coffee and gave Growly his meds by oral syringe then fed babies and did the dishes from yesterday of the roommate's and after babies done eating. I woke up and went to bed with that pain in upper right trapezius levator scapula area. The coffee helps make the pain go away. But still there, not sure what it is from. I have work from 8 am to 5 pm today. Took measurements after 1st cup of coffee and before a reg sm BM and after the BM only went down by 1/8" around abdominal area to 30 3/8" at BB and 32 1/8" at 2" below BB. Made a bagel with pickles mustard and mozzarella in airfryer with cheese only and had multivitamins after 630 alarm and then got ready for work. At work on my break for an hour had an everything bagel, called Mom's hospital. Couldn't speak to her but the charge nurse said, she has blood in her stool last 2 days and they are checking on it, and needs a colonoscopy but it could be hemorhoids or diverticulitis. Also, her white blood cells dropped which is good because they are at a healthy level not fighting infection and red blood cells and hemoglobin is at a 13 instead of a 6 or 7 range and that is good. She is tired though and can't talk too much. That's good, hopefully the blood is just something that can be fixed easily with meds or treatment. Hopefully she gets better soon. Love that lady. I need to check on my pops too, he's a cool dude I love too. Was going to do that after work but got home and wanted to do some cardio on the bags for a workout, no movtivation other than to sweat. Did that for 5 rounds 3 minutes with 1 minute rests and then did the machines for legs on inner/outer/quads with leg extensions/hamstrings with leg curls and the side lifts for obliques with 20 kg. 3 sets of 10-15 depending on weight. Ankles were slightly swollen with compression socks and new shorts that are spandex like volleyball player shorts. The roommate came in right when I was finishing up with stretches at the gym and looked upset I was there and I heard him say something and bro! and sigh. Its not his gym and he should have gotten there earlier bc they close at 8 pm on Saturdays and he checked in at 720 pm. Didn't eat any more after work, but on break did get some fruit snacks and apple chips and had about 16 apple chips bw lunch and drive home from work, and 5 fruit snacks at lunch and 3 after work and 5th cup kpod coffee after work, with 4th cup at lunch. Some dude, that was doing Thai Kwon Do wanted to offer me some tips into my 3rd round while resting the minute before it. And I said no thank you to him and its funny that he didn't see me working out with a timer that I had to tell him I have my own workout and may or may not have thanked him. But he's not my hero and I'm not his fan. Everyone has a style and I was doing boxing not legs today. Had another drink for 2 total then made a celeste cheese pizza in airfryer with last unripe avocado on top in airfryer. That was around 920 pm.Listened to country music once started drinking. I also had 2-3 pieces of Andes chocolates as I grabbed 5 pcs but shared with the babies. Went to bed after watching an episode of Only Murderers in the Building on Hulu. That was 1030 pm ish.</t>
  </si>
  <si>
    <t>Woke up at 530 am by alarm, got up a couple times in night to pee and when the roommate got home I thought it was 530 am but it was after 1145 pm but before 12 am. It woke me up but I laid in bed until I went to sleep a few minutes later. Got out of bed around 540 am and did normal routine, coffee, clean pet mess, Growly meds by syringe in mouth, need more of his meds real soon a few days like 4 more of the 24 hour pill left, all meds, fed babies their normal food, restarted dryer then had a 2nd cup of coffee. My roommate put a book on my desk in the morning that I didn't to check to see if it arrived. It was the last expected book as one book was refunded by vendor for not having it. I have it on kindle but would like the physical book. After 2nd cup of coffee put away clothes and made 3rd cup of coffee, had a BM, slightly diarhea a med amt. Then updated this database and took measurements before breakfast and vitamins. Then showered to get ready for work. Work 9am-5pm. Then a couples at 7 pm. Regular clients didn't see last month, they usually get massages on Friday at 5 pm. My availability changed bc of school and thats cool they could work with my schedule. Ankles were slightly swollen in the morning. Had about 11-13 cheese pizza rolls of course sharing with Princess. But microwaved to take multivitamins with. Washed the covers on bed too. But enough hot water to shower. Then at work for lunch had a double salmon poki bowl with brown rice, ginger, wasabi, masago, cucumbers, and ponzu sauce and cream cheese. Didn't taste the best, had that fish taste. But just ate more meninge burning wasabe in each bite. Had my 4th cup of kpod coffee at lunch and no 5th cup by the time I left work to go to my 6 pm couples massage in South Corona. I had 5 fruit snacks on the way there, and 1 more on the way back home from the couples massage and Target to get big headbands that could keep more of my stray hairs out my face and ears and eyes. After work had 2 Jameson whiskey on ice and 20 cheese pizza rolls microwaved. Had laundry in wash by 1030 pm, and finished pizza rolls by 1140 pm. Did the receipts for clients, and had 2 clients I massaged before want to book a massage, but I am busy with homework and keeping on top my studies. I can't take on more appointments. Like I said, busy when I need time to study, and slow AF when not in school or doing anything other than work. Went to bed at 1230 am and the roommate got home and made a little noise later around 1 am.</t>
  </si>
  <si>
    <t>Plain bagels, First Street Smart&amp;Final brand</t>
  </si>
  <si>
    <t>31 pizza rolls cheese totino
(420	16	4	10	62	2	640)
6 fruit snacks
(480	0	0	6	114	0	120)
2 servings apple chips
(280	14	2	0	40	4	30)
double salmon poke bowl with cucumbers, ginger, brown rice, ponzu sauce, masago
(578.5	11.075	2.15	17.7	101.75	8.25	1731)
cream cheese 1/8th a pkg in poke bowl
(51	5.1	3.2	1.1	0.4	0	43)
=420+480+280+579+51
=16+0+14+11+5
=4+0+2+2+3
=10+6+0+18+1
=62+114+40+102+0.4
=2+0+4+8+0
=640+120+30+1731+43</t>
  </si>
  <si>
    <t>battered zucchini sticks, Anchor Smart &amp; Final brand frozen foods, serving 5 pcs/sticks</t>
  </si>
  <si>
    <t>quads squats barbl +20, pec maj/ant delt milt prs +10, triceps chair dip body weight 147, triceps over head dumbell 20 lbs, deltoids shoulder flys lateral lifts dumbells +3 lbs, hamstrings deadlift +10 lbs dumbells</t>
  </si>
  <si>
    <t xml:space="preserve">quads squats barbell 1 set 12 reps 65 lbs, 2 sets 12 reps 85 lbs, +20 lbs
bicep curls 3 sets 12 reps 15 lbs each arm
tricep kick backs, 3 sets 12 reps 15 lbs each arm
deltoids side lifts, 3 sets 12 reps 8 lbs each arm, +3 lbs each deltoid
upper deltoids pectoralis major military press, 3 sets 12 reps 20 lbs each arm,+10 lbs total
deltoids upper trapz shoulder shrugs, 3 sets 12 reps 20 lbs each arm, +10 lbs total
hamstrings deadlifts dumbells, 3 sets/12 reps 40 lbs, +10 lbs 
rhomboids/lwr trapezius back row machine 40 lbs
lattisimus dorsi back pull down machine 1 set/12 reps 50 lbs, 2 sets/12 reps 60 lbs,+10 lbs
</t>
  </si>
  <si>
    <t xml:space="preserve">Woke up at 530 am by alarm but stayed in bed until 6 am tired. Got 5 hours sleep, did normal routine, need to get more wet cat food had 2 cans left after feeding babies will do on my break. First class at 10 am, texted Dad to ask how he was doing and tell him about Mom around 720 am. Gave Growly his meds first thing in the morning, and fed babies, folded laundry, sent out receipt and SOAP notes before that. Last night took my M-Th schedule for biz off availability. Because more clients are booking. I don't have the time to keep up, it takes time to get there, do the massage, time to pack up and get back home that takes from studying and doing well in my DC coursework. I am thankful to have them, but they can book on the weekend and the MLD pkg clients can get a refund. This is exactly why I plan to not take any more pkg clients bc of not having time right now. Last night I got back from clients and Target at around 1030 to 1045 pm. I got to the Target only 2 miles from them at 945 pm. It could have been earlier but my Square app wasn't working and this happened after logging off the client's wifi network. I was able to read a phone update about apps and check to use mobile data then go into range of a mobile data out front for Tmobile, but it took about 10-15 minutes extra time. Today after 2 cups of coffee and while doing the desk notes to clients and reviewing some emails and the school announcements, I had a reg BM, then made 3rd cup of coffee folded the linens and laundry, put the pillow and other blanket in dryer and started the roommate's laundry. I put the pillow and other blanket on the bed in the wash after the linens from client's before bed to wash last night. For breakfast had an airfryed plain bagel with 1/4 cup mozz over it in airfryer. Worked on the 3rd cup of coffee with the bagel and took my multivitamins with the bagel. Might work out today, since it would be a great habit/routine to start doing again. Would be back and arms or close to it and squats missed last workout. It will likely be after 3 pm if I do workout as my courses end but study time begins after 230 pm. I also have a break bw 12 pm and 130 pm bw FABS and CTAP courses for the day's LEs. Took measurements after a BM and after the breakfast and multivitamins about 20 minutes afterwards. Did the dishes then showered and got ready for the day. Was tired during 2nd LE of CTAP course and almost fell asleep but stayed in with camera off till last half hour. Worked out at gym bw 315-420 pm and added a few exercises I forgot about. Mostly arms, back, and quads/hams minimal. Added a few lbs to workout routines. Not busy but started getting busy near the end of my workout. Also, I forgot that I developed some sort of fungal foot infection of dermis between big toe and two little toes. Not sure when I got it and not sure if the shower sharing with the roommate or the sketchers shoes with open ankles that I wore without disinfecting with out socks that I bought about a month ago. I didn't find any athletes spray but went to my van and put some teatree oil with coconut oil on it 24 drops per 1 oz or so oil on it and it stopped itching but made a mess on my linens where I put my foot to put the teatree oil on it. I did that this morning after the shower. It feels better. I need to start doing that every morning and see if it helps it go away or makes it go away or at least the symptoms. I have it on my desk next to my vitamins, lotion, and books and clock. It didn't, it itched badly once I took my socks off, bc the tea tree oil was under light whole time and deactivated in oil, so I went to van and got the one that is essential oil not mixed in carrier oil and put on toes scratching them and kept it in drawer of desk, waited a while to stop itching, put on compression socks, ankles super swollen and itching low legs. Watched the pre-recorded video to take class quiz tomorrow on PNS in 2nd half of part 1 video of human birth defects carried over from week 1. This is now week 2 or module 2. Took notes, waited for itching in legs to go away but the toes stopped itching. I then made a grilled cheese in airfryer with serving of 3 Vlasic pickle chips and mustard with mozz cheese on a brioche bun from Smart&amp;Final. Then I watched the video for our assignment due in intro to phys assessment due tomorrow by 12 pm. Answered questions 4 while watching but didn't see/hear the answers from the Physician on Ted Talk. Got 2/4 right, but tbh one question was multiple check boxes and I picked one extra one but got 2 right, and didn't know that or hear that the guy that discovered percussion or invented it or used it was in Paris. I honestly listened 2x and didn't hear it come up, but that was a question. The assignment said only 1 attempt allowed, but the video asked to retake quiz so I did, and it picked my highest score after giving me the answers on the 1st quiz. So not sure if the highest score will be kept. Mine was a 4/4 on 2nd attempt and a 2/4 on 1st attempt. I had a Jameson and water when looking at the video a 2nd time and it made it more interesting to pay attention to. Was done by 9:45 pm. </t>
  </si>
  <si>
    <t>brioche Artesano brand Smart&amp;Final hamburger buns</t>
  </si>
  <si>
    <t xml:space="preserve">about 24 pizza rolls cheese totino
(315	12	3	7.5	46.5	1.5	480)
1 plain bagel
(230	1	0.5	8	46	2	400)
1/4 cup mozz
(60	3.75	2.625	4.5	1.5	0	142.5)
3 fruit snacks
(240	0	0	3	57	0	60)
2 servings fried zucchini sticks
(300	12	2	4	40	2	720)
1/4 cup mozzarella
(80	5	3.5	6	2	0	190)
3 of the Vlasic pickles high sodium per 2.5 pickles is 400 mg
(5.75	0	0	0	1.15	0	460)
1 tbs mustard
(0.00	0.00	0.00	0.00	0.00	0.00	55.00)
brioche bun
(220	4.5	2.5	7	39	1	280)
=315+230+60+240+300+80+6+0+220
=12+1+4+0+12+5+0+0+4.5
=3+1+3+0+2+3.5+0+0+2.5
=8+8+5+3+4+6+0+0+7
=47+46+2+57+40+2+1+0+39
=1.5+2+0+0+2+0+0+0+1
=480+400+143+60+720+190+460+55+280
</t>
  </si>
  <si>
    <t>inner thighs, 3 sets 12-15reps, 40-50 lbs
quads leg extension/knee extension, 3 sets 12, 40 lbs
outer thighs, 3 sets 12-15 reps, 40-50 lbs
hamstrings leg curls sitting machine, 3 sets 12-15 reps, 40 lbs
stretches shoulders/neck/triceps/pecs/hams/quads/chest/shoulders</t>
  </si>
  <si>
    <t>2 beyond patties
(520	36	10	40	10	4	700)
1/2 cup mozz
(120	7.5	5.25	9	3	0	285)
2 tbs mustard
(0	0	0	0	0	0	110)
6 vlasic pickles
(10	0	0	0	2	0	800)
1/2 pc Andes chocolate
(12.50	0.81	0.75	0.13	1.38	0.13	1.25)
1/8 lg hershey symphony chocolate about 1/3 a reg size candy bar
(400.00	24.00	13.33	8.00	45.33	2.67	133.33)
3 fruit snacks
(240	0	0	3	57	0	60)
1 plain bagel
(230	1	0.5	8	46	2	400)
1 brioche bun artesano 
(220	4.5	2.5	7	39	1	280)
1 plain bagel
(230	1	0.5	8	46	2	400)
=520+120+0+10+13+400+240+230+220+230
=36+8+0+0+1+24+0+1+5+1
=10+5+0+0+1+13+0+1+3+1
=40+9+0+0+0+8+3+8+7+8
=10+3+0+2+1+45+57+46+39+46
=4+0+0+0+0+3+0+2+1+2
=700+285+110+800+1+133+60+400+280+400</t>
  </si>
  <si>
    <t>Woke up at 530 am by alarm but went to bed until 630 alarm and got up and out of bed. Got about 6.5 hours sleep bc I went to bed at around 11 pm last night. Did normal routine in am, my coffee, pets pee outside, clean pet messes, Growly's meds, feed babies, had a reg BM after 1st cup of coffee and while starting the 2nd cup of coffee. Bw that time was looking at emails and making payments and checking orders and sent my older sister a birthday gift with gift receipt through Amazon that arrives tonight by 10 pm but her birthday is Monday. Also, noted in emails that I have 2 FABS quizzes next week. Time to start studying up and I already cleared my weekday availability but have an appointment today at 7 that is local thankfully but will drag my machine into it in an apartment complex by my gym. And one tomorrow at 7 pm. Actually, I keep her on rotation weekly. Bc I can park right in front of her house and she lives right off the fwy and I do too, and it takes just as long to get to her house as the apt nearby taking side streets and she tips me good every time. As of the moment I haven't decided to let anyone interfere with that schedule. Another great client wanted to add a family massage today, but not able to, it takes too long, practically all day. That is valuable study, relaxing, organizing, working out time. Took my measurements around 8 am after a reg BM and halfway through 2nd coffee. Want to shower before my 10 am class. I was able to prep for the LE material last night thankfully. Ankles weren't too swollen when I got up but by time I took measurements and looked at weight scale they started getting swollen right below the malleolas both legs. Finished 2nd cup coffee and had the 3rd cup and my 3 multivitatmin gummies while making and eating a plain bagel with mozz, mustard, pickles, and a beyond meat patty I made in airfryer for 20 minutes while doing the dishes and with its pair. 2 per pkg. Then fed the cats outside but was lazy and didn't bring gate key with me, when I was sliding the can uder the fence, the bigger cat crowded out the kitten or smaller one and tried to pull the cat food can towards her or him and accidentally caught my index finger on the side or lateral edge and gave me a little cut that bled. I cleaned it up with rubbing alcohol immediately then gave another can of wet cat food to the smaller cat under fence. I shared some of my burger with the babies. I am not eating while in GA1 again, bc last time I didn't eat my burger bc the LE included images of birth defects and genitalia when hormones in system of female like testosterone or androgens when pregnant from a adrenal gland tumor and labia shaped like testes were shown in an image I turned away not to see bc he said thats what it was. Ruined my appetite. That's why I didn't eat all of the burger and threw away 1/4 of it left when it was the 3/4 burger left over from night before as I shared 1/4 with babies the night before and only ate 1/2 of it that day during LE on Wed or Thur. Got my ear pods last night and charging them. They will be useful while working out as long as they don't fall out of my ear, and also at work to prevent my stray hairs from curling into my ear canal and making it itch/tickle uncomfortably while massaging someone. Raising my shoulder to deflect the hairs NEVER works. Always have to wipe my hands or use bottom sheet to pull hair aside. Its so annoying while massaging a client. Looked at my notes on prerecorded LE for today's class at 10 am then showered and got ready for the day. Worked out after the voluntary zoom health integrative rounds on reading radiology and case studies and getting into that 3 yr program with the DACBR-diplomat of American Chiropractic Board of Radiology, &lt;350 members are post DC radiologists. I got to gym before 130 pm, did the legs normal weights and the side twists obliques, all machines, inner/outer/quads extensions/hamstrings curls. Did squats yesterday, then did 7 3-minute rounds for a total workout time of 35-45 minutes cardio, but actually only 21 minutes movement of cardio. Broke a sweat, total body kickboxing. Only one there after a few minutes, worked out with my new air pods, was great, looked quiet in gym, and great for moderating. But the My Chemical Romance Station had some crappy songs to kickbox to, and some fast paced ones. Cooled down with stretches to country then exited. I went to the animal hospital in person after calling before my workout and getting an unfriendly and not helpful, more smart ass receptionist, Corrine, wanted me to list the names of the meds when I told her Growly needed all 3 and that she should expect a bad review. I gave the rvew in gym lot beofre workout 3 stars and why. Then after gym saw them only got 2 meds and had to call their 3rd party vendor to speak to a guy very friendly about the vetmedin. Dr Kermit Smith the same guy we saw at the ER for Growly a few months ago was there. But didn't say hi. Corrine I expected to be the red head obese receptionist, but was probably the obese dark haired 50's/70s grease the movie bad girl chick with all the tattoos like an XXL Betty Page that was at the desk. Didn't talk to her about my call and she didn't ask. Just signed in and was out in less than 25 minutes.  Went home and got a call from Dad when exiting Hidden Valley to take side streets because I told him about Mom's condition in hospital and having blood in stool yesterday morning when calling to check on him. He hasn't heard anything about it and was trying to talk to Mo but hasn't been able to get a hold of her. He still cares for my Mom and has always cared for her. He is lonely and many older white ladies probably remind him of his last wife who complained about her body all the time and how sick she is. I went home from vet after calling in their lot to secure the vetmedin and he said he would rush it but called me later at home and I ddin't get it but checked email and saw the missed call he sent about it. Called and he told me that he has to wait on their doctors to approve the change to 1.25 mg of the 5 in 4 parts on prescription. He said by tomorrow is good chance. They are in Riverside and close at 6 pm open at 9 am M-F. I watched part 2 and half of part 3 and need part 4 to study before tomorrows quiz. I forgot the prequiz means before class and missed out on 5 pts when I studied for it. I also refunded the two MLD clients I rarely massage their 180 and 225 balance through Square. I had to cancel one of their appts on Monday. Sent them an email and proof of cancelling and receipts of refund and explained why and when they could expect their cards to be refunded. Have a client at 7 pm up the street 10 minutes from me by my gym. She confirmed the appointment. Had 5th kpod kaui brand coffee at around 5 pm after it cooled off and while watching part3 of prerecorded lectures. Gave Growly his meds mixed with the stuff they gave me today, same pills, should be, at around 615 pm when I stopped the prerecorded LEs to get ready for 7 pm client. Before 10 am LE had a beyond patty on bagel with mozz/mustard/pickls, then a 4th kpod coffee, after the LEs and voluntary zoom intg health club, did the gym and errand, then got home and fed the cat and dogs 2nd time and had the 2nd beyond patty on brioche bun warmed in toaster and microwave with mozz/pickles/mustard. And about half a row or 1/6th the Hersheys lg toffee almond symphony candy bar I bought last week at Aldis I think. It has been in my drawer with the Andes chocolates. Had a 1/2 pc this morning of that and yesterday evening. They're all gone. Left for client's around 645 pm.</t>
  </si>
  <si>
    <t xml:space="preserve">Woke up at 530 am by alarm laid in bed until it went off again at 540 am, got out of bed, took babies outside, made my 1st cup of coffee, gave Growly his meds by mouth syringe, fed babies, folded laundry and put away from last night, and cleaned a pet mess I noticed by the table. Then had a 2nd cup of coffee and went to my laptop to update it and it was updating some Windows updates for 5 minutes of my time. I had a bagel with mozz last night and needed to add that into the nutrition for the day. Ankles weren't too swollen when I got up this moring or when updating this database before starting day. I called Mom around 630 am my time and spoke to her at 830 her time in the morning and she is doing better, is talking, can't sleep bc of steroids, Becky is in her trailer with her dog Cody. I told her Dad still cares about her and she said thats nice. She had a hemorhoid and that was why blood was in her poop. She hasn't been eating much either. But its not Filipino food could be another reason. She does eat American staples but always has at least some rice or fish or spam. I called Dad to let him know her condition and he asked about my older sister bc he hasn't spoken to her everytime he calls or texts no reply. He is worried about her. But I let him know she is very busy and probably can't talk and he probably knows they have odd hours, so when she calls him he is sleeping and when he calls her she is sleeping. I had a reg sm BM after talking to them and before checking out the Draw it To Know it, after 2nd cup of coffee. I tested out the pen and my HP laptop with the mouse pad attached for the finger is lousy, the edges make the movement go off the page or not stop and the pen doesn't work finely for turns, stopping, or emphasizing anything. It looks much worse than using pen and paper. Maybe I should buy an expensive device to help me out. Or a side drawing pad might work, not sure. Have to look into it. My older sister just called me right when I brought her up around 7 am and I had a pizza in airfryer, the personal size celeste cheese pizza. It was done by the time we ended the call. They are doing a celebration of life for my mom's deceased husband, he was actually 55, going to be 56 tomorrow, but due to side effects of obesity and not working out and stress at work and sitting long hours and flying, it caught up to him and he had a pace maker in his heart and kidney disease when he caught the Covid-Sars virus and died from organ failure. I can't make the date on a Saturday even if they do zoom bc I work until 5 pm and thats 7 pm their time and can't miss work, the only days I work. It is sad he died eary, and he was already living in a poor quality of health. Had my multivitamins with my pizza and 3rd cup coffee, and showered and got ready for zoom meeting. I have campus courses after the am courses to go to that start at 1 pm. I told Mo that Dad has been trying to reach her and she said she just talked to him before me and they both have odd hours and she doesn't accept private calls and she has texted him but he didn't reply. Measurements taken before eating the pizza and vitamins. did the courses in morning then travelled to the on campus courses, had an aura headache around 10 am that I had the 4th cup of coffee ready for while in that 2nd course of day virtually a couple hours before driving to campus, but let it cool while snacking on a plain bagel in air fryer with mozz cheese. Before that was a cheese celeste pizza. Drank the coffee and had to wait for the blinding aura migraine part to subside, but was able to participate, it started after the group extra credit project on ANS material of the pre and  postganglionic PNS. A different group member sent it in this time. We didn't see the solutions and I watched the lectures, at first, we had to combine all the other side knowledge to determine the lengths of the nerve fibers as long or short and if parasympathetic and sympathetic where are they located. Have a quiz on week 1 of the week1-8 human development tomorrow am, and got the examsoft software going late in evening after returning from client's house many hours later with laundry in wash. Took a serving of Jameson over ice while doing stressful things like cleaning a pee mess, setting aside the covers on bed the dogs peed on that were just washed to be washed after my linens from massage client earlier, my regular, super nice lady. Only one I am keeping on M-Th. Did the dishes of roommates and fed the kitten outside. I keep feeding her and she is still so skinny. She meows and its cute. The older or bigger cat likes her and they both eat the food I give them, not sure if they are related or how the kitten showed up but it did about 2-3 weeks ago. They get along oddly enough. The larger one is adopted by me and some other neighbors. Very friendly kitties. I have to study the material but wanted to alleviate stress. WE palpated in the on campus courses today and it was more difficult than I imagined finding the PSIS and other bony landmarks on other people and even myself and pubic bones. But we managed. When I got home around 608 pm Growly had another pass out seizure, shit and pee ran out him easily and he was out a few minutes and been coughing a lot with normal meds. He has been coughing more. Poor little guy, he woke up, and I couldn't keep him from passing out before feeding the small cat when returning from campus. I did normal massage from his chest to head to pull oxygenated blood up and out lung cavity but it didn't work today. He got up and was wobbly and out of it and tried to get off couch but fell and tried walking that helped him wake up but couldn't keep his balance and fell a few times. Then went under the bed, the roommate got him out and fed him some lunch meat, helped him out. Then I gave him his meds and went to client's. I had a bloated sick feeling in gut when there, probably from the 9-10 fruit snacks I ate in van on way to campus and back from campus total, the 5th cup kpod coffee vanilla last one left in van,  and the everything bagel not toasted and straight from the bag that was in the van 2-3 days since last I worked on Sunday. It is WEd. I did laundry and had a drink, downloaded the examplify software figured out while digesting the drink I had and it worked and was able to download the exam and wait for the passcode the instructor will give tomorrow. My first time having this sort of software for proctoring exams. We have to have a 2nd device on to view us and assure not cheating via zoom logged into Th LE with exam at 8 am, so no sleeping in past 530 am tomorrow and need to shower, dry hair, make up, brush teeth, etc before class and quiz on wk 1 starts. I think it is 20 minutes. and multiple choice. Also, while digesting the drink after the days activities other than studying for quiz 1. Made another celeste cheese pizza in airfryer but burned it at 9 minutes at 400 degrees. Just like the edges this morning. Went to bed around 11 pm, then woke up at 230 am and studied the ppt slides on the quiz material of wk 1, and went back to bed at 330 after studying while eating about 12 zucchini fingers. </t>
  </si>
  <si>
    <t xml:space="preserve">2 plain bagels
(460.00	2.00	1.00	16.00	92.00	4.00	800.00)
1/2 cup mozz
(120.00	7.50	5.25	9.00	3.00	0.00	285.00)
2 celeste cheese pizzas
(760.00	34.00	18.00	18.00	96.00	6.00	1760.00)
1 Everything Bagel
(240.00	2.00	0.50	8.00	46.00	2.00	630.00)
9 fruit snacks
(720.00	0.00	0.00	9.00	171.00	0.00	180.00)
1 bag Apple chips
(630.00	31.50	4.50	0.00	90.00	9.00	67.50)
12 pcs fried zucchini
(360.00	14.40	2.40	4.80	48.00	2.40	864.00)
=460+120+760+240+720+630+360
=2+7.5+34+2+0+31.5+14.4
=1+5.25+18+0.5+0+4.5+2.4
=16+9+18+8+9+0+4.8
=92+3+96+46+171+90+48
=4+0+6+2+0+9+2.4
=800+285+1760+630+180+67.5+864
</t>
  </si>
  <si>
    <t xml:space="preserve">2 plain bagel
(460.00	2.00	1.00	16.00	92.00	4.00	800.00)
1/2 cup mozz
(120.00	7.50	5.25	9.00	3.00	0.00	285.00)
16 fried zucchini
(480.00	19.20	3.20	6.40	64.00	3.20	1152.00)
8 fruit snacks
(640.00	0.00	0.00	8.00	152.00	0.00	160.00)
Brioche bun
(220	4.5	2.5	7	39	1	280)
1/8 hersheys or 1/3 normal sz hershey bar
(150	9	5	2	17	1	50)
brioche bun
(220	4.5	2.5	7	39	1	280)
1/3 mozz
(80	5	3.5	6	2	0	190)
9 pcs zucchini fingers
(270.00	10.80	1.80	3.60	36.00	1.80	648.00)
=460+120+480+640+220+150+220+80+270
=2+7.5+19.2+0+4.5+9+4.5+5+10.8
=1+5.25+3.2+0+2.5+5+2.5+3.5+1.8
=16+9+6.4+8+7+2+7+6+3.6
=92+3+64+152+39+17+39+2+36
=4+0+3.2+0+1+1+1+0+1.8
=800+285+1152+160+280+50+280+190+684
</t>
  </si>
  <si>
    <t xml:space="preserve">Woke up at 530 am, did normal routine, not much sleep last night, gave Growly his meds, fed babies, had 1st cup of coffee, restarted dryer, had 1st BM after 1st cup coffee then another after 2nd cup in am while studying before the quiz. I also had breakfast before taking measurements, a bagel with mozz cheese and about 9 pcs fried zucchine fingers in airfryer from freezer. Was tired and stressed. Had to set up the 2nd device for zoom to show me not cheating and fiddled with the laptop that was slow and missed a shower until break time at the 2nd LE of FABS1 around 954 am. I did good on quiz, 12/15, about what I expected to do, for the questions. And was tired. No nap, after the lectures, made zucchini during the 2nd LE of day FABS1 and ate on the way to campus LE on CP1. We did some more SI jt manipulations and palpated the bony landmarks but did the gapping and dynamic gapping ?? forget last name and didn't look at lab manual, just followed demo best. Our group all took turns on table with each other separately. On the way home had to go to Riverside to get Growly's meds, the guy is really nice, he made a liquid cold meds that has to be refrigerated, and I was going to workout my arms and back on way home but his meds might have spoiled in the van, so I dropped it home and had a serving of Jameson and another plain bagel with mozz and 3 pickles Vlasic brand in airfryer except pickles. I also had 4 fruit snacks on way to campus and 4 on the way to the pet pharmacy in Riverside. Paid cash with the cash a client gave me, $60 + my own. I stopped off to get fuel with my cash tips from work on the way to campus. I also had a brioche bun with mozz in airfryer in 2nd lecture when making zucchini to eat later. Took measurements around 945 before my quick shower because the break was at 954 am. Measurements taken after eating the 3am zucchini, the plain bagel and brioche bun with mozz, 2 sm BMs after the 3 am zucchini and before the real breakfast of day, and a serving of zucchini for breakfast before any of my courses started. At home had a serving of Jameson, watched the episode this week on hulu of Murderers in the Bldg, and another while watching it and then afterwards updated this listening to the usual spotify country station. I have a couple quizzes in FABS next week and no real time to study, but tomorrow and have a couple of LEs tomorrow then work from 5-10 pm and all day Sat and Sun from open to 5 pm and a client on Sunday at 7 pm. Watched that tv show of 1/2 hour, listened to country music and sang along then watched a romcom I bought for $4 or $5 a month ago that I didn't get around to watching on Vudu and finished the bottle with about 3 drinks in total or 3.5 drinks Jameson. Had some more zucchini fried fingers and a brioche bun and the bagel and mozz to unwind and prepare for my long weekend. No workout today. But will squeeze one in tomorrow if time allows before work. Just arms and maybe back. Nothing cardio. Don't want to sweat. </t>
  </si>
  <si>
    <t>Cheetos flavored popcorn, 2 cups is one serving</t>
  </si>
  <si>
    <t xml:space="preserve">Woke up at 530 am by alarm and snoozed for 10 minutes getting up at 540 am. Washed my clothes hanging up by bed bc Goody or Growly peed on edge of bed and got the long night gowns and dresses hanging up. That bastard! I also washed the linens and covers and mattress pad and replaced with fresh ones being careful to watch Goody. He is usually the one that prefers peeing on all the couches and bedding. Before doing that I did normal routine, no pet messes to clean surprisingly, since we all went to bed around 910 pm and I didn't take them outside since 8 pm. Gave Growly his meds and fed the babies, had my 1st cup of coffee and made a 2nd cup of coffee while roommate was coming in and I had the clothes in wash washing before that time and after feeding babies. Made a brioche bun with mozz for breakfast then had my vitamins 3 of them and the roommate kept announcing the shit he had to take, and realized I had to take one and had a sm BM before drinking my 2nd cup of coffee. Finished it and did the bedding on the bed replacing it and putting the old ones by wash to wash. I have a class LE in CP1 at 8 am for an hour, then CTAP for an hour and a half at 230 pm. I am going to use that bw time to workout at the gym. I should use it to study for quiz in FTABS on Monday, but I can't force myself to study all the time bc I get ADD and have to do that thing whatever it is until it goes away. Ankles weren't swollen when I woke up at all, maybe the sleep helped. Got plenty of it. Even though I ate a ton of sodium yesterday almost twice the daily limit. My ankles are wrinkled like a deflated balloon. They could swell up later. Had the 8-9 am LE then went to gym, chilly outside, and had to put on the heater in the van. Started my workout around 945 am and worked out until about 11 am. Back, arms, and some abs. 3 sets of 8-12 reps same weights overall. Then went to Stater Bros and got some groceries. Came home disinfected the groceries and then put away the dresses and lifted the bottoms onto the tops of hangers so the dogs won't pee on them next time. Put linens in dryer and covers and mattress pad and the roommate's laundry in the washer then had myself a 4th cup of coffee, was getting a blinding aura that reached around to my right eye while driving. It went away as soon as I drank it cold. Had a brioche bun with mozz in airfryer, 3 large bella mushrooms in airfryer before that, and 1 tbs mustard and 4 vlasic pickles on the brioche bun with 3 cups cheetos flavored popcorn. Have class at 1 pm, then when that's over will get ready for work, maybe take a nap since I work late tonight and get up early tomorrow for a long day from 8 am to 5 pm. </t>
  </si>
  <si>
    <t>bella mushroom 3 oz, calorieking.com</t>
  </si>
  <si>
    <t>back rows +10 to 50 lbs instead of 40 lbs, back latts pull down different machine 50 lbs, -10 lbs from 60 lbs last time muscle group worked</t>
  </si>
  <si>
    <t xml:space="preserve">bicep curls 3 sets 12 reps 15 lbs each arm
tricep kick backs, 3 sets 12 reps 15 lbs each arm
deltoids side lifts, 3 sets 12 reps 8 lbs each arm
upper deltoids pectoralis major military press, 3 sets 12 reps 20 lbs each arm
deltoids upper trapz shoulder shrugs, 3 sets 12 reps 20 lbs each arm
hamstrings deadlifts dumbells, 3 sets/12 reps 40 lbs 
rhomboids/lwr trapezius back row machine 50 lbs, +10 lbs
lattisimus dorsi back pull down machine 1 set/12 reps 50 lbs, 2 sets/12 reps 50 lbs,-10 lbs
abs sit ups 3 set 10 reps
abs lower leg lifts 3 sets 10 reps
tricep pull down 3 sets 10-12 reps 30-40 lbs can't read it but struggle, not easy
upr trpz shoulder shrugs 3 sets 12 reps 40 lbs
bench press 3 sets 12 reps 55 lbs
oblique side raises/lifts curls for obliques 3 sets 12 lbs 20 kg=44 lbs
</t>
  </si>
  <si>
    <t xml:space="preserve">chobani almond coco flip yogurt greek, serving 1 </t>
  </si>
  <si>
    <t>chobani vanilla greek yogurt serving 1</t>
  </si>
  <si>
    <t xml:space="preserve">2 brioche buns
(440.00	9.00	5.00	14.00	78.00	2.00	560.00)
3/4 mozz
(180.00	11.25	7.88	13.50	4.50	0.00	427.50)
4 pickles
(6.67	0.00	0.00	0.00	1.33	0.00	533.33)
1 tbs mustard
(0.00	0.00	0.00	0.00	0.00	0.00	55.00)
3 cups cheetos flavored popcorn
(240	16.5	3	4.5	19.5	3	390)
3 lg bella mushrooms
(19.00	0.30	0.10	1.80	3.30	1.10	8.00)
5 fruit snacks
(400	0	0	5	95	0	100)
vanilla chobani yogurt
(110	0	0	12	15	0	60)
3 cups cheetos popcorn
(240	16.5	3	4.5	19.5	3	390)
celeste cheese pizza personal sz
(380.00	17.00	9.00	9.00	48.00	3.00	880.00)
chobani flip almond coco yogurt
(200	9	4	9	20	2	80)
=440+180+7+0+240+19+400+110+240+380+200
=9+11+0+0+17+0+0+0+17+17+9
=5+8+0+0+3+0+0+0+3+9+4
=14+14+0+0+4.5+2+5+12+5+9+9
=78+5+1+0+20+3+95+15+20+48+20
=2+0+0+0+3+1+0+0+3+3+2
=560+428+533+55+390+8+100+60+390+880+80
</t>
  </si>
  <si>
    <t>boomin blueberry bagel Daves Killer brand</t>
  </si>
  <si>
    <t xml:space="preserve">all 3 sets 10-12 reps normal weights machines unless otherwise
quads extensions 40
hamstrings curls 40
inner thighs 50
outer thighs 60
squats dummbells while doind cardio bw sets and after 1 set 20 reps 3 sets 12 reps with 40 lbs of weight in the 20 lb dumbells
cardio 5 3-minute rounds with 1 minute break bw total of 15 minutes cardio kickboxing
</t>
  </si>
  <si>
    <t xml:space="preserve">Woke up at 4 am to give Growly his meds early bc he wouldn't stop coughing. Gave him the sweet syrup vetmedin syrring and the other 2 pills enamaril and lasix crushed in vanilla yogurt he ate willingly and then went to bed until alarm went off and snoozed 10 min to get up and out of bed at 540 am. Made babies their food, not pet messes to clean, and made my coffee. Looked at the news, and had a 2nd cup of coffee, took measurements 1/2 through 2nd cup of coffee and roommate got home. Finished 2nd cup of coffee and had a reg BM. Then made breakfast, yogurt the almond coco flip greek yogurt of chobani with my multivitamins and got ready for work. No drinks last night when I got home bc didn't feel like it and drank all the Jameson. Went to bed with compression socks on but could see by my shoes that my ankles were protruding some so they're swollen. I went to work, the front desk Nicky said something about my 3rd client who is impatient and the only one I have had that wants me to be there to get her right on the dot or ask, so Nicky told me to give her her fully time. And I always do. I asked the client when massaging her and she told me that alls she told Nicky was that if I come to get her that if she could tell me she went to the bathroom and that she only waited 4 minutes. I told her the clients getting out on time isn't something we control and the back to back her being the 3rd is expected to start a few minutes after the hour after disinfecting and getting room ready. I thought it was a shitty thing for Nicky to say, bc she didn't even say she went to the bathroom but asked if I was ready bc she was waiting. Like intentionally trying to stress me out and not help. Just pile on shit to my day. She is unhelpful most the time. Nicky is. For lunch had a yogurt, a bagel and the last of the popcorn and some fruit snacks and 4th cup coffee. Then after work I had a 5th cup coffee and another bagel and went home, gave Growly his meds and went to gym for legs and 15 minutes cardio kickboxing after the leg workout and doing dumbell squats during and after. Then went home started my laundry, did some studying of FABS1 first LE, made a sandwhich with the Good Earth brand burger patties from Aldis that remind me of BBQing someone's shit and couldn't eat it, gave to pups. Even after airfrying it is the consistency of soft mush. Gross! I just ate the brioche bun with pickles and mustard and mozz cheese. Then got tired studying 2nd ppt on vertebral column and went to bed at 930 pm, woke up and laid in bed around 10 pm and went back to bed until a little after 5 am. </t>
  </si>
  <si>
    <t xml:space="preserve">vanilla chobani greek yogurt
(110	0	0	12	15	0	60)
2 Dave's Killer brand blueberry bagle boomin blueberry
(520	5	0	22	96	6	760)
4 cups cheetos popcorn
(320	22	4	6	26	4	520) 
almond coco chobani greek yogurt
(200	9	4	9	20	2	80)
4 fruit snacks
(320	0	0	4	76	0	80)
8 pcs fried zucchini
(240	9.6	1.6	3.2	32	1.6	576)
brioche bun
(220	4.5	2.5	7	39	1	280)
4 vlasik pickles
(8	0	0	0	1.6	0	640)
1 tbs mustard
(0.00	0.00	0.00	0.00	0.00	0.00	55.00)
1/3 cup mozz
(80	5	3.5	6	2	0	190)
=110+520+320+200+320+240+220+8+0+80
=0+5+22+9+0+10+5+0+0+5
=0+0+4+4+0+2+3+0+0+3.5
=12+22+6+9+4+3+7+0+0+6
=15+96+26+20+76+32+39+2+0+2
=0+6+4+2+0+1.6+1+0+0+0
=60+760+520+80+80+576+280+640+55+190
</t>
  </si>
  <si>
    <t xml:space="preserve">Woke up at 515 am and got out of bed when the alarm went off at 530 am, gave Growly his meds while roommate cleaning pet messes as he got home around 510 am. I accidentally knocked over the refrigerated meds I just got for $65 from the pet pharmacy in Riverside and only have a little bit left. I probably knocked over at least half of it while holding Growly so he wouldn't hide under the bed and trying to put him in the other arm while giving him his meds and him refusing it as always. That sucks! Great day to start a morning, not! And thats not used since the 90s. The phrase. Made my coffee and fed the babies. Updated this data base after looking at some of the study material in FABS1, didn't realize that I was supposed to write into the ppt lectures where the arrows were. I know I took separate notes in my notebook and drew what I could while he talked but I might have to go back and review the recorded zoom LEs to fill in. Had a 2nd cup of coffee and didn't start it while it cooled. My ankles I noticed when checking the swollen ankles aren't that swollen to start the day. Won't be working out today bc they close early and I would have if they stayed open bc I have a client at 7 pm and will be done at 8 pm. But do need to study a bunch of memorization of body skeletal and vertebral bodies for quiz tomorrow at 10 am. Also, set aside time to get examplify to take exam if that is what we are doing. Had a reg BM then washed hands and felt cramps in my abdomen and had a 2nd sm BM after washing hands then washed hands again. I started getting the cramping yesterday after my cardio workout at the gym. Measurements taken after a couple BMs and before breakfast and after finishing 2nd cup of coffee. Had the last almond coco greek yogurt Chobani brand with my multivitamins for breakfast. Throughout the day had 7 mushrooms airfryed, 2 brioche buns, 1/2 cup mozz, 1 tbs mustard, 1 BB bagel, 12 vlasic pickles, 1 vanilla chobani yogurt, 3 fruit snacks, 1 slice Amercn cheese, 5 crisscut fries sweet potato, 1 hot cocoa and went to bed around 1115 pm after studying by filling in my pdf slides for the class while viewing the recorded LEs. My 7 pm client rescheduled for next Sunday same time. Also after work, stopped at Ralphs and got some liquor. A Jameson and Patron to replace the roommate's that I drank over time and one for my self. I thought it was a classic Kettle One but realized at the register its a lemon citron flavored Kettle One and all were on sale and party size or large bottles. Didn't have any alcohol but thought about it, but saw all the notifications for my five classes and didn't want to be scatter brained in the morning and forget something important. </t>
  </si>
  <si>
    <t>hot cocoa with marshmallows packets in a box</t>
  </si>
  <si>
    <t>sweet potato fries, crisscut, serving 1 cup</t>
  </si>
  <si>
    <t>kettle one citron flavor</t>
  </si>
  <si>
    <t xml:space="preserve">almond choco greek yogurt chobani brand
(200	9	4	9	20	2	80)
7 bella mushrooms
(38	0.6	0.2	3.6	6.6	2.2	16)
2 brioche buns
(440	9	5	14	78	2	560)
1/2 cup mozz
(120	7.5	5.25	9	3	0	285)
2 tbs mustard
(0	0	0	0	0	0	110)
12 vlasic pickles
(16	0	0	0	3.2	0	1280)
vanilla greek yogurt chobani brand
(110	0	0	12	15	0	60)
3 fruit snacks
(240	0	0	3	57	0	60)
5 crisscut fries about 3/4 cup
(97.5	3.75	0	1.5	15	2.25	247.5)
hot cocoa
(110	1	0.5	1	24	0	150)
blueberry bagel Daves Killer brand
(260	2.5	0	11	48	3	380)
1 slice processed American cheese of roommate's
(70	5	3	4	1	0	250)
=200+38+440+120+0+16+110+240+98+110+260+70
=9+1+9+8+0+0+0+0+4+1+3+5
=4+0+5+5+0+0+0+0+0+1+0+3
=9+4+14+9+0+0+12+3+2+1+11+4
=20+7+78+3+0+3+15+57+15+24+48+1
=2+2+2+0+0+0+0+0+2+0+3+0
=80+16+560+285+110+1280+60+60+248+150+380+250
</t>
  </si>
  <si>
    <t>Daves Killer Brand everything bagels, 1 bagel</t>
  </si>
  <si>
    <t xml:space="preserve">bicep curls 3 sets 10 reps 15 lbs each arm
deltoids side lifts, 3 sets 12 reps 8 lbs each arm
upper deltoids pectoralis major military press, 3 sets 8 reps 20 lbs each arm
deltoids upper trapz shoulder shrugs, 3 sets 12 reps 20 lbs each arm
hamstrings deadlifts dumbells, 3 sets/12 reps 40 lbs 
rhomboids/lwr trapezius back row machine 50-&gt; 60 lbs, +10 lbs
lattisimus dorsi back pull down machine 3/10 reps 50-&gt;60-&gt;70 lbs
abs sit ups 3 set 10 reps
abs lower leg lifts 3 sets 10 reps
tricep pull down 3 sets 10 reps 30-40 lbs can't read it but struggle, not easy
</t>
  </si>
  <si>
    <t xml:space="preserve">brioche bun
(220	4.5	2.5	7	39	1	280)
mozz 1/2 cup
(120	7.5	5.25	9	3	0	285)
2 hot chocolate
(220	2	1	2	48	0	300)
2 beyond patties
(520	36	10	40	10	4	700)
8 pickles
(16	0	0	0	3.2	0	1280)
2 tbs mustard
(0	0	0	0	0	0	110)
5 fruit snacks
(400	0	0	5	95	0	100)
2 everything bagels Dave's Killer brand
(520	10	1	26	88	10	700)
3 fruit snacks
(240	0	0	3	57	0	60)
3 boiled eggs
(210	15	4.5	18	0	0	210)
3 pickles vlasic
(6	0	0	0	1.2	0	480)
=220+120+220+520+16+0+400+520+240+210+6
=4.5+7.5+2+36+0+0+0+10+0+15+0
=2.5+5+1+10+0+0+0+1+0+4.5+0
=7+9+2+40+0+0+5+26+3+18+0
=39+3+48+10+3+0+95+88+57+0+1.2
=1+0+0+4+0+0+0+10+0+0+0
=280+285+300+700+1280+110+100+700+60+210+480
</t>
  </si>
  <si>
    <t>Woke up at a little bit after 435 am and laid in bed, thinking it was 530 and the alarm didn't go off bc my little non LED clock had arms viewable that looked like about 535. When I got out of bed there were some little turn poop messes of the babies on the floor scattered that I left after seeing the time as 435 am and laid in bed. Got up realizing I still have more studying to do and cleaned the pet messes, made my keuring 1st cup coffee in my bedroom and gave Growly his meds no messes and fed the babies. The roommate was on the phone with someone last night loud and yelling about Biden and sales tax and blaming him for everything. He was really loud and I asked him to keep it down. He left his dishes in the sink. I went to bed at 1115 pm approximately and woke up at around 430 am, so thats about 5 hours of sleep. My last class gets out at 230 pm and my quiz is at 10 am and a 2 hour LE course. Will be lab at some point when we catch up on the ppt pdf slides. Did some review of the last pdf slides needed for quiz 1 to study and had a brioche bun with mozz in the airfryer and my multivitamins after 1st cup of coffee and a reg BM and then another 2nd tiny BM with abdominal cramping associated with these BMs. Probably the Greek yogurt bc that is a different addition to my diet. I usually don't have any abdominal cramping before a BM, but the cramping also started yesterday after working out in the gym, immediately after leaving the bag area after stretching. It could also be a slight flu or my side effects from being vaccinated for COVID but having some other strain in the gym. I am just getting paranoid, but good to note just in case someing gets amplified later. I took my measurements after the BMs and while the brioche bun and mozz was in airfryer 3 minutes and cooling. around 630 am. When eating breakfast I called my mom to check in on her. and couldn't get a hold of her, the nurse in charge said bc they hand out meds at this time 830 their time and the nurse handling Mom will call me back and she took my phone number and 1st name. Also, just want to note when I took Goody outside to potty and other babies, the moon was visible in distance beyond neighbors Maria house as a full moon that was orange in color as the sun rise took place or was about to around 5 am. I also texted my sister to wish her happy birthday later while drinking first cup of coffee. Did some studying then updated this db. Going to shower before taking the quiz. Checked Canvas and emails, nothing new other than an ad from Draw it to Know it. Had the quiz, but while studying before 3rd cup had 3rd tiny BM. Took a shower around 730 am after my 3 BMs for day. No stomach cramping afterwards. Not sure why but the last two were practically tiny and probably part of first dump but body cleaning out rectum. Probably should drink more water since I am drinking 5-6 cups of coffee a day. Snacked all day, then had to resend a group lab that my group partner in CP1 and This group today of FABS1 had technical errors sending. I got the email late after the 2nd and last LE of day. Something interesting about stem cells and the cell replication is that the prolotherapy for athletes to repair tendon damage in 6 wks instead of 6 months, isn't part of cell division, it is entirely stem cells that somehow don't need to divide and go through the cell cycle. This is from the expert, and he later explained it briefly in the next ppt after answering my group chat question. I thought it was cell division but with stem cells. This needs a thorough walk through of how it works. I need to know this. Because I connected my information in genetics and biology to understand that it is cell replication that is going on in that tissue that is repairing the damaged low to no vascular tissue. Its not meiosis. Maybe he was not understanding the overall question. He just referenced the same bit of info I know about the morula and embryo and embryonic tissue in early development specifically bw 3-7 days without mentioning it precisely. This would be huge to have this medical procedure available to the public instead of just those super millionaire athletes that can afford to pay a million + USD for the procedure. I worked out at the gym in my black knit christmas tree sequence sweater from Macys and it was great, sat right next to a male who looked possibly Down's Syndrome but maybe on a spectrum that kept him from being incapacitated, though he did sit at the bench a while. He was trained great. Asian Filipino too, had muscle, not my type, even though my current ex husband is a mentally retarded person, he doesn't look it. It takes a while to discover it and is masked by his misogyny and racism so it is hard to tell at first. But he is told what to think and do. He was bitching out loud on the phone to someone who was listening about sales tax for example (for christ's sake is not my language and is a cliche). Nobody is my type. I am an asexual now. Stages of being a CA native feminist. For my workout I did arms, abs, back, but not all exercises and increased my weight some. Had a drink of that kettle one citron over ice. Gave me gas and made me think I had to have a BM but it was just gas. Must have a lot of sugar in it. It tasted good though. I was updating this for the part since the 3rd BM while drinking it, its gone. I have to add in the nutrition for yesterday and today's food. I am hungry. I want beyond nachos the way I make them. If I had money to waste I would buy a shop and make fast food with ONLY beyond meat of the best staples like In-N-Out cheeseburgers and nachos that didn't burn or leave black carcinogenic residue like most fast food places do when cooking beyond patties quick. Other than fat burger that uses impossible meat and soy. Beyond meat is pea protein and it is possible that some people are allergic to peas. But they would know that on the store window. To me, food that is cooked with beyond meat is bomb as in delicious AF. But the animal meat eating folks don't yet devote their life to being dependent on only meat substitute. Especially when bad actors like Aldi's vegetarian and vegan beef patties make the meat substitute selections taste, look, and feel like shit, any mammalian shit. Or just gross. Case in point: Dr. Praeger's vegan meat patties and their Good Earth brand. Disgusting! Its like tasting sushi for the first time at a buffet that kept the sushi rolls out on the floor all day. Just not appealing or representative of the way sushi is supposed to taste and satisfy. Updating this then had a beyond burger on everything bagel by Dave's Killer brand. Got my Amazon order earlier, the winter coat is a snowboarding coat and it is super warm. As soon as I put it on I knew I would be warm in it when the weather starts getting cold. It is already chilly in the morning. I had the burger then decided to continue updating this db and had a 2nd drink. Didn't have gas with this one. Watched 'Spell' a 2020 horror film about voodoo and had a 3rd drink and 3 boiled eggs and 3 pickles and 3 fruit snacks before the former by about 40 minutes. Poured a 4th drink but never drank it. I didn't have any snacks to snack on like chips so thats why i made the boilded eggs with pepper and paprika whole and pickles. After the movie I edited the pdf ppt version of the plain text group work for our lab around 930 pm sent it by email to the professor. But not sure if he got it bc he doesn't reply. Its odd but I have emailed him a question and no reply and also when chatting directly to confirm test finished he didn't reply but another doctor or colleague of his but a dr replied. Maybe its against his religion not to have direct contact I don't know. Its weird. He did email us in the afternoon about it. I will ask Max tomorrow about it. I have his number but didn't ask him about it. I have him in my CP1 class too. Went to bed around 1015 pm.</t>
  </si>
  <si>
    <t xml:space="preserve">Woke up at 530 am but got up an hour before that to pee and my lower back hurt a little bit. I went to sleep with shorts on that had a waistband and its probably why my lower back hurt a little. I usually don't sleep with anything on my waist pressing on it. I got up after the 530 alarm went off. I want to do some studying before my 10 am class and watch the prerecorded video and do some studying of my FABS1 quiz#2 this Thursday at 9 am. Did normal routine, gave Growly his meds after making my coffee, fed the babies and took them outside and fed the kitten. She is so adorable. Took measurements early today, before finishing 1st cup of coffee, a BM, and before breakfast. Ankles weren't that swollen when I woke up, not swollen for the most part other than some by lateral malleola L ankle. Had my LE online and it was a group lab, I only watched part 1 before class and it took me from 7 am to 920 am to take notes on a 1 hr and 40 minute prerecorded LE. Fortunately, there were a few others that saw the part 2 prerecorded LE. The announcements only said to watch the part 1 &amp; 2 before the pre-class quiz today which I took after working out after the LE and after watching part 2 and part 3 of prerecorded LE after the LE ended that were about 25-30 minutes each in time length and about 40 minutes each to take notes on. I have been using the ppt to write notes in but for the actual LE when he starts the LE I will be using my pen to handwrite instead as the digital pen notetaking gives my hand a cramp due to this embedded notebook mouse pad that sucks and doesn't pick up the pen in certain parts of the pad like the outer edges and sometimes dead center of it. When I got back from working out I had a drink and another bagel but with 1 of the boiled eggs, same as for breakfast which was an everything bagel of DK brand with a boiled egg, mustard and 3 pickles and about 1/4 cup mozz cheese, same for lunch right after the LE ended and when viewing the prerecorded part 2 and 3 LEs. I reviewed my notes on top of the ppt of the pectoral and thoracic muscle regions then took the five question quiz. I saw our group lab work was graded as a 4/5 and the quiz I got the same 4/5. We did miss the last few questions and I communicated with Tori and Stevie via email and used Tori's answers she posted image of after trying my own solutions and uploaded as a new submission with Tori's answers. Seemed reasonable. I was the one sharing my screen bc everybody else had a tablet or didn't want to. I don't have any weird stuff on my computer like ads. My instructor is funny. His prerecorded LE on part 1 shows him sharing his screen and an ad came up on his computer desktop for gay men, men searching gay men, wink wink gay men, etc. Then some lady's mic interrupted shortly after telling somebody that if they did it again and walked by some area 'no carwash!' and she means it, then cut back to the LE. I guess its little kids she has to watch while at home on the virtual and that the car wash must have some really fun stuff for kids. I did go to Target immediately after the gym (legs mostlyinner/outer/squats/quad ext./ham curls/dumbell rows rhombs/side lifts obliques/ bench press pec majr and 15 minutes of cardio kickboxing with 30 second rest intervals instead of 60 minute rest intervals) and got some more wash rags, curtain liner, cotton underwear because mine have blood stains all over them, and wanted to get some pkgs of bottle watter the 16 oz size, but believe it or not the Target in Dos Lagos didn't have any pkgs of bottled water. I went to STater Bros up street on cajalco and got their brand 35 pk water a couple of them and snagged a $20 bag of chocolate candy bars designed for Trick or Treaters on Halloween. But won't be used for that. After the quiz I reviewed the short videos on skin and Lymph for my on campus class on IPA, and put clothes in dryer then went to bed. Only 1 drink. It made me groggy and it was a hot day today. 100 degrees is what the weather said for pretty much any time of day. Bed time was about 1015-1030 pm. I also made a pot of nachos with beyond meat that I burned some of the vegan meat and yellow and orange bell peppers with, but most could be salvaged. It was just the pan side as I kept it on medium heat covered for 20 minutes and didn't stir it even once but did put olive oil in it. I didn't eat any of the nachos bc I had the 3rd egg pickle mustard mozz everything bagel while it was cooking. But I will probably have some for lunch. Picked up some beyond and impossible burger patties from Target as well more toothpaste, tooth brushes, qtips, and cleaning spray and bagels. </t>
  </si>
  <si>
    <t xml:space="preserve">3 everything bagels
(780	15	1.5	39	132	15	1050)
4 eggs boiled and sliced
(280	20	6	24	0	0	280)
3/4 cup mozz
(180	11.25	7.875	13.5	4.5	0	427.5)
2 tbs mustard
(0	0	0	0	0	0	110)
12 pickles vlasic
(20	0	0	0	4	0	1600)
2 fruit snacks
(160	0	0	2	38	0	40)
=780+280+180+0+20+160
=15+20+11+0+0+0
=2+6+8+0+0+0
=39+24+14+0+0+2
=132+0+5+0+4+38
=15+0+0+0+0+0
=1050+280+428+110+1600+40
</t>
  </si>
  <si>
    <t>inner thighs machine 50 lbs
outer thighs machine 50 lbs
quads leg extensions 50 lbs
hamstrings curls 50 lbs
pec mjr bench press inclined bench 65 lbs
rhomboids upr trpz dumbell rows bench 35 lb wt disk +15 lbs
obliques side lifts 35 lb wt disk, 20 kg=44 lbs norm. -9 lbs
quads squats barbell 25 lbs each side 95 lbs +10 lbs
all 3 sets of 8-12 reps each</t>
  </si>
  <si>
    <t>Stater Bros Parmesan shredded cheese, 1 serving 1/4 cup</t>
  </si>
  <si>
    <t>Cinnamon Raisin Daves Killer Brand Bagel, 1 serving is 1 bagel</t>
  </si>
  <si>
    <t>milky way mini, 4 pcs</t>
  </si>
  <si>
    <t xml:space="preserve">m&amp;ms 2 pkg mini </t>
  </si>
  <si>
    <t>mini snickers 3 pcs</t>
  </si>
  <si>
    <t>twix mini 3 pcs</t>
  </si>
  <si>
    <t>3 musketeers mini 5 pcs</t>
  </si>
  <si>
    <t>beyond meat 2 yellow/orange bell peppers 2 tbs olive oil, pot makes 4 bowls</t>
  </si>
  <si>
    <t>1 1/2 bowls beyond and bell peppers and olive oil
(500.25	37.50	9.00	30.75	12.00	3.75	526.50)
3 cinnamon raisin bagels Dave Killer bread brand
(810.00	9.00	0.00	36.00	153.00	9.00	1200.00)
1/2 parm cheese
(220.00	14.00	9.00	20.00	4.00	0.00	740.00)
5 fruit snacks
(400.00	0.00	0.00	5.00	95.00	0.00	100.00)
mini chocolate halloween candy 
3 mini milky way
(112.50	4.50	2.63	0.75	18.00	0.00	37.50)
4 mini m&amp;Ms snax
(260	10	6	2	38	2	40)
2 mini snickers
(86.67	10.00	6.00	2.00	38.00	2.00	40.00)
4 twix mini
(200.00	9.33	5.33	1.33	26.67	0.00	80.00)
2 blueberry bagels Daves Killer bread brand
(520.00	5.00	0.00	22.00	96.00	6.00	760.00)
8 vlasic pickels
(15.00	0.00	0.00	0.00	3.00	0.00	1200.00)
2 tbs mustard
(0.00	0.00	0.00	0.00	0.00	0.00	110.00)
=500+810+220+400+113+260+87+200+520+15+0
=38+9+14+0+5+10+10+9+5+0+0
=9+0+9+0+3+6+6+5+0+0+0
=31+36+20+5+1+2+2+1+22+0+0
=12+153+4+95+18+38+38+27+96+3+0
=4+9+0+0+0+2+2+0+6+0+0
=527+1200+740+100+38+40+40+80+760+1200+110</t>
  </si>
  <si>
    <t>Woke up at 530 am by alarm. Had the AC on bc it was hot. Restarted dryer, gave Growly his meds, fed the babies, made my coffee, updated this database first thing before jumping into reviewing study materials or class material before class. Quiz in FABS1 tomorrow on Biomechanics of spine LE. I haven't reviewed at all bc catching up on GA1 or preparing for the preclass quiz that I completely forgot to take before class last week and was determined not to forget to take it ever again. Got about 6.5 hours sleep and my ankles were still swollen this morning when I woke up. Had a reg lg BM before finishing my 2nd cup of coffee then took measurements immediately afterwards. Finished my 2nd cup of coffee while folding the laundry before getting ready for my 8 am class at 730 am by showering and putting makeup on and breakfast and multivitamins. Time goes by fast. I also have my regular 7 pm client tonight and studying after getting back from my campus courses on site that end at 5 pm. Updated the next day from notebook, I studied when I got home from my clients 7 pm appt, she's cool, my regular and her cat, after driving home from on campus chiropractic adjustments and palpations CP1 course and intro to phys assessment IPA1. Studied after eating more bagels. Had a blinding part of HA migraine, but the HA never hit bc I had some instant coffee for 6th cup coffee after course. And it fixed the problem, but got the blinding line of like a split in the atmosphere in my vision Went away after 10 min after drinking the coffee. Munched on halloween candy on the way home slightly melted. Ate the bagel late for energy that didn't really work but was good. Was able to study for quiz #2 in FABS 1 and went to bed about 1015 pm, not too late.</t>
  </si>
  <si>
    <t xml:space="preserve">1 1/2 impossible patties
(360.00	21.00	12.00	28.50	13.50	4.50	555.00)
1 bowls beyond and bell peppers and olive oil
(333.50	25.00	6.00	20.50	8.00	2.50	351.00)
1 cinnamon raisin bagels Dave Killer bread brand
(270	3	0	12	51	3	400)
1 blueberry bagel Dave Killer Bread brand
(260	2.5	0	11	48	3	380)
1/2 parm cheese
(220.00	14.00	9.00	20.00	4.00	0.00	740.00)
2 fruit snacks
(160.00	0.00	0.00	2.00	38.00	0.00	40.00)
mini chocolate halloween candy 
3 mini milky way
(112.50	4.50	2.63	0.75	18.00	0.00	37.50)
2 twix mini
(100.00	4.67	2.67	0.67	13.33	0.00	40.00)
2 mini m&amp;Ms snax
(130	5	3	1	19	1	20)
2 twix
(100.00	4.67	2.67	0.67	13.33	0.00	40.00)
6 vlasic pickels
(10.00	0.00	0.00	0.00	2.00	0.00	800.00)
2 tbs mustard
(0.00	0.00	0.00	0.00	0.00	0.00	110.00)
popcorn movie theater brand BUtter Lovers ActII
(140	7	3	2	20	3	310)
after 8 pm
Blueberry bagel
(260	2.5	0	11	48	3	380)
10 pickels
(16.50	0.00	0.00	0.00	3.30	0.00	1320.00)
1 tbs mustard
(0.00	0.00	0.00	0.00	0.00	0.00	55.00)
2 snickers mini
(85.80	3.96	1.65	1.32	11.22	0.66	42.90)
2  3 musketeers mini
(87.10	2.35	1.34	0.67	15.41	0.00	36.85)
2 twix mini
(100.50	4.69	2.68	0.67	13.40	0.00	40.20)
2 milkyway mini
(75.00	3.00	1.75	0.50	12.00	0.00	25.00)
2 m&amp;ms mini
(130	5	3	1	19	1	20)
=360+334+270+260+220+160+113+100+130+100+10+0+140+260+17+0+86+87+101+75+130
=21+25+3+3+14+0+5+5+5+5+0+0+7+3+0+0+4+2+5+3+5
=12+6+0+0+9+0+3+3+3+3+0+0+3+0+0+0+2+1+3+2+3
=29+21+12+11+20+2+1+1+1+1+0+0+2+11+0+0+1+1+1+1+1
=14+8+51+48+4+38+18+13+19+13+2+0+20+48+3+0+11+15+13+12+19
=5+3+3+3+0+0+0+0+1+0+0+0+3+3+0+0+1+0+0+0+1
=555+351+400+380+740+40+38+40+20+40+800+110+310+380+1320+55+43+37+40+25+20
</t>
  </si>
  <si>
    <t xml:space="preserve">Woke up at 530 am and snoozed 10 minutes till 540 am then got out of bed did normal routine, my coffee, Growly's meds, fed babies and outdoor cat/kitten, studied for quiz 2 in FABS, and showered by 735 am. Had GA1 first, instructor is super smart and knows a lot about the body, but he didn't say anything about my client's ticklis ESM that never goes away when asked 2 min before class at 758 am. Just that he gets ticklish and when adjusted by Dr. Bui he gets ticklish but it never goes away and to use something to distract clients nervous system like hot packs to add pressure. He is nice though. I was expecting a really in depth informational underlying explanation for why the client has the ticklish spot similar to how people with sweaty palms get treated by having botox injections in palms to prevent the ANS from causing the sweating or before that cut or severing of the efferent C7:C8 nerves. Took quiz on examplify and used the acer alternate lap top that is super slow even though it has 4 gb RAM. It should be fine. Retarded it is though. ANd super slow. It worked though. And the cell phone, I cannot access the chat menu and do not know how to get to it on the android cell zoom app. The chat is where the instructor Professor Bui sends the examplify pass code.  Left at 11 am, cutting out of Dr Bui's class at 11 am. He was still talking, but for answering questions. Made it on time to class after putting fuel in my van. $40. Measurements taken after 2nd tiny BM after a 1st BM 20 minutes earlier after drinking 1st cup coffee and halfway through 2nd cup coffee. Had 4 cups coffee by 930 am and then 5th before leaving for campus and  6th cup coffee on the way back from campus. I went there for open lab with JP, Max, and Mario. Ali was going to go, and she got there early but didn't know where to go and didn't consequently and didn't have our numbers. She transferred from a 10 term track to 12 track. No BS or BA just had enough credits, same for Mario. I thought it was a requirement, but learned the other day that it isn't a requirement, bc as long as you have more than 90 units or 3 yrs college credits and all the science courses they will consider you for the Doctoral of Chiropractic program. For breakfast was same as late dinner last night, airfryed cinnamon bagel with pickles mustard parmesan instead of mozz and is really flavorful to me with last of beyond meat and bell peppers, for lunch at campus or on the way to campus had one of the two impossible patties that was on a bottom of cinnamon and top of blueberry Daves Killer bread brand with parmesan cheese shredded, pickles, and mustard. Had 1/4 for the pups and cut two of those into quarters, and after work had 2 of those and gave other 1/4 to the babies. Growly was outside and wasn't hyperventilating but passed out with a seizure on the dirt and got messy. I gave him a shower in sink  with warm water and washed off the pee and dirt from him and did laundry of my clothes and the babies' couch blanket and the towels used for babies and drying Growly. had 1st vodka lemon drink at 430 pm, arriving home at 4 pm from campus. Watched another episode made available on Only Murderers in the Bldg on Hulu. It doesn't show on my recommender system with hulu like they don't think it is locking me in to stay tuned and consequently keep monthly subscription. I had to add it to mystuff in Hulu. There is another tv series on FX on Hulu called Last Man that looks interesting, bc w/ this vaccine, if it does sterilize people who get it, only the males would be affected as their gametes are the only ones that carry on the DNA changes, as female's DNA is already made and stored in a vault of their ovaries until their monthly cycle and undergoes 2nd meiosis and crossing over and randomization of DNA genes with male when fertilizing if fertilized. So it makes sense that it could be the end of males if they cannot any longer produce human beings or procreate. Interesting play on evolution. Thats not what the series is about, but that is why I have an interest, mindlessly, in it. I did score well enough on my FABS quiz 2. 7/8 is better than the minimum of C. I find these courses so interesting as they are and am learning quite a bit. This system takes away the retarding stress of trying to be an elitest in succeeding not having to get a B or A but just not a D or lower. Measurements taken before breakfast and after 2 BMs. Had another one later in evening for 3 BMs, 2 reg BMs and 1 tiny BM. The 3rd reg BM was after a couple drinks and when snacking and watching tv on hulu. Went to bed around 1030 pm bc tired and Blink camera was on in bedroom pointed at wall and time lights went out. Turned it around in middle of night. Had 3 drinks all day.  I also ordered another massage table that is light weight aluminum and can be made to get low to ground at less than 24" but not thick foam nor wide for big people. It will work. If they are uncomfortable I can put the more comfy table up for them at my mobile massages. I also ordered a cat house, designer looking for the kitten outside that is our new little friend, and the rest of a halloween costume just simple Cleopatra or Egyptian goddess one. It will probably be stuck on my clothes rack. Used my credit card. </t>
  </si>
  <si>
    <t xml:space="preserve">1 BB bagel DK brand
(260	2.5	0	11	48	3	380)
1/4 cup parm cheese shredded SB brand
(110	7	4.5	10	2	0	370)
4 vlasic pickels
(16.50	0.00	0.00	0.00	3.30	0.00	1320.00)
1 tbs mustard
(0.00	0.00	0.00	0.00	0.00	0.00	55.00)
1 beyond meat patty
(260.00	18.00	5.00	20.00	5.00	2.00	350.00)
3 3-musketeer minis
(78.00	2.10	1.20	0.60	13.80	0.00	33.00)
1 twix mini
(50.00	2.33	1.33	0.33	6.67	0.00	20.00)
2 mini m&amp;Ms snax
(130	5	3	1	19	1	20)
=260+110+17+0+260+78+50+130
=3+7+0+0+18+2+2+5
=0+5+0+0+5+1+1+3
=11+10+0+0+20+1+0+1
=48+2+3+0+5+14+7+19
=3+0+0+0+2+0+0+1
=380+370+1320+55+350+33+20+20
</t>
  </si>
  <si>
    <t xml:space="preserve">Woke up at 530 am by alarm. Woke up earlier but didn't get out of bed and went back to bed. Noticed bedroom blink was pointed at bed instead of wall and turned it around at around 1 am. I watched a few episodes of Last Man before bed and its not that intriguing, especially for an FX series. Not sure about investing my free time watching it. I ate a ton of candy last night and had 3 drinks all night and a blueberry bagel but wrote it down knowing I would forget. Had a reg BM after my first cup and a half of coffee. My belly is big today, and if all is normal, I should be starting my menstruation soon bc its usually 26-28 days. Could be menstrual bloat. With all the sodium I had last night, my ankles weren't that swollen waking up. But I marked it early bc I have work later and classes later, bc the afternoon class is a prerecorded one I still need to view that LE and take notes we could be having a quiz Monday in that class. Starting with the CP1 class this morning at 8 am. Measurements taken before breakfast and after a reg BM. Breakfast was a BB bagel with pickels, parm shredded cheese, mustard, and one of the beyond patties I made in airfryer, 2 in pkg. One for later. Shared 1/4 of it with babies. They love it. Its good. Had my multivitamins with it. I forgot to get more multivitamins at Target last time I went. I am almost out. I got a call from Mo that Mom is on intubator at 630 am or so, called her back before my 8 am LE on CP1, had drank a couple of cups coffee I think up to 3 cups the norm, had a 2nd tiny BM for the day. Must be dehydrated. She said it was serious, as I thought she was getting better. I called the hospital to see if I should take off from work and give late notice to my manager, and the dude in charge of that station ICU bed 1 Jack gave to my little sister Becky who called me back only to bitch about me and talk to me about how selfish and stupid I am for only checking in every few days, accused me of not talking to her since Sat. When I called, the nurses  update me. I didn't like it and told her sorry for her loss and I know she was there a month, but that she needs to stop talking to me that way and to fuck herself and she hung up. She is an entitled little spoiled brat. no respect for anybody, thinks she knows everything and that is what annoys my mom about her. My mom thinks she is more selfish than all of us, bc she runs her mouth and gets pissed at them for watching the news Fox in TX and took off and left them there. Today is the day exactly sincer her dad Dave died at 56 years old. I called back the hospital a few minutes later to be updated and Jack said its violation bc I have to speak to my lil sis even though I am her daughter. I asked if I came down if I could see her and he checked and said 1 person at a time only bw 9am-6-m. I got a flight first thing on first thing thats affordable and called off. Mger was ok and I accidentally texted her on group chat and a couple coworkers wished the best prayers for her. So my lil sis and older sis both treat me like shit and talk to me like I am incompetent or dumb. I have no idea why. Updating this on the way from the 1st layover in Denver to Houston. I should get there at 7 pm TX time, over the visiting hours and still need to drive 35 miles approx to the hospital or take an uber/lyft. Told the roommate and that he needs to give Growly his meds, hopefully he remembers he should bc He told me he is sorry to hear that.  My sis drove there, Mo, with both my nieces and is there now. Thankfully they arrived safely. They were both a couple hour flights each from ONtario to Denver and Denver to Houston. Thankfully not crammed in the airplane cabin for too long, and the 2nd flight was much roomier than the earlier one to Denver. Went to bed at around 12 am TX time bc I was in bed by 1030 pm in the hotel but couldn't sleep and all night kept having Amber alerts go off in TX loud and bright and also noise outside. 12 am TX time is 10 pm CA time. I didn't eat anything bc no car rental and instacart didn't deliver past that time and I need a lyft everywhere. </t>
  </si>
  <si>
    <t>1 champion Raisins Sours</t>
  </si>
  <si>
    <t>Welch's Juicefuls</t>
  </si>
  <si>
    <t>Great Value Tangy Smiles</t>
  </si>
  <si>
    <t>Salt &amp; Vinegar Starbucks potato chips</t>
  </si>
  <si>
    <t>Mozz &amp; Tomato sandwhich Starbucks sandwhich</t>
  </si>
  <si>
    <t>Pumpkin Cold Brew grande starbucks</t>
  </si>
  <si>
    <t>FF small whataburger</t>
  </si>
  <si>
    <t>apple slices whataburger</t>
  </si>
  <si>
    <t xml:space="preserve">Woke up at 7 am TX time turning on and off alarms, no vending for water bottle and the front desk said to go to the lobby for water. I don't want open water just like in the airplane. That is all they servce is open drink beverages with ice. I need to take an uber to the grocery store for water and snacks then visit my mom. That is a 40 minute ride there and another $50. The ride to the hotel from the airport was $52 plus I gave her $20 cash tip. Nice lady, put up and waited for me to walk up to meet her. The blink camera logs in to the time it is where I use the app and does that for all previous. I had a couple cups instant coffee with tap water and then got a bottled water from the front while I waited for my lyft, from a dude, that is Moroccan and lived here 27 years and knows how Houston area grew. He was surprised that we were going far and took me to the hospital on the wrong side. He was nice and friendly. but told me some stuff about how the women/men ratio is 3/1 and college girls from boston come here to work the bars and that is why hotels are sold out and that places like Bombshells a Hooters restaraunt have drinks for $15 that men pay to hang out with women and Cindy's Lingerie is an escort agency or something like that and that the men or company that build the roads is build by the same contractors who built the roads in Iran and Iraq, and Houston has the richest men in the world, and he used to work for NASA and came down here for that but worked delivering body parts to hospitals and his mom was a nurse and my hotel is right next to the biggest hospital and most world medical research center. Very friendly. I tipped him $14 cash. He had to get fuel and thought he would have to while on the way to drop me off at the hospital. At the hospital I was the first daughter there around a little after 9am and told the nurse Jack I think he's dirty and got her sick and that is why she is intubated, she was sedated and didn't get to talk to me or any of my sisters. He told me he would have security escort me out. He is an asshole and makes me think he got her a different strain of COVID as she was there a month already and improving then gets on the ventilator. The nurses who talked to him were also saying stuff under their breath to for me to please leave. but not to me to themselves like white mid 20s crackheads. The guy is an American Indian misogynist. I left a 3 star review and explained the whole incident of him saying something to the nurse after discussing with me something like he was making fun of me and when I asked him he told me he didn't like the way I was talking and to leave. Becky was there and not the mean upset girl the other day. I did feel sorry for her losing her dad and saw a girl like her at the airport waiting for my Lyft that looked like her and said 'cunt' bc it upset me but felt bad at that time bc she was alone and my lil sis lost her best friend and our mom was struggling to live. Its good she moved past it and was civil. I went to the celebration of life for Dave and saw a few of his brothers who flew out. And some of the ladies Mom and Dave hung out with. Didn't eat the food, but my lil sis got a lot of it shipped in from their favorit fast food place in Chicago called Portillos. We saw a bunch of pics of Mom and him and all of us when younger. It made me cry seeing Mom in her younger and healthier years in the photos. Hung out with my sisters and nieces, went to Wal-mart. I didn't have a BM this morning and also didn't eat breakfast or have dinner last night, not even chips. When I took my Lyft I took all my stuff and left $5 on the table for a tip just in case I didn't come back even though the room is paid through Monday. Ended up staying with my sis Mo and the girls my nieces. Took a shower there at night after updating this database. Mom has a tube for glucose to feed her while sedated until Monday and I cannot stay to see her wake up and Becky said the nurse said the doctor might put a trachea in her if they take out the tube after sedation and she cannot breathe on her own. But the survival odds are better and a guy in the hospital had it done but survived and still there alive. Also, before intubating Mom, the doctor asked Becky if she wanted to let our mom go peacefully or intubate her. She intubated her but that is an unexpected thing to ask about our mom when she seemed to be doing a lot better last I checked. </t>
  </si>
  <si>
    <t>Grande Apple Crisp machioto iced Starbucks</t>
  </si>
  <si>
    <t xml:space="preserve">salt &amp; vinegar Starbucks potato chips
(270	13	1.5	5	34	2	640)
Mozz &amp; Tomato Sandwhich Starbucks
(350	13	5	15	42	3	570)
Golden Apple Crisp Cold Brew
(300	7	4.5	12	47	0	280)
Pumpkin Cold Brew
(250	12	8	3	31	0	55)
FF small whataburger
(140	8	0.5	2	16	0	140)
apple slices Whataburger
(95	0.3	0.1	0.5	25	4.4	2)
1 champion Raisins
(70.00	0.00	0.00	1.00	16.00	1.00	0.00)
Welch's juicefuls
(90	0	15	1	21	13	15)
Great Value Tangy Smiles
(90	0.5	0	0	20	0	15)
=270+350+300+250+140+95+70+90+90
=13+13+7+12+8+0.3+0+0+0.5
=1.5+5+4.5+8+1+0+0+15+0
=5+15+12+3+2+1+1+1+0
=34+42+47+31+16+25+16+21+20
=2+3+0+0+0+4.4+1+13+0
=640+570+280+55+140+2+0+15+15
</t>
  </si>
  <si>
    <t>starbucks double shot espresso 6.5 fl oz can</t>
  </si>
  <si>
    <t xml:space="preserve">Went to bed in Mo and the girls hotel room closer to the hospital after I showered around 11 pm but didn't go to bed until 230 am from not being able to. And alarm went off at 530 am, got up and slept an hour on the couch, and then Mo got up to log in but my lap top turned off and she didnt get me when I went back to bed and slept until my 730 alarm went off. Probably got 5 hours of sleep. Still groggy a bit, but had a starbucks double shat espresso we got last night. Stomach cramped from sugars digesting and no BM yesterday. Tried to view the Fri LE we had prerecorded on their wifi. Weight taken after eating a couple sour fruit snacks of the Welch's and the Great Value bought yesterday at the Tomball Walmart where we shopped. I ate my gummy vitamins after the fruit snacks and have 2 left, not a normal day's amount. Visited Mom, and she was moved had cold toes again today but hands were warm, in am saw surgeon waiting, he is considering doing the trachiotomy on her. She will need 24 hour care to clean wound and it gets clogged. Poor Mom. We love her and know she wants to be back to her vibrant and cheery energetic self. She was still sedated but moves her facial expressions and hands when listening to people in the room and its not pleasing. I pray she pulls through and want her to do well and then be healthy enough to get moved to CA so we can take care of her. Mo would have to be her guardian or similar to put her on her health insurance and Becky is the one with power of attorney. Both have great insurance health coverage and other. Mom is a fighter and was scared a month ago entering hospital she doesn't want to 'pass peacefully' and they better do a good job on her. The health care staff doesn't take criticism well and wants to kick anyone out who criticizes their care. One nurse was helpful and we all like her. Thats the one with the brunette hair, and glasses that is a petite one. But she won't be there today, and that Jack guy was there all weekend, and got close to me yesterday walking behind me. He is a piece of shit. And will get what he deserves from what he does to people who depend on him to be there to take care of them as his job as a nurse entails. Mo and Bailey went after Brooke who went in after me bc she needed to use the restroom. They spent longer in there than me. We all got there around 930 am and left for lunch around 2 pm choosing whataburger for Bailey with a long line and no wait at Schlozkys subs. I had a rye med bread avocado turkey without turkey, mayo, or onions. So it only had lettuce, tomato, and avocado. And a bag of snack sized baked cheetos and 1/3 the lg fountain dr. pepper, but they were stale like they were really old. The other chips my sis and Brooke ate they liked of the salt &amp; vinegar chips. The cashier was a decent looking curly haired blondish tall young guy Brooke's age who told her she was cute when she left. She told him she had a bf. But thought it funny as she was eating her cinn roll from cinnabun they also sell and they had. She said it shows her double chin, and she saw him looking at her. We went back to Moms and Becky met up with us after a long brunch with her uncle's as her uncle Pete left and she felt terrible, bc we found out Mom's xrays of her lungs were worse than yesterday and the day before. I feel like these losers working the healthcare for the patients there aren't doing enough. I went in then Becky did, after talking a while, she even talked to that nurse past 6 pm until 640 pm she told us later when we ate at Adriatic's Italian Cafe later around 730 pm, after doing our laundry in Mo's hotel's laundry room. They had 2 of each washer and dryer and I had the quarters from my bag of quarters. I left the rest of the coins in the hotel as a tip to the staff if Mo didn't leave cash. Which reminds me to check out my hotel as I update this at 454 TX time waiting for my flight. At the restaraunt I had about a cup of their heavy alfredo cheese tortellini shrimp. That had 4-5 lg shrimp in it. It was good, but heavy as Alfredo sauce is normally. We hung out afterwards and talked after they closed at 9 pm until 930-940 pm and Bailey had to pee but still kept talking and she walked to Walgreens to pee and thankfully was able to. We saw a Constable or cop talking to a person looked like a very skinny blonde girl that didn't pay for her items of food, and while we were getting Brooke's contact solution found out she had a boy that looked well fed but like an overgrown autistic child. Who knows what she did, maybe she left him in a hot car or didn't pay for her items. WE went back to the hotel after saying bye to Becky and I took a shower and got about 2-3 hours sleep before leaving. Brooke got another stuffed toy they made fun of her for liking bc her bf got her a couple different ones her mom calls blue bastard and she says is named Mugg, and Brooke named this one Gastone. She is still dating Matt a tall skinny guy but had an ex named Mark that still tries to talk to her and Paul her step dad likes. He calls Matt Mark all the time and refers to him as the skinny bf knowing she doesn't like it and neither does Matt. But Mo told me that Brooke refers to Carrina as 'the lezbian' bc her and Bailey were doing everything together but every time Carrina gets a gf she ditches Bailey and doesn't talk to her anymore, so when she makes up with her and says something Brooke doesn't like she tells her to 'shutup, lezbian' and Mo doesn't do anything when Bailey tells her and Mo tells Bailey that she is though. Brooke also tells Carrina all the time she is going to burn in hell, but not bc she doesn't like lezbians but bc she doesn't like her. I got about 2.5 hours sleep from 11 pm to 130 pm then took a lyft with a driver who wasn't talkative and did bare minimum, but at least she got me to the airport on time. Tipped her $15 on credit card and it was cheaper to airport from Mo's hotel than mine. With tip was $43. Bout $20 cheaper. The airport didn't even have TSA or charging stations that worked for outlets available, they shut them off, and had to wait from 230 am until 4 am Houston time and took a while just for me and the first seven or so passengers before me to pass TSA. Good thing I showed up early. They had charging stations, but my phone isn't charging well keeps turning on and off. Went from 47% to 51% power from 420 am until 505 am. I had it almost a year. </t>
  </si>
  <si>
    <t>Simply Cheetos Puffs White cheddar, serving is 32 pcs, 8 servings/bag</t>
  </si>
  <si>
    <t>Lays Poppables white cheddar or cheddar, serving is 28 pcs, 5 servings/bag</t>
  </si>
  <si>
    <t>Dr pepper 20 fluid ounces</t>
  </si>
  <si>
    <t>cheese tortellini 0.8 cup serving, nutritionix.com</t>
  </si>
  <si>
    <t>jewish rye bread similar to schlotzkys bread rye bread dark rye bread appearance, 1 slice</t>
  </si>
  <si>
    <t xml:space="preserve">3 fruit snacks
(240.00	0.00	0.00	3.00	57.00	0.00	60.00)
3 twix mini
(150	7	4	1	20	0	60)
2 snickers mini
(86.67	4.00	1.67	1.33	11.33	0.67	43.33)
1 3-musketeers mini
(26	0.7	0.4	0.2	4.6	0	11)
1 m&amp;m mini
(65	2.5	1.5	0.5	9.5	0.5	10)
1 beyond pattie
(260	18	5	20	5	2	350)
1 BB DK brand bagel
(260	2.5	0	11	48	3	380)
2 starbucks doubleshot espresso energy drinks
(280	12	7	8	36	0	130)
1/3 2 strawberry poptart (as 1/4 bag stale pop tart minis)
(132	3.3	1.65	1.32	24.42	0.33	79.2) 
=240+150+87+26+65+260+260+280+132
=0+7+4+1+3+18+3+12+3
=0+4+2+0+2+5+0+7+2
=3+1+1+0+1+20+11+8+1
=57+20+11+5+10+5+48+36+24
=0+0+1+0+1+2+3+0+0
=60+60+43+11+10+350+380+130+79
</t>
  </si>
  <si>
    <t>Woke up at 130 am to take lyft to airport to catch 6 am flight from houston to Denver then to ontario by 9:50 am. Very tired, did some studying and forgot I had a 2 hour lab in FABS1 and also forgot I had a Sunday appt with my regular MLD client who cancelled and rescheduled this Sunday. I completely forgot until she rebooked for this Sunday. But I managed to kill myself exhaustingly logging onto the campus trying their $8 airline in the sky Southwest wifi that worked for internet but the firewall didn't let me on zoom. I thought I was an hour late, but when the plane landed it showed CA time and it must have been Denver time I was seeing. I logged in while in parking lot and pulled into a gas station to do my part of the group lab assigned and made it home driving with them on zoom talking and afterwards to finish class. I had coffee when I got home from the keurig and threw out all my instant coffee that I brought in a sandwhich bag and there was quite a bit of it but saved the smushed chocolate minis. I had a large watermelon redbull that I got from the gas station for being in their lot for 20+ minutes but never drank it. I am going back to that plane ride from Denver to Ontario to talk about an incident and the ride itself by entering it in now. It has had me cracking up the whole time. I was super tired and took the first what appeared to be roomy aisle seat but in emergency aisle where we have to do the noble thing if all passengers need to be evacuated. Yeah right, like I am going to, but if that should happen ok, yeah sure. But a fat guy was there that I didn't think would be a problem. The ride to ONtario we were told while waiting was filled completely not like the one to Denver so I too the seat that I thought I would be more likely left alone. I saw a couple middle seats next to males that looked like narcissistic white cop or misogynist types who want to talk about themselves or not pleasant to sit next to and chose the one further and best option first available. as I was group C and the last group to fill in. I took it and had a spot above me directly for my 2nd bag. but during the flight and the take off I kept feeling this dude's fat thigh pressed against mine and didn't say anything to him but he was watching the free videos a Tarantino one about the westerners and the chick jessica something in it and something like hateful 8 or something. I avoided him and as the ride went on I would push myself further away and still it was like he wanted me to feel his fat thigh on mine. Also, before taking off, I never sat next to a fat person before and didn't think of this problem, but the stewardess hit me with her left butt cheek 2x while explaining the seat belt and air contraptions. Didn't say anything to either of them, but finally with my ear pods in trying to access internet and being dissappointed thinking I am not able to log into my zoom meeting after paying $8 for their inflight wifi bc of their firewall zoom not working. I was upset and was like, 'is there a way you can keep your fat thigh from hitting mine?' while I scooted to the aisle, and kept my ear pods in but think he said something but wasn't sure then he excused himself to the restroom and when he came back he lifted the bar bw our seats and it helped a lot. I didn't realize at that time and only 2 hours of sleep if it was even up at all. But we were near landing. When we landed I jumped into the aisle first and got my above head carry on and kept it on me while about 30 seats in front filled out of seats and I waited, and the guy behind me gave the fat guy his bag and hit my bag while doing so. I turned around and he gave me a look like a misogynist italian american asshole in early mid 20s. I didn't like that and waited, and the dude then hit my calves with his bag and I turned back and he did it again, I burst out, 'watch it! fag!" and it was the closest thing to misogynist I could think of as he obviously doesn't like women. and he stopped. Then we were exiting plane and I said to him 'because I will hit a fag!' and the guy in front didn't like that as he was wearin ga striped purple and office type business attire and probably was gay. I should have said misogynist but meant the most offensive word for a guy that doesn't like women and hates them. I would actually refer to a gay guy who actually was attrracted to males as queer and not gay. But then I was walking to see if he reacted and laughed my maniacle laughter shortly after saying it bc I reallly could see my self losing it to strike him a couple hard rights and getting into a brawl, and him having started it by hitting me first with his bag and then having to defend himself and me being outnumbered by him, his other friend, and I don't remember exactly what they look like bc I was trying to avoid a fight, but they didn't look queer, and the thought made me laugh really unnerving ly loud and maniacally as I thought of how it would be in court and him and me fighting and him looking also homophobic saying it was bc I said I would hit a fag and then my roommate going there in court to see the dude and him also beatin gthe dude's ass, and ... very off topic, just had to laugh maniacally. He didn't respond, but I did hear him say to his other friend while I was exitin gthe bldg what they would do, the dude wanted to get a beer and the other go to the rest room. I exited, but thought about that moment while in lab at the gas station and didn't realize I was unmuted and the story ran through my mind and made me laugh again really stupid on mic while one of the guys hosting our group and actually a lot of the dudes look like they could actually be attracted to males but not the queer type and not the misogynist type. I said loudly on mic, 'Fuck you ..ha haha ha ha fag! hahahah' then I realized my mic was on while the guys were talking about filling in the slides and I had to apologize and tell them I wasn't talking about them it was me thinking out loudly about a guy that hit me on the plane 2x with his bag and then I turned off my mic. I thought about that and now the lab time a couple more times on this day and the next day. If it was a movie it would be that scene in the movie you just have to laugh at and recall bc it is so stupid like stupid AF that you can't get it out of your head. After a couple keurigs had a reg BM like it should be slightly small amount no abnormal color as if I hadn't missed a couple days of BMs. But body wasn't allowing it. I did have to fart a lot on the weekend while there but no BMs. I did also start rag and it started getting from light to heavy with none of that I guess you could call it courtesy spotting that shows up as a tiny amount of dark blood the day before. It was just light blood while on the plane first flight. Smelled like old blood when you sit down to pee in the stalls and hotter air in groin rising while your squatting to pee.  I had the quiz but tougher than I thought and I didn't even study the study guide. I just read all the notes. I was so tired though and still am. I have a bunch of prerecorded videos to watch for my class tomorrow and also for the lab in that class tomorrow bc they have been based on all the videos this far and the weekly planner said this week to watch all of the videos over the weekend instead of just the first few like last few weeks. Mom didn't get her trachea today but the doctor said tomorrow she will bc the operations were fully packed for the day. They told her Mom's strong and has had to be restrained while sedated bc when the lady brushes her teeth it hurts and she reflexively pulls at the lady's hand. Also, Mo said, it won't be as uncomfortable in the neck hole to breath instead of laying along the gag reflex epiglottis area for the breathing tube. And she needs to get all her upper body muscles moving so that she can prevent atrophy and only be on the trachea for a little while until strong enough to breathe on her own. For lunch after the last lecture of the day I had a left over beyond meat patty from Friday (I didn't get to eat as I left last minute to go to TX) with a bb DK brnd bagel, parmesan cheese, pickles Target brand and mustard, shared 1/4 with babies, and they loved it. And Also had 3 twix, 1 3-musketeers, 2 snickers, and 1 m&amp;M mini sized for all after that. Only had 4 cups coffee altogether including the 2 starbucks double shot espressos this morning at the airport and the 2 keurigs. I took measurements while eating the snack mini candies after the bagel beyond burger. Then was updated on Mom via Mo, but Becky and I didn text about her condition earlier before my classes and plane landed. Love Becky and not being upset with her. She really is doing  a lot for Mom being in TX taking care of her affairs for us and her pup Cody she grew up with since she was a teenager, and having an apartment in Chicago but paying for a rental car down here and her apt and working remotely from TX. It is a lot and to be away from her friends and in TX where all the same restaraunts we have are located but their customer service reviews have 1-3 stars out of 5 for all of them. Not a fun town to be craving any food from if the service is very low. Started my rag while at the airport, noticed the spotty ness after the first and only stop on flight to CA. While in Denver, then light. No spotty warning just light flow. Makes sense as this morning it was 28 days since my last cycle started. Had a drink but didn't eat anything. I have to get bread, I have impossible burger patties, beyond and sweet earth meat to make and frozen vegetables but need groceries and cat food, wet cat food. Went to bed after writing notes on part 1 of videos needed to view before GA1 tomorrow at 10am -12 pm. Went to bed early. My skin was itching and it was chilly but my clothes including heavy winter coat were in the dryer. Had to wear a cotton sweater that made my skin itch, and consequently all my skin itch. Bed time was about 830 pm. I thought the neighbor would keep me up bc he was revving his car he was working on, but I was so tired didn't care. Managed to sleep through night. Bleeding med-heavy and heavey through the night. First regular period in a while. There wasn't anything quick to eat other than that huge halloween bag of candy, so I went to bed without eating anything more. Note that the weather was in Texas from a printscreen of their weather at their TX time of 530 am approximately for this date, and the Sunday and Saturday weathers as well and time of weather and measurements is for TX time and weather.</t>
  </si>
  <si>
    <t xml:space="preserve">Woke up at 530 am by alarm and snoozed for 10 minutes before getting up to do the normal routine of cleaning pet messes, feeding ktty outside and put together its cat house yesterday for it but it didn't know what it was. Looks like a mini beach tower at the beach for it. Fed Growly his meds in his food with the babies. Last of wet food, need more and need to go to the grocery store after I finish the videos to notetake and class that ends at 12 pm. Want to shower too but its already 640 pm and I have laundry to fold and put away. I also need multivitamins at the grocery store. I was able to finish the video LEs with typed notes and added scribbles to the ppt on mediastinum, then we did our lab in our group for GA1 and had a kahoots. Quiz this Thur on CNS and PNS. Need to study. The kahoots was for attendance. I bled a lot while in group, fountain today and after LE over had a puddle of blood around front area so large it reached my bottom tshirt, the cat tshirt and around and over the thin heavy flow pad. I ran out of the other ones I thought but found more thankfully to change completely and go to Target. Got cat food, water, vitamins same gummies, a couple bag of puff white cheddar cheetos type chips some fall seasonal kpods starbucks brand cinn dolce and maple syrup. Had my 3 multivitamins in car after eating some of the white cheddar puffs and some Motts fruit snack bags that I got. Had 5 motts and 2 servings of puffs on way home altogether, made 5th kpod of the maple pecan kpod. Didn't taste as good as it sounds, tastes like all the others. Not sure why. Doesn't even smell sweet in fact tastes like a mild version of nail polish remover or even nail polish. No scent or flavor. Hopefully I don't have COVID. I will have to ask Shane what he thinks. I had my 4th cup of coffee around 945 pm before and immediately after my shower before class. Thankfully was able to finish note taking on time and take a shower and wash hair. Put away the clothes from dryer that laid in my laundry basket since before class started and updated this db. I have to go back and enter nutrition values manually and do those calculations since 2 days before this one. Took measurements after putting my clothes on after a shower 10 min before LE, and after breakfast around 920 am of an impossible patty and broccoli rice. Chopped the 2 patties and mixed with about 3/4 a bag of the broccoli rice. I won't eat all of it and thats all that would fit in the bowl. Shared some with pups. Another patty and tons more broccoli rice left for later in the bowl. I have to do some studying and a preclass quiz due before GA1 LE tomorrow. I haven't worked out since I think Wed. And I am on heavy flow today so not doing it today. I have to go to campus tomorrow, so hopefully most of it bleeds out today. I don't like wearing super heavy pads for bleeding or having a puddle of blood squirt out of me and around my pad while sitting unable to do anything about it. My uterus doesn't like me this month. Not sure why. But definitely not a fan of convenience for me so far. But first real menstruation of my normal types since a few months ago. I had low back pain all day after my drink it started around 430 pm and after my 6th kpod coffee of day around 5 pm of the cinnamon dulce starbucks kpod. I could smell the cinnamon in it so no covid other strain thankfully. I don't have any symptoms so I should be fine. Nothing special on those drinks the G&amp;G brand carmel machiato tastes better and flavorful. Don't waste money on the Starbucks ones. Mom is out of surgery. Becky was keeping us updated and Brooke wants to stay there to help her with Becky. They are going to ween Mom off her sedatived that has her knocked out and possibly put a feeding tube directly into her stomach instead of down her nose and throat. She now has a tracheotomy breathing tube. I want Mom to be how happy and healthy she was many years ago. The happy part might not happen unless she is healthy. But we can all help to get her there. She will need to strengthen her muscles. Chest to breath and move around. She can prevent atrophy that way and get off the tracheotomoy tube and feeding tube once better able to move. Studied the mediastinum and took the pre-class quiz around 8 pm scoring 5/5, then tried to watch Murderers in the building but all night my LB ached and I was massaging my glutes, to help and it did until I stopped, but bleeding heavy and the fountain going at times with LB pain and some low ab pain, not much in abdomen area, all in lower back and sides of LB. Was able to go to sleep around 830 pm and needed to study more for the CP1 and IPA1 quizzes today in class on campus, but decided to set alarm. I was in pain and tired. I set my alarm for 5 am and it didn't go off I got up about 4-5 times to change my pad and it tapered off from really heavy to light pink and slimy then blood clots and pink blood flow. Back didn't ache as much and I drank a bottle of water throughout the night. </t>
  </si>
  <si>
    <t xml:space="preserve">1/3 cup broccoli rice target G&amp;G brand
(8.89	0.00	0.00	0.89	1.78	1.33	8.89)
1 impossible patty
(240.00	14.00	8.00	19.00	9.00	3.00	370.00)
5 motts fruit snax
(400.00	0.00	0.00	0.00	95.00	0.00	150.00)
2 servings white cheddar puffs cheetos Simply labeled
(320.00	18.00	3.00	4.00	32.00	2.00	560.00)
4 motts fruit snax
(320.00	0.00	0.00	0.00	76.00	0.00	120.00)
1/3 popcorn
(46.20	2.31	0.99	0.66	6.60	0.99	102.30)
2 servings Lays poppables chips
(300.00	16.00	3.00	4.00	32.00	2.00	340.00)
1/3 cup broccoli rice target G&amp;G brand
(8.89	0.00	0.00	0.89	1.78	1.33	8.89)
1 impossible patty
(240.00	14.00	8.00	19.00	9.00	3.00	370.00)
=9+240+400+320+320+46+300+9+240
=0+14+0+18+0+2+16+0+14
=0+8+0+3+0+1+3+0+8
=1+19+0+4+0+1+4+1+19
=2+9+95+32+76+7+32+2+9
=1+3+0+2+0+1+2+1+3
=9+370+150+560+120+102+340+9+370
</t>
  </si>
  <si>
    <t>2 GV fruit snax sours
(180.00	1.00	0.00	0.00	40.00	0.00	30.00)
1 welchs juicefuls sours
(90	0	15	1	21	13	15)
2 champion Raisels raisin sours
(140.00	0.00	0.00	2.00	32.00	2.00	0.00)
3/4 can dr pepper (fountain version of canned)
(250.00	0.00	0.00	0.00	66.00	0.00	100.00)
rye/squaw bread jewish rye bread
(160	2	0	4	30	2	440)
1 avocado
(322	29	4	4	17	18	14)
1/2 cup lettuce
(17.00	0.10	0.10	1.30	3.30	0.00	27.00)
2 slices tomato
(22.1	0.2	0	1.1	4.8	1.5	6.2)
1 cup alfredo sauce
(440	44	24	8	8	0	1560)
5 lg shrimp
(42.00	0.70	0.10	8.10	0.40	0.00	59.00)
1/2 cup cheese tortellini
(249	5.9	2.9	11	38	1.5	329)
4 starbucks doubleshot espresso drinks
(560.00	24.00	14.00	16.00	72.00	0.00	260.00)
=180+90+140+250+160+322+17+22+440+42+249+560
=1+0+0+0+2+29+0+0+44+1+6+24
=0+15+0+0+0+4+0+0+24+0+3+14
=0+1+2+0+4+4+1+1+8+8+11+16
=40+21+32+66+30+17+3+5+8+0+38+72
=0+13+2+0+2+18+0+1.5+0+0+1.5+0
=30+15+0+100+440+14+27+6+1560+59+329+260</t>
  </si>
  <si>
    <t xml:space="preserve">Woke up around 625 am bc my alarm I set for 5 am didn't go off. Got about 8 hours of sleep, got up a bunch of times to change pad and had a heavy flow last night, with blood clots once not flowing heavy. Still have LB pain and the blood flow is med-heavy today. LB menstrual cramps to start day while drinking coffee and doing routine, fed babies, gave Growly his meds and need to refill his pimobectin vetmedin. Had 2 cups coffee made but only drank 1 cup into an hour of being up. There aren't any study guides for the quizzes today and the last one that I did in CTAP1 went exactly by the study guide and I didn't study it and got 6/10 on it. I just read all the notes and ppts. The questions on the voltage type transport and other questions. Didn't write the questions either, but he said he would go over it on Friday. Measurements taken after 2 cups coffee and before a BM and before breakfast. BM after 2nd cup of coffee reg BM. Had a yogurt chobani vanilla with multivitamins 3. Then showered. Ready for class with camera off by 755 am. Mom did great following her tracheotomy according to Becky and the girls and Mo drove back yesterday. I was able to pick up my medical kit at school and put in my car, didn't check it for all the goods, bc we still need our stethoscopes and spines (Nov). I already have both from AMazon. I had about 11 Motts fruit snacks yesterday in all, 6 servings of the Simply Cheetos white cheddar puffs, 2 twix minis, 1 snickers mini, 1 serving Lays poppables, 5 pickles of the G&amp;G target brand, 2 tbs mustard, 1 everything bagel, 1/4 cup parm/romano blend cheese from I think Albertsons. Yeah, bc I went there yesterday to get groceries like bagels after class. I also studied from the time I got home until midnight after my client's massage, regular, super nice lady and her cat. Her hub had allergies was sneezing frequently in other room. They are both vaccinated. Not worried. Didn't drink at all. Went to bed around midnight after putting clothes in dryer. My notes are terrible, this quiz on PNS/CNS is a mess, and filling out the study sheet was nonsense at first. Took longer to make sense of by looking through confirmed facts on the ppt and my notes and additions to the ppt slides. I also had LB pain all day. Didn't really go away but blood flow was about medium at school. Closer to med-lt flow. I didn't have to change my pad during class. No blood clots dropped or fountain of blood gushers today. Thats great.  Too bad about the LB pain. Went away slowly. Mom did good after her tracheotomy with vitals all good. Becky confirmed. The girls and Mo all drove back yesterday some time. </t>
  </si>
  <si>
    <t xml:space="preserve">Woke up at 5 am but a few minutes before as my alarm didn't go off yesterday so I woke up before it and it was literally like 5 minutes before 5 am and I got out of bed and studied for the quiz on the PNS/CNS in GA1. Some more of the cranial nerves and the types of fibers and dermatomes and study guide. Was able to shower and dry hair before the quiz at 8 am and do the normal routine before that. My stomach carried the burden of stress. Got 5 hours sleep. Had a reg BM after 1st cup coffee, but diarheah in a couple small BMS before the quiz and my shower. Took measurements after the quiz and breakfast of a bagel to take my multivitamins and before my FABS1 LE online. Wasn't feelin gthat  great and had a nap at 645 for 20 minutes  more like 15 minutes then reviewed study guide and showered and got ready. I have the meds to pick up of Growlys tomorrow, I ordered it last night. Didn't eat much all day, just a bagel with parm romano cheese blend I got at Albertsons yesterday to take with multi vitamins, and mensa flow is lt flow, med lt in the night, and tapered off. No clots or fountain gushers. Checked on Mom via Becky on the way to the open lab after FABS 1 and she is not doing as great as yesterday, her BP keeps going up when she has  a BM and also has a slight fever. Probably bc her nurses are entitled misogynist little bitches that keep fucking with her and keeping her from sleeping. BUt thankfully Becky is watching her. I feel like I might have to go down there myself especially bc I have my TX massage license that expires in 2 years. I want her to get healthy, as she doesn't want to die, she isn't ready, and she deserves to live freely. I love her and want her to be happy and healthy. We had the lab and I scored on my GA1 quiz2 at 8 am a 12/15 for 80%, which is great bc It literally made me sick, not sleepin gand  stomach digestion problems like diarhea. Went away after my shower, but still made stomach feel queezy a bit. Took meaasurements after my quiz and before FABS1. I have to look over those muscle groups again usin gthe dope ass software Complete Anatomy to fill everything in bc it is all over the place in the LE and the Origin, Insertion, Action, and Innervation is randomly discussed and briefly as in once and just watched it to see the way he the instructor describes the muscle action like a pully in each direction. I think it is too boring for the instructior to go through the list of each item per muscle and does it randomly to add infromation. I tuned it out knowing it wasn't easy to follow and folden and put away laundry and did the dishes left over from yesterday. AFter getting back from campus I got my massage table that goes down low, but kept it in the van. Brought in all my massage supplies from the med kit picked up yesterday and the spine of mine I brought over for open lab that nobody used. I have to study for the CP1 quiz over the last 3 weeks LEs and took a drink to relax and eliminate some free radicals and it helped. I was able to complete the client's SOAP notes from yesterday and update this db. For coffee, had 4 cups by FABS 1 but had 5th cup on way to campus open lab at 11 am and a car wreck took 10-15 min on 91 before 71 that looked like a maroon car/pickup was all mangled while a couple of other pickups just dented and a full tire rim in the fwy. The car/pickup mangled was marroon with two white stripes on hood from what I saw. After that the traffic was great. Waze had me take 5 fwy today a new route bypassing the 57 and yesterday I took euclid to bypass 57 by waze app instructions. AFter work a bunch of nonsense traffic on side streets past 57 after filling van up 3/4 of the tank along lambert on the way home. Got home by 430 pm and drink by 445 pm. No workout today, that makes a week or so since last workout. Blood flow is now light and my stomach doesn't feel sick. I did terrible 5/10 in the 1 unit quiz we had yesterday in IPA1. I didn't study at all, and used just common sense, but could have gotten a 6/10 if I would have selected the question on 1 minute instead of count pulse for 30seconds and multiply by 2 as instructor did. That was a question, and I don't know if that is the one I missed, but I am pretty certain I did. Other ones like range of the bilateral heart rate or blood pressure when using the cuff were right usin gpost quiz LE by instructor. No review of what correct responses were was given. But all were in the few slides we had. I just spent more time studying for other items, and didn't have much time bc I had the preclass quizzes and prerecorded videos to watch of GA1 that filled my time. And thinking I had the CP1 quiz yesterday but postponed for Friday 8 am LE, that I have to study for now at 530 pm. All is updated for nutrition except calculations and weight measures taken after the bagel and shower and 4 cups coffe today, and the nutrition calcs for yesterday and weather today. Also, measurements taken after wearing the waist trimmer for 1 hour after the shower and taking measurements before I forget to bw classes online. </t>
  </si>
  <si>
    <t xml:space="preserve">1 chobani vanilla yogurt
()
11 Motts fruit snacks
()
1 lunch buddies fruit snx
()
2 twix mini
()
1 snickers mini
()
1 serving lays poppables chips
()
5 pickles G&amp;G brand Target
()
2 tbs Frenchs mustard
()
1 everything bagel
()
1/4 cup albertsons parmesan/romano cheese blend
()
</t>
  </si>
  <si>
    <t>thomas's everything bagels, 1 bagel</t>
  </si>
  <si>
    <t>Target G&amp;G brand pickle slices, 5 slices in a serving</t>
  </si>
  <si>
    <t>Welch's Island Fruits fruit snacks, 1 pouch</t>
  </si>
  <si>
    <t xml:space="preserve">3 everything bagel
(870.00	10.50	1.50	27.00	159.00	6.00	1230.00)
1/2 cup parm/romano cheese
(220.00	14.00	9.00	20.00	4.00	0.00	740.00)
1 motts fruit snax
(80	0	0	0	19	0	30)
2 welchs fruit snax
(160.00	0.00	0.00	2.00	38.00	0.00	40.00)
1 impossible patty
(240.00	14.00	8.00	19.00	9.00	3.00	370.00)
5 slices G&amp;G pickles
(0	0	0	0	0	0	260)
1 tbs mustard
(0.00	0.00	0.00	0.00	0.00	0.00	55.00)
=870+220+80+160+240+0+0
=11+14+0+0+14+0+0
=2+9+0+0+8+0+0
=27+20+0+2+19+0+0
=159+4+19+38+9+0+0
=6+0+0+0+3+0+0
=1230+740+30+40+370+260+55
</t>
  </si>
  <si>
    <t>Ritz baked thins crackers, serving is 21 chips</t>
  </si>
  <si>
    <t xml:space="preserve">2 everything bagel
(580	7	1	18	106	4	820)
1/2 cup parm/romano cheese
(110	7	4.5	10	2	0	370)
5 pickles G&amp;G brand
(0	0	0	0	0	0	260)
1 tbs mustard
(0.00	0.00	0.00	0.00	0.00	0.00	55.00)
3 welchs fruit snacks
(240	0	0	3	57	0	60)
3 servings rits baked crackers
(390	15	1.5	6	63	6	660)
=580+110+0+0+240+390
=7+7+0+0+0+15
=1+5+0+0+0+2
=18+10+0+0+3+6
=106+2+0+0+57+63
=4+0+0+0+0+6
=820+370+260+55+60+660
</t>
  </si>
  <si>
    <t>inner thighs machine 50 lbs
outer thighs machine 50 lbs
quads leg extensions 50 lbs
hamstrings curls 50 lbs
quads squats barbell 25 lbs each side 95 lbs 
bicep curls 3 sets 10 reps 15 lbs each arm
hamstrings deadlifts dumbells, 3 sets/12 reps 45 lbs 
rhomboids/lwr trapezius back row machine 50-&gt; 60 lbs, 
lattisimus dorsi back pull down machine 3/10 reps 70 lbs
tricep pull down 3 sets 10 reps 30-40 lbs can't read it but struggle, not easy
all 3 sets of 8-12 reps each</t>
  </si>
  <si>
    <t>Woke up at 5 am by alarm and got out of bed without laying in bed to study for CP1 and did normal routine, no pet messes to clean, took babies outside, fed the babies and the cat and kitten outside and gave Growly his meds. Had a reg BM after 1st cup of coffee, after studying and a 2nd cup of coffee and a bagel with parm/romano cheese in airfryer and multivitamins had diarhea and a 2nd sm BM. Then studied some more while drinking 3rd cup of coffee but updating this db. My mensa is light today but still need a pad, not spotty. I have work later. But a whole bunch of quizzes coming up in CTAP and FABS on Monday. No time to study. Might have to cancel these clients, one new and a regular prepaid. I would refund the prepaid. I told the mom of her, a nice lady, but that I can't really be available when I sold her it due to school. But a slight language barrier between us. They are a nice family. But I need that time it takes to drive there, set up supplies, massage, unpack, do laundry after drive home and the SOAP notes and late at night after working 8-9 hours at work. I will be exhausted. Not looking good for studying as it is. I cancelled the new male client that is local and sent message it was time w/ school and family. Waiting to cancel the Sunday appt. Might be able to keep it. But a lot of time I need is wasted. I need that time to study. She only did 3 of her 10 prepaid MLD appts. Mom isn't expected to make it according to Becky after 12 pm, Mo called and said Becky told her that Mom's BP went up to 200 and then dropped to 150. Then I texted Becky for an update and she texted me the same. I did some errands before that, picked up Growly's meds in Riverside, got a cashier's check from the bank, then stopped off to get a MObile car wash drive thru and then Stater's for icecream for Growly and his meds pill crushed form, and snacks. Dissapointed in the Ritz jalapeno cheddar crackers I found too spicy like napalm. Wasted $4 on that bag. Had the other impossible patty I made last night in an everything Thomas's bagel with parm/romano. That cheese is already almost gone due to the roommate not keeping his hands off. He puts a cup in his pasta every time. I only sprinkle a little on my bagels. I picked up a bag. He knows everytime I have cheese and finds it in the fridge. I haven't had that van washed in a few months it feels like, but luckily the white color doesn't make it as obvious that it needs a car wash. I went ahead and canceled the appointments this weekend after also bombing this quiz with 6/9 points. Tough, tricky questions, and fortunately I read through the readings started with reading then skimmed through them. I wrote down the questions but will probably stop into her Monday office hours to review the solutions. and correct responses. I texted the group chat with JD and Max, but only JD responded, he scored 1 pt better with 7/9 and told me he thought the endrange question I put response to was endfeel and that the T/F for chiropractors was True. Max didn't respond, but I heard him end early. While I was writing the questions, he asked instructor to leave after green screen. Still don't have Mario, Ali, Taja, or Kevin's phone numbers. I refunded my client's mom and texted her in the cancellation why bc of my school and needed time and they'd get refunded the 7 prepaid by middle of next week from Square. Got work at 5 pm and might take a nap or workout before work. Mo is upset bc Becky bitched at her yesterday when she was driving straight through a storm and not much sleep. They got back yesterday. So dangerous but luckily they made it. They said they couldn't find a hotel on the way in the storm. But got a few hours here and there of sleep. She doesn't want to fly out there again, but will if needed, bc she is  the sole bread earner. I can feel the stress in her voice. Bailey and Brooke want Meow meow back bc they liked that she missed them when she nudged my leg with her head when smelling them on my pants after I arrived from TX. She would love that. Before that quiz and before taking a shower earlier today had a 3rd diarhea tiny BM. Not sure if its the cinnamon dolce kpod Starbucks coffee, stress, or both. Went away later, and I had the same coffee for my 5th cup at around 1145 pm and no diarhea. Didn't watch the LE in CTAP1 entirely bc my neices came by and got Meow Meow, and it took a while bc she hid under the bed, but loves them, she purred, she just doesn't like change. She settled in at their house, I got the photo. I really hope Mom pulls through this and gets better. We have plans for her to enjoy life, but she keeps having increased heart rate up to as high as 230 from what Becky told the girls and Bailey told me. Becky told me as high as 200. That is really high. My mom is very religious and prays a lot, but didn't want to go, she was scared when she went in. I am wondering if she would have done better just staying home and getting better on her own. They have her on heart meds or BP meds and diabetes meds and sedation for a coma, and now a trache tube in her throat and the feeding tube down her nose. Poor Mom. I love her and want to see her pull through this long road to recovery and be healthy again. Went to work but got to leave at 9 pm instead of 10 pm bc nothing booked at 10 pm, there was originally but she cancelled instead of confirming. I want to make a note that I was light on my rag, almost done, my lower and mid abs hurt like the area the somach and descending colon and spleen are but about a 6/10 and not unbareable, and my middle toe on my left foot that I had an itchy foot fungus a week or so ago that I used tea tree oil on started itching while updating this database. Took 2nd drink as a 2 second shot instead of normal 3 seconds of gravity shot. After the dishes were done entirely, I did the first half of them, but the roommate didn't soak his pasta cheese fork caked on and I soaked it bw drinks and then washed it then. Odd without Meow Meow, hopefully she is ok. She didn't want to leave even though she is bored here and getting used to us. I told them I could always take her back if they need to find a home for her later. I think they want to have someone to love them and to take care of like as if its Lola my mom who needs help. I don't think Mo wants to have Brooke down there to help take care of Lola with Becky. And that might be why Becky bitched at Mo while she drove straight through the other day. She drove through a storm bc the hotels were all packed her and Bailey said. That is so dangerous. And thankfully they made it. I remember going to my class and thinking that on Thursday for open lab that maybe my sister is in town and I felt tired, or maybe it was Wednesday, because they got back yesterday afternoon. So it was yesterday and Mo texted me yesterday that they want Meow meow, bc I texted them when I got here how Meow meow was bumping her head into me and smelling my clothes that had their scents on it and that she never shows me that kind of affection but missed us and remembered them. I really hope they take care of her. I have the outdoor cats though, and thats cool. I told Bailey she could have the outdoor cat house I got the outdoor cat that doesn't use it, and she said she would have to come back as it is too big for the car they were in. Went to bed at 11 pm.</t>
  </si>
  <si>
    <t>Italian blend cheese Stater Bros, serving 1/4 cup</t>
  </si>
  <si>
    <t>double salmon poke bowl, brown rice, double salmon, furikaki sesame seeds, cucumbers, ginger, masago, wasabi, ponzu sauce</t>
  </si>
  <si>
    <t>Woke up at 5 am by alarm and laid in bed after getting up to shut it off and verify my 530 am alarm was on, then got out of bed when that went off. The girls sent me photos of Meow meow and she is out in the open with them. They are taking care of her. She is doing well. Got to get ready for work with a shower by 630 am. I was absent minded when making 1st cup of coffee in keuring. I forgot to put a cup down, and put the water and kpod in it. But when putting ice in my glass I noticed the coffee drop, but fortunately the mess wasn't that big bc it has a tray in it that caught most of the liquid. I was able to take the tray out and empty in sink and clean the rest with a napkin or 4. Gave Growly his meds, the pills in icecream that he liked, butter pecan. I thought I grabbed the oreo cookie one but it was butter pecan when I got home. Yesterday I burnt my tongue eating a ritz jalapeno cheddar cracker bc it was way too spicy and ate a spoon or two of the butter pecan icecream to cool the effects.It kept burning my tongue. I posted to instagram about how over the top spicy foods are becoming. I can't even taste the cracker, looks like a mild spicy on the package but is not at all mild.It was a waste. I found some place online to leave my opinion and review and rating of the product, and it was Amazon as I was a member and allowed to make a review of that product. Gave it one star and said it feels like napalm is imagined to do by continually burning layer by layer of the tongue. Roommate came home around 607 am. While updating this db. had an everything bagel with italian blend cheese SB blend and multi vitamins after a small upset BM. Had another cup of coffee and another small BM. Both sounded like diarhea with gas but not. Then took measurements and made a 3rd cup coffee and took a shower and got ready for work. Diarhea twice at work. My 8 am didn't show and saw she rescheduled for tomorrow when looking at schedule. I am not sure if it is the coffee that cinnamon one, but about to have my 6th cup to study after drinking this alcoholic beverage. Had to find out at lunch that Mom isn't doing good, likely will die today or tomorrow. And after work said bye to her and told her she would go to be with God's children in his Garden with beauty and splendor and no stress. Becky had me on whatsapp. She was on the ventilator and her chest was rising and falling. Becky said she's a fighter, but I was like how can she be expected to fight when taken off of the life support breathing coming off sedation or a coma a week. And she said the nurse staff said she would be in a lot of pain and have a heart attack bc her blood pressure gets too high. A lady I massaged earlier in the day is really religious at the calvary chapel and she recited the story of the Garden of Eden and Moses and the 10 commandments like bible study in childhood. I figured its probably better to say the words that could paint that picture for Mom and of her great work as a wife, mom, sister, daughter, nanny, always taking care of kids and helping out, cleaning, praying for loved ones, and her infectious smile and life and that she would be as beautiful as she imagines and we would always hold her in a great light when thinking of her and when we think of her it would be instantaneous to offer us the same help she always had to give. She was a great work of God, producing 3 smart and beautiful daughters and two beautiful and smart grand daughters and that we would miss her. It made me cry in the work parking lot, snot ran down my nose, trying to cover it. I love her and she is a good great woman and did a lot of good in this world and didn't deserve to be taken out of it so early. Becky is ok with her going peacefully and Mo and Brooke said good bye to her earlier and Bailey was at homecoming. For lunch I had my 5th cup of coffee and the normal double salmon poki bowl with misago, brown rice, ponzu sauce, cucumbers, ginger, wasabi, and cream cheese. The 4th cup was during my no show at 8 am then I also had another no show at 10 am. But saw a client that I hadn't seen in months but am friends with on Instagram. She is a nice, helpful lady. She brought her daughter for a facial. I got home around 6 pm and gave Growly his meds after feeding the kitten and doing some laundry and was updating this when it hit me hard after having a drink and then a coffee and a 2nd drink. I read a text from Brooke that they are here for me if I need them and I got instantly sad and literally called for Mom and knew she was gone. She passed 'peacefully' as Becky said the doctor told her to do and she said she was going to do. She was loved and a lot of people checked on her. I believe in karma and know the so called healers or doctors and nurses there don't do much and will suffer for it. They should all go 'peacefully' and not see any of their loved ones being helped from disease or body ailments that fail them but just be put in a coma so they cannot talk to each one and then pass peacefully. I felt that heavy feeling people say they feel in your heart. Becky swears Mom wants to be with her dad and thats why she was motivated and that she is tired of waiting and Mom's heart kept skyrocketing that if she was taken off sedation she would have a heart attack from the pain and shock. Mom knows we all loved her but its sad that she lost quite a bit of her life that she should have been here. She is somewhere in a form that is part of this Earth and I know it is a good place but honestly haven't established this 'God's kingdom' place and know she believes in it, and I want her to go to where she was the happiest and had the happiest times and loved herself and the world. The two aren't hand in hand though, because she loved her finances at a time she wasn't liking her weight gain after having kids and raising them or at least my younger sister. But between the late 1990s and early 2000s before the real estate crash of 2008 when Dave lost his job, she was happy in Bolingbrook, IL, and its a good place for her. Becky is going to bury her there but is still deciding on having a funeral in TX bc she did have a lot of friends that cared for her in their RV park, at the VFW, and at her church, and the hospital the nurses did. I wouldn't go to the TX one. I am broke and only have enought to go to one funeral. I would go to the Chicago one. I had a bagel at about the time I drank a drink and had the coffee with the italian blend cheese. Then spent about an hour really mourning Mom and on the phone with the sisters about 20 minutes mourning her, then started on the flash cards from the discord notes shared and the Complete Anatomy software and finished shoulder muscles for FABS1 quiz Monday. Need to do more studying for FABS and more Back muscle cards and study for CTAP1 quiz. Somebody put up a study guide for that too. Super awesome of them. I think they are a good side or supplement to reading the ppts and your own notes and comparing to others and not on own. Because its just words otherwise.  The photos are best. And those are on the ppt slides. Went to bed at around 1130 pm after putting my laundry in the dryer.</t>
  </si>
  <si>
    <t xml:space="preserve">evrything bagel thomas'
(290.00	3.50	0.50	9.00	53.00	2.00	410.00)
1/4 cup italian blend Stater Bros brand
(90	6	3.5	7	2	0	210)
double salmon poke bowl
(725	15.325	3.425	27.975	115.65	8.675	2277.5)
1/4 cup cream cheese
(204	20.4	12.8	4.4	1.6	0	172)
1 serving crackers
(130.00	5.00	0.50	2.00	21.00	2.00	220.00)
6 fruit snacks (welchs island)
(480	0	0	6	114	0	120)
evrything bagel thomas'
(290.00	3.50	0.50	9.00	53.00	2.00	410.00)
1/4 cup italian blend Stater Bros brand
(90	6	3.5	7	2	0	210)
=290+90+725+204+130+480+290+90
=4+6+15+20+5+0+4+6
=1+4+3+13+1+0+1+4
=9+7+28+4+2+6+9+7
=53+2+116+2+21+114+53+2
=2+0+9+0+2+0+2+0
=410+210+2278+172+220+120+410+210
</t>
  </si>
  <si>
    <t>sweet earth package plant based meat, 4 servings/package, 1 serving</t>
  </si>
  <si>
    <t xml:space="preserve">Woke up at 530 am by alarm, reset dryer, fed babies and kitten outside, gave Growly his meds in icecream for pills crushed and the vetmedin liquid form by oral syringe like always, updated this db from last night, then started on first cup coffee. measurements before a bagel with italian blend cheese. folded and put away laundry, then got ready for work. had multivitamins after breakfast. I had a BM reg sm before breakfast about 1/2 hour before after 2nd cup coffee and that 2nd cup was the cinnamon kpod starbucks brand. I think that one upsets my stomach. I get gas with my BMs after it. I am going to stop taking it unless I am home and not going anywhere. I had it last night after my 1st drink and was fine. For some reason on an empty stomach it upsets it. Went to work and was doing ok, but crying in session quietly while clients passed out. Then it came and went, just thinking of Mom, I need that to happen, its a normal process to mourn. Told my boss by text at lunch time and she asked if I wanted to go home to mourn, I told her I was fine, and she said if I did I could. I took too much time off, spent money a lot on trip to visit Mom and have no time really for side biz clients other than one here or there that i already know and the time spent is worth it. So I need to work. For lunch I had a couple pita breads and a side of feta zesty cheese and hummus from Hummus republic. Then at home, studied but had a drink just bc its a habit now. I don't really care to drop. But I do get tired the more days in a row I drink. Studying and everything else is fine, just like drinking tons of coffee to be alert. Alcohol at night, up to 3 drinks to flush free radicals or unwind, or bc I can and motivation being old conservative self-proclaimed saints or poster child examples to their people on a good woman of God doesn't drink at all. I have no idea. Probably just bc I can so I will. And I cannot drink too much or else I get sick, so there is a limit. Its worked into being a human being and biology. After work had a bagel in airfryer with the italian blend cheese and did some FABS flash card studying with the helpful Discord SCUHS cohort fall 2021 site additions added by classmates. They are very helpful. It is somewhat like facebook with the memes and posts on the course. I also started the CTAP studying, Went to bed at 930 approximately after setting alarm for 4 am to get up, but it didn't go off and I got up at 5 am instead.  I also talked to the girls and Mo who called me to check on me and said they worried about me being alone, but I am fine, and I called Becky and she told them to call me to check on me, she has her uncle Jim there helping her out. She is going to take her Mom and Dad's dog Cody who is about 14-16 years old with her to Chicago. I had a couple drinks by that time and 6 drinks of coffee. Was going to work out but was tired at 6 pm and studied instead making flashcards so I didn't have to be 100% alert studying but just rewriting. Actually for dinner, I did make that sweet earth and sweet peppers in airfryer and had 1/6 of that on my bagel with italian blend cheese plain. Was good. Also the 2nd drink was a straight vodka kettle one not with ice bc I had a kaleidoscope RHS vision migraine that didn't disappear right after drinking the shot but about 20 minutes later it was gone and I didn't feel any HA pain. Maybe they are related. Who knows? This is why I want to be a doctor and make educated assumptions. With research. I got that on my toolbelt with data science MS degree. I would just like to mention, this sweet, cute little Filipina couple have been going there for months, she was my last client yesterday and her first child about 7 months pregnant, and I was thinking ok, like I just lost my mom and she died too early, and this girl had in vitro and had the option of picking a boy or girl but let her female doctor decide which embryo to implant in her, and she doesn't even know until November. So I was like, ok Mom needs to live out her years and restart life, so I was like massaging her and mixing that with the story of what my client from calvary chapel said about Moses and how he was put in the NIle but his sister and brother followed him and knew exactly who he was but didn't say anything, so I was just like, ok, well Mom here you go , there is your vessel, better jump on this one, a healthy baby, might not be a girl, but Filipino and doing well in finances and relationship, probably no fighting and a good way to restart your life, so lets see if we can put you on this fetus, bc its a fetus after 8 weeks and she is 7 months. Not a crime, and so its just a mental game with an entertaining way of letting the 90 minute prenatal go by. We will check up on her time to time to see how she is doing but Mom would make a great functional personality for her, believes with her heart and trusts God, who wouldn't want her as a child? Just thought I would put that out there, otherwise she is a saint. </t>
  </si>
  <si>
    <t xml:space="preserve">evrything bagel thomas'
(290.00	3.50	0.50	9.00	53.00	2.00	410.00)
1/4 cup italian blend Stater Bros brand
(90	6	3.5	7	2	0	210)
evrything bagel thomas'
(290.00	3.50	0.50	9.00	53.00	2.00	410.00)
1/4 cup italian blend Stater Bros brand
(90	6	3.5	7	2	0	210)
1/6 package sweet earth plant based meat
(126.67	7.33	4.00	10.67	4.67	0.67	206.67)
1/4 orange/yellow pepper
(6.75	0.00	0.00	0.25	1.50	0.25	0.50)
zesty feta cheese 1/2 cup
(179	14.5	10.2	9.7	10.8	0	759)
hummus 1/4 cup
(108.75	5.28	0.70	3.00	12.38	2.45	148.75)
2 pita breads
(330.00	1.40	0.20	11.00	66.80	2.60	644.00)
=290+90+290+90+127+7+179+109+330
=4+6+4+6+7+0+15+5+1
=1+4+1+4+4+0+10+1+0
=9+7+9+7+11+0+10+3+11
=53+2+53+2+5+2+11+12+67
=2+0+2+0+1+0+0+2+3
=410+210+410+210+207+1+759+149+644
</t>
  </si>
  <si>
    <t xml:space="preserve">pec major bench press inclined 65 lbs
triceps chair dip body weight
deltoids 5 lb discs -3 lb
stretched and also did 15 minutes of cardio kickboxing with 5 3-minte rounds and 30 second breaks
</t>
  </si>
  <si>
    <t>Woke up at 5 am instead of 4 am bc my alarm didn't go off and was tired. I wasn't feeling good either, I had a sm reg BM after 1st cup of coffee then after the next 2 cups of coffee not diarhea but every BM felt like lower abdomen pain like the type from diarhea or a lot of gas. Not watery or gassy though. So had 3 BMs. And had 4 cups of coffee by 830 am and studied the CTAP quiz 2 and the FABS1 material on shoulder muscles and vertebral atypical and typical segments and connective tissue. Had the 5 the cup of coffee by break time after the quiz in FABS at 10 and the 6th cup of coffee by quiz 2 in CTAP at 130 pm. I was tired after quiz, and studied but was too tired to study or memorize too much but did use the study guide and got a 7/10. He raised the last quiz 1 in CTAP that I got 6/10 to 7/10 and this one I got 7/10 and studied the study guide. Trick questions with none and all available in multiple choice and thought to pick only one I knew. Didn't check to see which ones I missed, but did write the questions down this time as he dismissed about 90% of the class in the process that it took me to show my green screen after writing all choices to study later or compare. Took a shower before FABS around 915 am and put on the waist trimmer and compression socks, did the courses and after my CTAP at 3 pm I took my waist measurements, thats after breakfast and lunch. Had multivitamins 3 with breakfast the bagel and italian cheese and put extra italian cheese on my airfryed warmed up sweet earth burger with peppers and the everything bagel. I wore my waist trimmer about 6 hours at that time. No nap, shook it off after chomping a cup of ice and worked out at 3 pm. The sky looked cloudy and like it would rain and maybe storm, but didn't rain by the time I got out of the gym an hour later. Just wanted to do a quick cardio and arm workout. Only did 5 3-minute cardio kickboxing rounds with bench press on inclined bench 65 lbs and deltoids with disks 5 lbs and chair dips for triceps, then stretched more, bc I stretched after 15 min cardio. Left for home. Its like Mom's death makes the world sad, and it should, bc she was a great person and offered love and friendship to anybody who talked to her. She was a loving and helpful person by nature. She is greatly missed by all who knew her. Not an enemy in the world. I would have liked her to live out her days on Earth and get better, but it was a gamble on her getting pushed out of sedation and having a heart attack and she wasn't getting better with her Heart Rate up to 200 beats per minute. She can always piggy back on me to enjoy life on Earth. I don't care. I'll be her vessel or space ship. She is awesome and my life is boring. WE didn't interact that much, but she is so sweet and wanted and enjoyed nice things in life but would give up anything for anybody she loved. Who doesn't want nice things in life. She had to live in an RV park the last 5 years of her life due to Dave's choices as she was a homemaker, but they lived very well for about 10-12 years after he got out of the military and did networking IT work until real estate bubble burst and he lost his job and had trouble making the bills, lost his house right when Becky went to college, thankfully she could live there while graduating high school. In my mind, she is a saint, and a perfect example of the woman she thinks God wants the world to have according to her faith and she didn't like anybody disrespecting her or trying to make her feel stupid or look stupid. But what person does? She deserved respect, kept up the house, cleaned people's messes, always made sure people in the house were fed and not hungry. Prayed for people when she found out that they were facing a difficult life event or might face one due to the way they handle reactions to life encounters. I will obviously never admit myself to a hospital after seeing the lousy job the hospital staff did with her, especially bc of the medicines she was on to counteract affects of other medicines on that led to her death. She could have waited out the virus effects at home and been alive for what I believe. It was the meds she was on and her lousy inexperienced medical staff or non-compassionate at the least that led to her death. They shouldn't be taking care of people if they don't know what evidence based research is used to make people survive their unexpected health conditions. They just go with the flow and wait for the patients admitted to die knowing that there is a likelihood of underlying conditions being acceptable for a patient to die. If they don't do their research and keep up to date on treatments that are successful they shouldn't treat people at all. Because they add to the death statistics from the virus. The Tomball REgional Medical center is a lousy hospital, inexperienced, non-compassionate staff, unable to take criticism, and more that would describe how they are. Their death records must be astronomical for the number of patients admitted with underlying conditions if you were to compare their death rates per class of disease to a research center focused on using only best outcome treatments. Do not ever go to a hospital where the reviews alone are all 1 star. They are lousy, and you must not like your loved one to put them in this type of hospital better labeled a hospice than a hospital where sickness is expected to be treated and lead to survival and livelihood. Poor Mom paid the price with her life and they sedated her the whole time I was there and my sisters without letting us see her. They should go bankrupt and all their bills for accounts receivable unpaid and leave their staff with that on their resume for having experience at a 1 star hospital when applying to other health professions and hospitals with much better survival outcomes. My dog, Mr. Growly, outsurvived his heart condition of heart disease on medication past the time given of a couple months just by staying home and having his medicine. People shouldn't be put in open rooms dying and passed out on sedation where the staff and any visitors can walk by and see them, there was no privacy there, only one person could visit at a time, and the doctors couldn't be called on at any time as they were too busy doing rounds, or were they? What the hell is so important for them in a room with 13 beds. She was ICU bed 13. I saw her toilet like a little toddlers toilet out in the open, every glass wall room of each patient had those little bitch ass nurses looking at them. They were dehumanized and couldn't welcome in healing energy or love, they were left to die much like prisoners. That needs to change. They should get treatment at home or at least have some fucking privacy. They cannot heal if they feel depressed and compounded stress and depression from not getting to receive love from their loved ones unless during visiting hours and one at a time. Fuck that hospital. Jack needs to die with a bow and arrow through his neck, and a couple of those young saucy little nurses the same. I don't care who does it, they suck, they can also wait until the job they do provides the guilt they will be feeling later in life and just kill themselves with a belt and suffocate or take too many zanax like my aunt Pam always tries to do and says its bc she remembers her abuse when she was a toddler or youngster. I think as a nurse and being Texan they have a lot of entitled feelings to take things into their own hands and offer punishment to their 'abusers' or people who don't respect them in some form even if just offering their different view and they like to see punishment and people beg for mercy. Much like being paddled, switched, and basically punished as a child, it is conditioned into them and they would kill someone to punish them much like the LIfetime movie of the bus driver who kidnapped a few girls over 10 years and killed a puppy he just gifted to the first victim bc she tried to runaway, he made sure she saw the puppy she loved and he broke his neck in front of her. I think some of these Texan staff do things much like that if they don't like the family. Their pride outweighs their duties as a human being. I grew up there and know. So convince me otherwise, but the nurse Jack that didn't give me updates on MOm's health over the phone and after flying in. I told him I didn't want him taking care of her bc she got sick after he started watching her, he made a comment to a nurse to make her laugh, I asked what he said, he said I need to leave or else security would escort me out. Then I posted about him on Google or the first available where all were 1 star ratings, I gave 3 stars but mentioned his name and his unethical treatment of family and making fun of them and kicking them out for no real reason. I went in there and while looking at my mom those little bitch young nurses kept staring me down the whole time through the glass, then the next day, keep in mind Jack was there the whole time and didn't say shit to leave, but he walked really close to me when disinfecting after getting out her room. She was there a month and her condition is from Covid residual as she is no longer contagious but they do that to be cautious bc its caused by COVID, and he probably put something dirty from an infected room on me, or shit or piss from another patient. Who knows but he didn't say shit to me but invaded my personal space like he planned to put something deadly or infectious on me. He needs to die, and definitely does not and should not be caring for people who are dying. He is a loser, scumbag, piece of shit and he will meet his maker and the ones to deliver him to his maker for the countless murders he must have done via public disease. I would gladly do it, but I don't and cannot own weapons and it is illegal to murder someone or lynch them as described for not having a jury of 12 or a judge go through the evidence in court and come up to a decision of guilty or not and face a punishment. Any how, just wanted to make a not of that and where I stand on hospitals and how my mom met her untimely death in the hands of incompetent health care providers. I don't think I ate that much today, just the same thing I had yesterday a 1/6 sweet earth and peppers burger on everything bagel with 2x the italian blend cheese and for breakfast regular amount of italian blend cheese on an everything bagel. No longer tired. Bout to have that 2nd drink while continually updating this db from yesterday, and it hasn't rained yet at 5:15 pm. BTW my aunt Pam has been a nurse, LVN, in TX small town and big ones like Dallas and Houston for decades. Nice lady, very religious driven by her church schedule and church folks and prayer. I might not have mentioned that. Finished the prerecorded LEs and notes written and on ppt slides by 915 pm. About 2 hours that took more like 3.5 hours to write notes along with the video on respiration and the pleura cavities and organs involved.</t>
  </si>
  <si>
    <t xml:space="preserve">evrything bagel thomas'
(290.00	3.50	0.50	9.00	53.00	2.00	410.00)
1/4 cup italian blend Stater Bros brand
(90	6	3.5	7	2	0	210)
evrything bagel thomas'
(290.00	3.50	0.50	9.00	53.00	2.00	410.00)
1/4 cup italian blend Stater Bros brand
(90	6	3.5	7	2	0	210)
1/6 package sweet earth plant based meat
(126.67	7.33	4.00	10.67	4.67	0.67	206.67)
1/4 orange/yellow pepper
(6.75	0.00	0.00	0.25	1.50	0.25	0.50)
m&amp;m mini
(65.00	2.50	1.50	0.50	9.50	0.50	10.00)
3 snickers mini
(130	6	2.5	2	17	1	65)
2 milky way minis
(37.50	1.50	0.88	0.25	6.00	0.00	12.50)
3 musketeers mini
(26.00	0.70	0.40	0.20	4.60	0.00	11.00)
2 twix mini
(100.00	4.67	2.67	0.67	13.33	0.00	40.00)
rest of sweet earth meat 2/3 package
(285.00	16.50	9.00	24.00	10.50	1.50	465.00)
1/4 orange/yellow pepper
(6.75	0.00	0.00	0.25	1.50	0.25	0.50)
serving of tortilla chips
(140	7	5	2	18	2	90)
1/4 cup italian blend Stater Bros brand
(90	6	3.5	7	2	0	210)
=290+90+290+90+127+7+65+130+38+26+100+285+7+140+90
=4+6+4+6+7+0+3+6+2+1+5+17+0+7+6
=1+4+1+4+4+0+2+3+1+0+3+9+0+5+4
=9+7+9+7+11+0+1+2+0+1+24+0+2+7
=53+2+53+2+5+2+10+17+6+5+13+11+2+18+2
=2+0+2+0+1+0+1+1+0+0+0+2+0+2+0
=410+210+410+210+207+1+10+65+13+11+40+465+1+90+210
</t>
  </si>
  <si>
    <t xml:space="preserve">Woke up before 5 am and saw that it was almost 5 am and got out of bed, did the dishes that were there from last night and cleaned some pet messes, made my 1st cup of coffee, fed kitty outside, it was wet outside but not raining. Last night I saw a couple flashes of lightning light up the sky before bed time around 930 pm. Gave Growly his meds by giving all babies icecream and their cat food. I still feel like Meow meow is still here but she is at the girls and loving it. The kitten outside goes in the tent set up for the gym we never use and stays warm that way, but would love it if she would start using that $100+ cat house I got her. Too many other options outside for her to choose that one. Decided to start writing the flashcards for CP1 from lab manual and decided to look at videos after going to Stater Bros around 730 am to get bagels and water. Had a bagel, DK brand cinnamon raisin with italian cheese on it then vitamins about 15 minutes afterwards as I forgot to take them with the bagel. I had 3 cups coffee at that time. My notecards from first lab manual CP1 series was missing information and saw that LE3 recording had the information, and did some drawing to illustrate on the flexion and extension and also included drawings of important bony landmarks on Sacrum/ilium/ischium. It was 915 am when I took measurements, after 3 cups coffee and breakfast of the bagel. Got to take a shower and then join the 10 am-12 pm GA1 class. We have a lab and no preclass quiz due today, but is due tomorrow before 9am. I watched the videos already last night and took notes. But the quizzes don't open until about 5-6 pm the day before its due. Hopefully, I don't forget like I did a few weeks ago. Had a BM after 2nd cup of coffee, regular around 630 am when the roommate got home. Measurements taken a few hours later. </t>
  </si>
  <si>
    <t>Woke up at 530 am by alarm, did regular routine, have class at 8 am. Had breakfast a bagel with 3rd cup coffee, had a reg BM after 2nd cup coffee. Measurements after showering and 4th cup of coffee and wearing waist trimmer an hour. They are smaller than normal. 5th cup coffee by 1130 am and 6th cup by arriving at school at around 12 pm. Had 7th after 7 pm and couldn't sleep later after the day progressed. Had an impossible burger on a bb bagel before 10 am around 9 am, It was cloudy weather all day supposed to rain Friday and my car is a mess after the last rain and I washed my car a day or two before it rained and lightning stormed that night. Had an alcoholic drink at 645 after arriving home in a little more than normal side street traffic. Had 6 fruit snacks, 3 purple and 3 blue welchs fruitfuls, and 2 impossible patties, 2 cinn bagels and 2 bb bagels by end of day. Had my multitamins with first bagel all daves killer or dk brand. Also, had a half a bag of popcorn late into the evening of studying. Tried the discord study session hosted by Kelley but seemed like a lot of trash talking and nothing really done for first 25 minutes, then when it started it was loud and went by fast to work on study guides so I quietly logged off and didn't care if they noticed. I couldn't stay on that channel with stress building and not getting an actually session of studying or sharing, but just blurting out responses by people who answered their study guides. So I studied until 1130 pm filling out the study guides and outline the instructor provided in GA1 from 730 to 1020 then the rest of FABS on biomechanics of SIJ and went to bed but couldn't sleep, that 7th cup of coffee had me lying in bed, plus one of the little bastards, Goody, peed on the cover and pillow I just washed, had to put a new one down. Couldn't sleep practically all night, got out of bed at 115 am and had that 4th bagel one of the cinn dk brand with a slice of the roommate's American cheese, some of his mozz and parmesan from the bottle in airfryer. Studied FABS and GA1 on thoracic cage and SIJ until 315 am and did the laundry that remained from earlier before 1st bed time, Kept the personal laundry in the basket unfolded and not put away. I also found out how low my pay check was only working one weekend before taking off for TX to see my Mom on her death bed basically, bc she later died in it. Not a good check at all. Went to bed and might have gotten some sleep, don't feel out of it, and didn't earlier either, but am sure it will hit me later, and I have to drive to campus early as soon as the course lets out for the open lab. Probably got 2.5 hours of sleep. Woke up by alarm at 530 but got out of bed around 555 am.</t>
  </si>
  <si>
    <t>12 oz watermelon redbull</t>
  </si>
  <si>
    <t xml:space="preserve">2 cinn bagel dk brand
(540	6	0	24	102	6	800)
1/2 italian cheese
(180	12	7	14	4	0	420)
3 bb bagel
(780	7.5	0	33	144	9	1140)
4 welch's fruit snax
(360	0	60	4	84	52	60)
impossible patty
(240.00	14.00	8.00	19.00	9.00	3.00	370.00)
5 pickles G&amp;G brand
(0	0	0	0	0	0	260)
1 tbs mustard
(0.00	0.00	0.00	0.00	0.00	0.00	55.00)
=540+180+780+360+240+0+0
=6+12+8+0+14+0+0
=0+7+0+60+8+0+0
=24+14+33+4+19+0+0
=102+4+144+84+9+0+0
=6+0+9+52+3+0+0
=800+420+1140+60+370+260+55
</t>
  </si>
  <si>
    <t xml:space="preserve">2 bb bagel
(520.00	5.00	0.00	22.00	96.00	6.00	760.00)
impossible patty
(240.00	14.00	8.00	19.00	9.00	3.00	370.00)
6 fruit snax welchs
(480.00	0.00	0.00	6.00	114.00	0.00	120.00)
cinn bagel
(270	3	0	12	51	3	400)
american cheese slice
(70	5	3	4	1	0	250)
mozz shred cheese 1/4 cup
(80	5	3.5	6	2	0	190)
2 tbs parmesan from bottle
(20	1.5	1	2	0	0	100)
=520+240+480+270+70+80+20
=5+14+0+3+5+5+2
=0+8+0+0+3+4+1
=22+19+6+12+4+6+2
=96+9+114+51+1+2+0
=6+3+0+3+0+0+0
=760+370+120+400+250+190+100
</t>
  </si>
  <si>
    <t>3 mozzarella cheese sticks calorieking.com</t>
  </si>
  <si>
    <t xml:space="preserve">Woke up at 530 am by alarm, about 2 hours sleep, studying and that 7th cup coffee yesterday killed any sleep for me, got out of bed at 6 am roughly. Did normal routine, didn't study, need to shower, bc have open lab later and won't have time once classes start to shower. I did fucking fabulous or da bomb on my quizzes though. The FABS1 one got me but I drew a schematic on scratch paper and was all good. pulled out my ass bc I did it only for me that I didn't understand nutation and needed to. So my notes after spending 3 hours on GA1 studying where I also did fucking great 14/15 and 7/8 on FABS1 btw, so this is my understanding and bc not entirely in my thought process might forget much like transcription and translation in the cell except for the simple Sherlock Holmes fact that c comes before l in transcription and translation from a video on the amoeba sisters from genetics and/or biology. So this is the thing and my understanding, nutation is extension of the SIJ joint and the PSIS and base of the sacrum or sacral base move in the same inferior position in reference to where they start (along a circle) but different on posterior or anterior as the PSIS moves posterior inferior while the sacral base moves anterior forward, and the right and left leg move in simultaneous or different or opposite directions. A few of his questions threw me off bc they were designed like a CP1 question 'to think' by saying a person's left hip is flexed in walking and this person's right or opposite hip has an SIJ that is in nutation or counter nutation or with a sacral base or PSIS that is moving superior or inferior and anterior or posterior. But also that the nutation is also affected when the trunk extension and flexion is involved, where the opposite in quick thought occurs. Where the trunk extends and the sacral base is in nutation, and the trunk flexes and the sacrum is in counter nutation. See how easily it is to get confused, and I was at first, took a good minute and needed all the time to write down those 8 questions to study. I am already not certain. Alls I know is this: one leg moves in flexion/extension and other hip is other way, and that hip is nutation or counternutation where base of sacrum and PSIS move same inferior or superior direction but different posterior or anterior direction, the  trunk flexed is when the belly button pulled in or spine is forward so spinous processes can be palpated, rather than what a layman would think that flexing the trunk when sitting is to stick your but out and make low back concave. That schematic of simple notes I had as a 'take away' from the ppt slides on biomechanics of the sacraliliac joint were literally the only thing I thought I would absolutely need to know indefinitely and forever as a chiropractor, that and the force and ligaments and tendons and muscles and landmarks on sacrum that were not tested at all. What a gamble that paid off for me, as the members of my group did terrible on it. Also, I didn't feel tired all day until the end of DR. Bui's LE from FABS1 and felt like a normal day. I introduced an energy drink I bought a month ago at the end of September or about 2-3 weeks ago in the fridge as my 6th cup of coffee after campus CP1 course, as weather has been cloudy and drowsy. I did get tired on drive back. Thankfully I was able to manage the drive after only 2- 2.5 hours of sleep. And do great on exams. I also saw a buddhist or dahli lama type driving that sucked at it and didn't know how to change lanes safely and kept tapping her breaks in front of me right near my exit to get home. This could be that the whole chiropractic program is starting to feel more like getting a black belt in karate, as the help in open lab told me to close my eyes and feel the flutter of the SIJ on my thumb when using the prone SIJ palpation series in extension of SIJ. I need to study for. I called Becky on way home from campus around 310 pm and she told me how she is doing and getting Mom ready for funeral services in IL Bolingbrook but only had the embalming and shipping of her Monday and has yet to arrange the funeral proceedings in Bolingbrook at the Church of st francis or something like that and that she is saving us one her shirts and picking out jewelry and has a photo of Mom wearing the jade earrings I got her last year. I love Mom and it is nice to know she wore those earrings and enjoyed them. I really do think she is God's baby girl and deserved a good life or a great one for her sacrifice and hard working attitude in taking care of her household. She was a great Mom, and person. Many people loved her. Not many genuinely nice and caring people like her left in the world and it would make God's people cry and make the sky rain and lightning and thunder for losing such a valuable contribution to God's race and his people and sharing love among human beings that are more selfish and childish is some demographics than others. I loved her and am glad I was able to give her some jewelry that she appreciated. I knew my mom was into jewelry and it makes me happy to know she didn't just throw it into a drawer to never be worn or ask for the gift receipt to return it and get something else but remember me and that one and all her daughters love her and want good things for her and a good life.  She is missed and will be in a good life wherever she is if reincarnated into a better life to experience the full love and attention of a mother as her own mother had 7 boys and 7 girls and she had to drop school to help raise her siblings by the time she got to middle school. But always encouraged us to go to school and get as much education as possible and be patient and watch our tempers and not to cuss, and other stuff that isn't right for this generation. But meant from a place of love for us and wanting her children to have a better life than her. I love her and miss her and know she didn't deserve the end result of Covid, but is in a better place wherever it is. We are all guests on this planet and don't get to choose when we leave it. It just happens. Thats part of life. I know damn sure I am not going to die in a hospital. Fuck that! I drank a drink when I got back from campus and had another with the same set of ice cubes from the two ice cube trays. AT this point was within 1 hour from 410 pm to 510 pm, considering a 3rd drink. Also had a small but not tiny BM for 2nd BM today around 5 pm. After those 2 drinks. Kettle one citrus. Over ice. Bed time around 1030 pm. About 5 1/2 hours sleep. Studied flashcards for CP1 lab procedures 3x each series item. Prone SIJ and seated SIJ series. </t>
  </si>
  <si>
    <t xml:space="preserve">5 3 minute rounds cardio kickboxing, then did some cardio calistenics of body weight squats and one legged squats mixed with cardio kickboxing 1 minute and ground and pound 80-120 lb bag 1 minute with 30 seconds squats and 15 seconds each leg one legged squats. Total body workout of cardio 8 3-minute rounds for 24 minutes cardio. But before this also did some light exercises, normal weight
inner thighs 50lb
outer thighs 50 lb
quad seated extension machine 50 lb
hamstring curls seated 50 lbs
</t>
  </si>
  <si>
    <t>bench press 55lb (-10 lb)
biceps barbell instead of dumbbells 30 lbs
triceps pull down machine same weight with 1 bar
obliques twists cable machine same weight on 10.? same
obliques lifts 35 lbs each side with 35 lb disk wt
rhomboids upper trapezius back row machine 50 lb same wt
lattisimus dorsi pull down machine 70 lb same wt
hamstring curls 50 lbs same wt
no cardio at all only 30 minute workout</t>
  </si>
  <si>
    <t xml:space="preserve">Woke up at 4 am by alarm and studied the CP1 flashcards some more on prone and seated SIJ series. Did the normal routine, had a BM after 2nd cup of coffee, then had a nap at 630 am for 15 minutes, then pizza 2 slices from left over pizza from yesterday in airfryer with 3 multivitamins as normally done with breakfast. Also it had 2 tbs parmesan from the packets the FUze pizza gave delivery guy. The roommate said it stank when air fryed but doesn't and he must not like the smell of the parmesan bc he eats the same veggies on his pizza but added meat. I gave him half my bread sticks and cheese sticks last night and by the mid afternoon before leaving for work and my 30 minute gym workout with weights only had eaten all the pizza. It was good. I took the red onions off all of it. I had a meeting with the academic counselor at 930 am after the quiz in CP1 that I did ok on with 8/10 answered correctly. We didn't have LE after so I went to the store and bought groceries on my credit card. Super broke bc not taking side clients, only working weekends but only 6 hours less hours per week as my weekends added 5 hours but missed a whole weekend with trip to TX to visit Mom they robbed me of talking to sedated and coherent. But at least I saw her and she heard me. I love her and Becky is making her funeral arrangements and asked about the jewely the jade jewelry I have been gifting her on Christmas and her birthday if I wanted it, but I said it doesn't matter to me, and was glad Mom wore the jewelry like the jade earrings she is in a photo from the VFW events she went to wearing them. I love her so much and will think about her from time to time. But even though she didn't raise me and it wasn't by choice, they had a terrible divorce 30 years ago my dad and her and he took us to his grandparents to raise us who we hated being with from their discipline of belt and switches for negligible household crimes or rules broken. I remember she visited us once in the late 80s and I was sad when she left as a child down that street and yelled for her and called her name. She could hear it I thought and knew I wanted her. But also, I think this connection exists between us as on this plane of life or dimension, as when I went to work the first day back super tired and thought to myself knowing Mo was driving back from TX with the girls that she was probably driving all the way through even though she is smarter than that and there was a storm. And sure enough, she was, she texted me the next day or that day and that was exactly why she drove straight through I found out but the text was about them wanting Meow meow back so the girls could take care of her, a week before Mom was let off life support and after I texted them how she nudged my leg hard with her head smelling my clothes and them and that she missed them. I feel that connection on this dimension, and when Mom officially died and left this Earth I really felt like she was gone or not hear to communicate with. I know she was a great person and had some things twisted in terms of good fortune and her up bringing but was a great Catholic woman and of God and worshipped and loved all things she was supposed to as a Christian and Catholic. It really felt like a pit in my soul or being and gave me that empty feeling like I wouldn't be able to think about her and know she was fine any more or doing well or just living or happy as she could be. I think it hurt the most because she was so childish in her views and easily manipulated by her tv programming and stories she heard from ignorant friends that are Fox News viewers and Republicans in this time at the VFW in TX. Child like and innocent to die without even having her own marriage license or ability to work outside the home or drive anywhere for the last 5 years. She didn't get to live. Period. She was just existing and would have fun and socialize with her VFW friends of Dave. He turned out to be a good, loving husband, he was just absent minded and kept his illnesses from Mom so she wouldn't worry bc her heart and diabetes made her sick if she found out any information that could impact her loved ones or her lives. She would immediately pull out the rosaries and light the candles and pray and if she needed more insight would do that at the Church all day like she did after the real estate bubble burst and the impacts of that national event came to fruition with Dave being found to have lived off his company credit card he didn't work for anymore by a few years. He was arrested and held in jail for a week and made things right afterwards that paid for the money he spent on the card and lawyers and taxes he didn't pay for a few years while pulling money from wherever he could to keep the house they were in long enough for his only daughter Becky to graduate high school in and send her off to college. They made good, and from there decided not to be stressed with house bills and just invest in an RV, travel and settle at a cheap RV park the last 5-6 years of their life and he did the BBQ competiitions in TX and visited the VFW as he spent his early post High School years in the Marines and was in the foreign war of 1991 gulf war or  whatever they called it. Anyhow updating this db as I am drinking and its my first and only drink over ice. I have to get up early to get Growly's meds before my 8 hour massage day. Measurements taken late in afternoon and after the 6 am BM, about 7 slices of pizza, 2 servings of cheetos and working out with weights for 30 minutes at the gym. and before leaving for work, immediately before work. At work just snacks of about 3 servings cheetos and 6 fruit snacks of 3 welchs and 3 motts from arrival to 30 minute break time. Got home around 1030 pm and fed cat outside not kitten bc kitten gets many servings of cat food is still super skinny, but a sweetheart friendly, and leaves her food untouched by the 3rd can or 4th one. The outdoor cat wasn't in view when I actually came back from inside after seeing her under the roommate's truck when pulling in. I am super broke and will have to pay my van payment late this month due to not having the funds, and not for forgetting like last month. There is only a mark if it is 30 days past due, and it won't come to that. I do have midterms after this week and am in 5 courses, and won't be able to take extra clients or any clients and have to consider missing weekend work for Mom's Chicago funeral in later October fastly approaching. So I don't miss school. She Becky said the 20th which is on a Wed and would be after midterms I think or during the week of, and I wouldn't have to miss a weekend, but its not certain as she only made embalming and shipment arrangements and hadn't contacted the Church of St. Francis in Bolingbrook to book the funeral. Becky is appearing very strong and put together but I know she is aching inside and she plans to marry this Argentinian guy Marciano in a month and has to get all her documents and go through a whole process for him to work here. He is an engineer. She really likes him. At least she has her uncles who love her as their own sister or daughter and us to help her and was an only child and has many friends and the gift of gab and socializing and a great job at Blue Shield Blue Cross as an analyst to pay for this. She wants to sell all of Mom and Dave's things like the 8k BBQ grill, their RV and their truck to pull the RV that isn't working. Bed time by 12 am. It is 1131 am right now. Had a couple naps in the day at 630 am for 15 minutes before breakfast and after my BM for day and at 1215 pm for 30 minutes before CTAP1 class. We got out early from CTAP1 by about 30 minutes and was able to workout earlier and feed babies and order Growly's meds to pick up in the am. </t>
  </si>
  <si>
    <t>5at</t>
  </si>
  <si>
    <t>Woke up at 530 AM, did normal routine of feeding babies, cleaning pet messes, feeding kitten outside and giving Growly his meds, he was on last water pill called lasix or furosemide, I already made plans last night with the vet to pick up the meds in the 7 am time before getting to work by 8 am, not much sleep as Saturday I normally have to leave ready by 720 am which means getting up at 530 am and I work until 10 pm the night before on Friday plus the time to get home and get ready for bed, no BM all day, bc had to leave early to get Growlys meds he had used last of his water pill and needed it. I got it before work when they opened plus a few minutes to wait at 7 am. Need to call a few days ahead next time to have them approve the next prescription refill. Only had 4 cups of coffee all day and didn't take multivitamins forgot them when I forgot my bagels in airfryer to take them with on the way to get Growly's meds. Had cheetos and fruit snacks for breakfast and lunch. After work got Brooke and Bailey gift cards at Macy's and me a funeral dress for Mom and a cute Guess cashmere short suit that is odd but girly cute. Found Mom's funeral earlier when reading Becky's text. Its midterm week on a wed which means no work missed but do have to ask permission from Dean to miss that day and my professors and fillout a form and buy tickets. Also, when dropping off gift cards picked up meow meow and her kitty litter unaware that was what they wanted until I got there. The door to her hidden cabinet kitty litter was broke so have to use it without the top grommet. Later on in the evening made the last beyond package with the last sweet bell peppers, small yellow and red no oil as none there but cooked on low instead of med heat for 20-25 minutes without burning it. Had a serving with tortilla chips before bed. And started the draw it to know it in CTAP once situated at home around 7 pm. Its lengthy and didn't finish it. Saved some for the morning. Bed time by 9:30 am.</t>
  </si>
  <si>
    <t>Woke up before alarm at 530 am got out of bed after about 7.5-8 hours of sleep. Had 2 BMs after 1st cup coffee and after 2nd cup of coffee. Did normal routine of Growly's meds, cleaning pet messes, and feeding the kitten outside and babies inside. Finished the Draw it to Know it quizzes on connective tissue of bone and cartilage. A lot of information but just for class participation. Have to take the exam that I later found out are these quiz questions but also 49 of them compared to the quiz of 4 questions each of about 7 quizzes. Copy and pasted the notes and searched for most answers to the multiple choice questions then signed up for the certificate and viewed/printed it to the module 5 and emailed to Dr. Kono as instructed to have in by midnight Sunday which is today. Had a drink and no groceries so ordered instacart pizza, pasta frozen, bread, bagels, cheese, and cream cheese. Saves time for the roughly $5 more. Gave him a $5 tip. He got there fast. It shows each item checked off as they get it and they give a receipt. It automatically tips according to your settings or their default settings. For breakfast was a serving beyond meat with italian cheese and serving tortilla chips and Ritz plain crackers, found them last night and had a serving with the beond meat last night when pan cooking the beyond meat. I thought the roommate ate them and didn't realize I put them in the pantry behind the pan I cook with that I don't cook with anymore as I use the airfryer for everything. Had the last serving beyond meat and peppers with tortilla rounds and a serving cheetos for lunch warmed in airfryer I brought with me this morning. Meow meow didn't eat last night and not much today, but is already cozy to this place like before. Last night the skinny black kitten roamed the house and eventually went outside. He/she isn't vaccinated and doesn't use cat house, but I want her to be warm as its getting colder and she is alone outside in the cold where it can be around 40 degrees or feel like it at night. After work had a drink the same one just mentioned and made a digiorno cheese pizza and had 3/8 th of the pizza. No ranch, forgot and forgot to get more fruit snacks as out as of yesterday. Finished the exam and email to professor around 730 pm.  I got home around 545 pm. Maybe a little bit earlier as not much traffic if any after work but do clean room after each shift. Need to update this as I have been putting off entering the nutrition part and calculations. Only 5 cups coffee today, started to get a little blind spot indicator of migraine after 2nd cup coffee but had some water in am and it went away while completing the Draw It to Know it.</t>
  </si>
  <si>
    <t>ACT II butter Lovers pkg 2.5 servings per pkg, serving</t>
  </si>
  <si>
    <t>Act II butter Lovers popcorn pkg 2.5 servings per pkg, serving</t>
  </si>
  <si>
    <t xml:space="preserve">2 cinn bagels
(540.00	6.00	0.00	24.00	102.00	6.00	800.00)
1 impossible patty
(240.00	14.00	8.00	19.00	9.00	3.00	370.00)
4 pickles G&amp;G brand
(0	0	0	0	0	0	260)
1 tbs mustard
(0	0	0	0	0	0	55)
1 12oz watermelon redbull
(160.00	0.00	0.00	0.00	40.00	0.00	125.00)
2 slices or 1/6 a large veggie pizza, mushrooms, olives, tomatoes, cheese, marinara
(180	5	2.5	8	25	4	310)
3 slices of cheesey breadcut into 6 pcs
(330.00	17.00	10.00	10.00	34.00	1.00	270.00)
2 thin mozz cheese sticks
(210.00	12.00	9.00	24.00	3.00	0.00	540.00)
5 tbs marinara sauce with cheese sticks and cheesey bread
(70	1.5	0	3	10	1	360)
3/4 coca cola can
(135	0	0	0	37.5	0	45)
1/2 bag popcorn
(140	7	3	2	20	3	310)
=540+240+0+0+160+180+330+210+70+135+140
=6+14+0+0+0+5+17+12+2+0+7
=0+8+0+0+0+3+10+9+0+0+3
=24+19+0+0+0+8+10+24+3+0+2
=102+9+0+0+40+25+34+3+10+38+20
=6+3+0+0+0+4+1+0+1+0+3
=800+370+260+55+125+310+270+540+360+45+310
</t>
  </si>
  <si>
    <t>7 slices of veggie pizza from a 12 slice large pizza
(840.00	23.33	11.67	37.33	116.67	18.67	1446.67)
7 fruit snacks
(560	0	0	7	133	0	140)
5 servings cheetos
(600	20	2.5	10	90	5	1050)
1/4 coca cola can from left over of last night
(45	0	0	0	12.5	0	15)
2 tbs parmesan from bottle with breakfast pizza
(20	1.5	1	2	0	0	100)
=840+560+600+45+20
=23+0+20+0+2
=12+0+3+0+1
=37+7+10+0+2
=117+133+90+13+0
=19+0+5+0+0
=1447+140+1050+15+100</t>
  </si>
  <si>
    <t>beyond meat with red yellow sweet pepper about 3/4 a reg size orange one, 4 servings per pkg, this is 1/3 package:</t>
  </si>
  <si>
    <t xml:space="preserve">serving beyond meat peppers
(366.92	24.00	6.67	27.42	11.17	3.42	468.17)
serving tortilla rounds
(140	7	5	2	18	2	90)
5 servings cheetos
(600	20	2.5	10	90	5	1050)
7 fruit snacks
(560	0	0	7	133	0	140)
serving plain ritz thins crackers
(130.00	5.00	0.50	2.00	21.00	2.00	220.00)
=367+140+600+560+130
=24+7+20+0+5
=7+5+3+0+1
=27+2+10+7+2
=11+18+90+133+21
=3+2+5+0+2
=468+90+1050+140+220
</t>
  </si>
  <si>
    <t xml:space="preserve">2 servings beyond meat peppers
(733.83	48.00	13.33	54.83	22.33	6.83	936.33)
2 serving tortilla rounds
(280.00	14.00	2.00	4.00	36.00	4.00	180.00)
1 serving cheetos
(120	4	0.5	2	18	1	210)
3/8 digiorno cheese pizza
(675.00	22.50	11.25	36.00	83.25	2.25	1575.00)
=734+280+120+675
=48+14+4+23
=13+2+1+11
=55+4+2+36
=22+36+18+83
=7+4+1+2
=936+180+210+1575
</t>
  </si>
  <si>
    <t>quads leg extension only after cardio kickboxing, used 50 lbs machine 3 sets 10-12 reps</t>
  </si>
  <si>
    <t xml:space="preserve">Woke up at 5 am, did some review of the back muscles part 1 of prerecorded videos in FABS1 and got up until layer 5 ESM without Origin,Action,Insertion,Innervation. Then in lab we filled out a worksheet that helped study for that quiz not this week but Monday. We also have a group drawing lab due soon. The day before. In CTAP1 took quiz 3 and got another 7/10. I thought I did better before sending it in. ANd he doesn't test us on much that he gives us a study guide on but the questions are probably the ones that really have to be thought out, not just knowing the layers of epidermis but what organelles are randomly living in what layer. Took measurements after 3 coffees and a BM after my 2nd coffee, and before breakfast of left over 2 slices digiorno cheese pizza in airfryer with multivitamins. Then had a 4th cup of coffee by 830 am before the 10 am LE in FABS1. NOrmal routine to start day as always, Growly's meds, feed babies, and pulled laundry out of dryer but didn't put it away until after studying and lectures and a workout of cardio 5 3-minute boxing heavy with some kickboxing and 3 3-minute ground and pound rounds with standup. Some little misogynist skinny brown princess dude or fairy was there ruining my workout on ground and pound, that and working out to Lionel Richie while ground and pound and I got too aggressive on heavy bags working out and the dude was competing with me for muay thai bag hit sounds the loudest without saying anything, but his kicks for a male were lousy, he doesn't kick that strong. My spinning back fist is louder than his muay thai kick on the bag. Any how, it made my ANS system and metabolism use all my 5 earlier brkfst/lunch pizza energy up and hands were shaking. We saw a couple videos in CTAP that stood out about the Na-K pump on a freshly cut whole squid (RIP little squid) at a sushi restaraunt that had its brain removed but limbs and lower head with eyes were staring at patron and camera and the whole thing moved once soy sauce was poured on it. That was creepy and sad to think of the exploitation of life even sea life to amuse a predator consumer for dinner. But it was meant to show the action potential of the myosin and actin and Na-K pump, I didn't get that out of it though, just how creepy it was. Also, we watched another video of a guy who just left the gym and his calf wouldn't stop moving around and cramping up as a charlie horse due to probably not having enought potassium or K in his diet or using up his mineral reserves. The guy's charlie horse lasted a long time like more than 20 seconds. I didn't want to get a charlie horse and don't work out that hard or on the same supplements those gym folks do. I had the last 3 slices of the pizza, after breakfast, one before FABS1 started at 10 am but before my shower around 940 am, 10 minutes to eat after 930 am. Then the other two after FABS1 and before CTAP1. I only did one leg machine on quads with leg extensions after my ruined cardio workout for 3 sets 10-12 at 50 lbs. It burned as always. After working out from 320-420 pm, got home and had a drink and put away laundry then started the prerecorded video on the pericardium for lab tomorrow and reviewed all the quizzes and assignments and midterms this week. One midterm in IPA1 on 7 minutes practical demo on general survey, skin/hair/nails, and thorax/lungs. It took me a while to get through the packed info lab video by Dr. CArlos. He had 2 other options but he always has a bunch of information in his videos. Had to write it all down. And ended with the CNS/PNS postganglionic sympathetic, preganglionic parasympathetic, and other nerve information related to the heart and review of material. We will be quizzed on it in his midterm. I didn't get through those videos on the actual LE for pericardium, but its scary seeing how the bicuspid valve can tear off and allow blood to pool and back up and lead to heart disease by its attachment with the little tendons, I forgot the name, maybe the pectinar muscles and the thread like structures called ??? I would have to review that, but plan on reviewing the LE videos, FABS1 back muscles I didnt' get through, and the IPA1 material for the midterm tomorrow by looking at slides first and rubrics. I have the general survey rubric but I don't know where to find it on the dashboard of that course, and wonder if she took it down. I had a sciatic pain in LHS LB while sitting an hour and half writing lab notes and removed my waiste trimmer and it helped, then got up and finished the notes standing in kitchen. It has been chilly inside all day. I took a nap earlier right before CTAP1 from 1-120 pm and left the stove burners on. After the gym around 420 pm I noticed the electricity went out and had to reset the stove and the security camera's tv and that there is a mouse in the house. Maybe only one bc I saw it by the stove and there are mouse turds in the stove burners and later coming out my room after I was sitting note taking the lab information. Meow Meow is playing with it and knows where its at but only to amuse herself, she is not a hunter or mouse hunter, much less a murderer. I was going to stay up but I had that extra drink and a half around 8 pm that helped with LB pain as I forgot it. I also had a BB bagel with whipped cream cheese philadelphia around 820 pm. And forgot to mention after my 1st drink and before sitting to note take prerecorded lab I had a pita bread and 2 string cheeses. It must have been stress related and when I let my ANS sympathetic side partake in my cardio kickboxing ground and pound at gym. Messed up my sciatic, that and the gut in my back with waist trimmer. Was able to finish notes no problem. Went to bed after 930 pm, and around that time. But didn't sleep through the night, got up again and laid in bed around 2 am. And updated this database. I also had 6 cups of coffee all day, the last one was after FABS1 ended around 1215 pm, and the 5th one was before FABS1 was over, and 4th one around 830 am, also before FABS1. I didn't drink much water all day, and only had the bottle and a half I drank while working out and after working out. </t>
  </si>
  <si>
    <t>Galbani string cheese, serving is 1 string cheese</t>
  </si>
  <si>
    <t>Papa Pita Greek Pita, serving is 1 pita</t>
  </si>
  <si>
    <t>Philadelphia whipped cream cheese, serving is 2 tbsp</t>
  </si>
  <si>
    <t xml:space="preserve">5 slices digiorno cheese pizza
(1125	37.5	18.75	60	138.75	3.75	2625)
1 BB DK brand bagel
(260	2.5	0	11	48	3	380)
2 tbs Philadelphia whipped cream cheese
(50.00	4.00	2.50	1.00	2.00	0.00	85.00)
1 pita bread
(200.00	2.00	0.00	8.00	38.00	4.00	400.00)
2 string cheese
(180	14	9	14	0	0	340)
=1125+260+50+200+180
=38+3+4+2+14
=19+0+3+0+9
=60+11+1+8+14
=139+48+2+38+0
=4+3+0+4+0
=2625+380+85+400+340
</t>
  </si>
  <si>
    <t>Woke up at 2 am and updated this db, it was windy outside, but says its only 9 mph, there were branches strewn across lawn. It wasn't windy at all yesterday. Took babies out to potty. Then after 45 minutes of updating this db, I got tired and laid back down instead of looking at the IPA1 files and slides to review for the midterm Wednesday at 3:45 pm. ...........went to bed at 1015 pm after taking the preclass quiz in GA1 and looking over some of part 2 back muscles for FABS1. Tired. Updating this on Friday, been busy all week. About 5.5 hours sleep. Had 2 cups coffee, then 3rd with pita and 2 string cheese at 715 am approx. started 4th cup coffee at 745 am cooling 15 minutes, no BM until later. just gas. dehydrated. Drank bottle water in middle of night, no getting up to pee. Measurements not taken after breakfast, waited till after BM. Had IPA study material to go through at 6 am, rubric, flashcards, then FABS1, finished the part 1 on all 5 layers part 2 needed for 6th layer, onto LEs for GA1 before 10 am class.typing in what I wrote in journal I make notes in when unable to get to the computer db to input. Onto LEs fro GA1 before 10 am class. Showered. Had a reg BM after 4th cup of coffee, then measurements taken about 855 am. 5th cup coffee after GA1 around 1230 pm. Had BB bagel with cream cheese, lunch at 1220 pm approx, pita and 2 string cheese, 6th cup coffee on way to Target around 3 pm. 7th cup of coffee w/ International Delight coffee creamer, Pumpkin Pie spice I got from Target in refrigerated section. about 3 tbs per cup. While studying at night had a pita in the airfryer with parmesan cheese but it made a mess 2x and blew off, I had to fold it then redo it on 3rd attempt to get parmesan cheese to stay. It never did that before, but for some reason tonight. The airfryer is easy to clean just wipe it up with a paper towel when cooled. I was stuying IPA1 midterm material. Bed time was around 1030 pm tired.</t>
  </si>
  <si>
    <t>Woke up at 5 am by alarm and studied the IPA1 and made a powerpoint of the videos that I didn't check until after the fact that it wasn't recording the video pulled from zoom of the actual demos in the recorded lab meetings. …..Studied the mediastinum and had 7 cups coffee with new addition of creamer, tired by 9 pm, client cancelled earlier in day. Got the time to study and relax. Took the midterm at school after studying with group an hour or so and being basically last to go, but just components of the study material graded. Seemed good and the instructor examiner said it was good. Mario stayed to be my patient to demo on using lymph nodes, skin, heart rate and breaths per minute, and percussion of the fremico or something like that. Mind blanked on names like that for turgor. for dehydration. Mario gave me his way of how he remembered it with a definition root then a male reason for the appendage that gets tight, that I didn't ponder on and now will have to remember it bc he used that word as a weird way of how he describes it. He is a nice young father, sure he didn't mean it offensive, just biology. Doesn't hit on me or offend me or disrespect me ever, so I wouldn't consider it different, plus I was walking with him after school and we were one of the few people left on campus. I plan on getting up early to finish the studying, the post assessment guide was easier than I thought, but the questions for the earlier details I remembered a few weeks ago when going over this lesson are a little fuzzy. Need to do that. The quiz is at 8 am. Before all that from my journal making notes on Friday from it, the above was made that night. I had 3 cups of coffee when I woke up with the 3rd one the only one with creamer same ID brand PPS, then a sm BM, 4th cup also with creamer by 730 am already had 4 cups coffee and 2 with creamer. Made PPT video to study, but the audio not set so was a quiet video. Took a few hours to make too. For breakfast was a pita with parmesan cheese using foil to avoid a mess in airfryer. Had multivitamins with the pita. Measurements taken after sm BM and breakfast. Then had an everything bagel with cream cheese around 845 am. Had 4th cup of coffee at 745 am before measurements with creamer as already stated. Also had a couple string cheese before leaving for my on campus courses of which one was my midterm. Afterwards had another everything bagel with parmesan cheese and 1/2 bag of shrimp asparagus penne pasta the barilla or bertolli brand. With 1/4 cup parmesan cheese. Bed time was 10 pm but not asleep until about 1030 pm bc of singing from neighbors outside, a quincierra or something. Also forgot I snacked in my van waiting for class to start and while studying IPA1 material on 2 twix/1 3musketeers/1milky way minis left in car from before my trip to TX at end of September. And a serving of Ritz crackers baked, a serving cheetos, and a serving of tortilla rounds.</t>
  </si>
  <si>
    <t>Korbels champagne</t>
  </si>
  <si>
    <t xml:space="preserve">Woke up at 5 am bed was at 930 pm, 2 cups coffee then a sm BM, 3rd cup and last 1/2 shrimp penne pasta from last night for breakfast. Used creamer in 1st and 5th cups coffee. The 1st cup was actually warmed up in the microwave from last night that I didn't drink when studying bc it would have been my 8th cup last night. My 4th cup of coffee was at 8 am in my 1st class quiz but sitting until after the quiz. 5th cup was in 9 am class at around 930 am with creamer. Measurements taken after breakfast, a sm BM, and 4 1/2 cups coffee, two with creamer at around 935 am. During LE but a slowpoint of the LE, 6th cup coff was around 10 15 am with creamer, then a serving of Lays potato chips classic brand, serving Ritz baked crackers on way to campus and after work needed wet cat food and water so stopped by store to pick that stuff off at Ralphs and get a bottle of Korbels champagne and some kpod coffee Kroger brand. Today my group was Keven and JP, sitting lumbar, difficult bc of the tightening of ESM muscles, but its a superficial move. Then one Beyond patty, 1/4 mozz, and an everything bagel. Had 3 1/4 cup literal measure of the champagne over 2-3 hours. To study and finish the group anatomy drawings of other muscles levator costorum and suboccipitals for group due Sunday, and emailed to them. Everybody has an ipad that works much much better at doing digita drawing, and I have a subpar drawing pad with my mouse that doesn't pick up sensory information in some of the center and I think its making my tip of my index finger have cyanosis bc it gets ice cold and I cannot feel it. Managed to put it together. Did my part. They will put it together to submit. Two of the three have my phone to text and all have my schuhs email. Gerardo was in my previous group in GA1 but I got moved recently to another group. David and AnJan have my phone number. I don't think I gave it to Gerardo. Had a decaf coffee kpod last night with creamer instead of a caffeneited one as I got a box of decaf from Ralphs. Drank that bw 1/4 servings of champagne and was ok. NO HA. I forgot to do laundry and didn't have a waist trimmer to wear so didn't wear one today. </t>
  </si>
  <si>
    <t>red baron frozen cheese pizza, serving is 1/4 pizza, pizza:</t>
  </si>
  <si>
    <t xml:space="preserve">3 tbs pumpkik pie spice ID creamer
(105	4.5	0	0	15	0	45)
3 pita bread
(600	6	0	24	114	12	1200)
4 string cheese
(360	28	18	28	0	0	680)
BB bagel
(260	2.5	0	11	48	3	380)
3 tbs cream cheese
(150	12	7.5	3	6	0	255)
1/2 cup parmesan cheese
(200	12	8	16	4	0	560)
=105+600+360+260+150+200
=4.5+6+28+2.5+12+12
=0+0+18+0+7.5+8
=0+24+28+11+3+16
=15+114+0+48+6+4
=0+12+0+3+0+0
=45+1200+680+380+255+560
</t>
  </si>
  <si>
    <t>shrimp asparagus bertolli frozen penne pasta ready in 10 minutes, bag:</t>
  </si>
  <si>
    <t xml:space="preserve">2 everything bagels
(520	10	1	26	88	10	700)
4 tbs creamcheese
(200	16	10	4	8	0	340)
1/2 cup parmesan shredded cheese (pasta, bagel, pita)
(200	12	8	16	4	0	560)
1 pita
(200.00	2.00	0.00	8.00	38.00	4.00	400.00)
2 twix mini/snack
(100.00	4.67	2.67	0.67	13.33	0.00	40.00)
1 milky way mini/snack
(37.50	1.50	0.88	0.25	6.00	0.00	12.50)
1 3-musketeers mini/snack
(26.00	0.70	0.40	0.20	4.60	0.00	11.00)
1/2 bag shrimp asparagus frozen heat up meals bertolli or similar name
(425	17.5	5.5	14.5	52	3.5	780) 
8 tbs creamers in 4 coffees of 7 total all day
(280	12	0	0	40	0	120)
serving cheetos
(240.00	8.00	1.00	4.00	36.00	2.00	420.00)
serving ritz baked crackers
(130.00	5.00	0.50	2.00	21.00	2.00	220.00)
serving tortilla rounds
(140	7	1	2	18	2	90)
=520+200+200+200+100+38+26+425+280+240+130+140
=10+16+12+2+5+2+1+18+12+8+5+7
=1+10+8+0+3+1+0+6+0+1+1+1
=26+4+16+8+1+0+0+15+0+4+2+2
=88+8+4+38+13+6+5+52+40+36+21+18
=10+0+0+4+0+0+0+4+0+2+2+2
=700+340+560+400+40+13+11+780+120+420+220+90
</t>
  </si>
  <si>
    <t xml:space="preserve">1/2 shrimp asparagus penne pasta
(425.00	17.50	5.50	14.50	52.00	3.50	780.00)
1/2 mozz
(160.00	10.00	7.00	12.00	2.00	0.00	380.00)
12 tbs coffee creamer in 4 coffees approx same for coffee mate and internationl dlt
(420.00	18.00	0.00	0.00	60.00	0.00	180.00)
serving Lays potato chips
(270	13	1.5	5	34	2	640)
beyond meat patty
(260.00	18.00	5.00	20.00	5.00	2.00	350.00)
1/8 xl hersheys symphony almond toffee candy bar
(300.00	18.00	10.00	6.00	34.00	2.00	100.00)
string cheese
(90.00	7.00	4.50	7.00	0.00	0.00	170.00)
=425+160+420+270+260+300+90
=18+10+18+13+18+18+7
=6+7+0+2+5+10+5
=15+12+0+5+20+6+7
=52+2+60+34+5+34+0
=4+0+0+2+2+2+0
=780+380+180+640+350+100+170
</t>
  </si>
  <si>
    <t xml:space="preserve">pistachios from Ralphs, serving is 1/2 cup with shells or 8 g w/o shells, </t>
  </si>
  <si>
    <t>Woke up at 4 am by alarm, went to bed till 10 min utes before 5 am alarm and got out of bed. Went to bed at 1015-1030 pm last night so got about 7.5 hours sleep. Was tired waking up but not exhausted. Had 2 cups coffee w/ creamer then a sm BM by 6:20 am, 3rd cup coffee all cups coffee with creamer while studying up on CP1 by highlighting the Kindle pp read in the req readings. Had a 4th cup of decaf coffee also with creamer. Then at 715 am had a beyond patty with everything bagel 1/4 mozz and 1 tbs mustard and 3 target brand pickles before CP1 LE. Finished reading at 740 am the req readings but last 22 kindle pp weren't highlighted. The LE went over impt parts of the readings. Slightly longer by 5-10 minutes than scheduled to go. Then had a 4th cup of caffeinated or regular coffee also with creamer after LE and started the CTAP prerecorded LE he is out of his office in TX and not able to hold class. GAve us ton of work to do and study for a quiz though on Mon. Had a half of a red baron frozen pizza out of oven during notetaking of his hour LE that ended up being 2 hours bc of the lengthy additional stuff he speaks really fast on his slides about. Then a 5th cup coffee w/ creamer when done and a nap for 20 minutes around 1155 am when done, woke up at 1215 am even though set alarm for 1244 am and 1245 was already set. Then decided to update this db that I had to read from Tue from my Journal today being Friday for adding information. Been good about the measurements daily, although not taken today yet and its already 110 pm. approx. Haven't worked out in about 5 days too. Could be a habit as midterms, flight out of town, lack of sleep, work, studying, assignments, quizzes exams, practicals etc are taking over. Didn't workout and stayed at home working on Kahoots for CTAP and it was on epithelium tissue from 2 weeks ago mostly. There wasn't any information that I saw next to the Kahoots and I thought it was on this week's material. I didn't know what it was on. You can only take it once, but I took it again as JC and took the screen shots. I didn't do well at all. The team leaders were the ones who logged in like they announced on discord and got them all about the same answered correctly. I missed quite a bit, a little less than half of the quesions. They showed the images from the slides that we just spin through after spending about a good 30 seconds at the most on as he talks super fast and runs through information on each slide faster than you can draw in notes that he draws on the slide. When I am in a course like that I would rather just watch prerecorded videos to pause and write the notes and thats most likely why I do really well in the GA1 course. FABS1 I am doing pretty good too, but he spends time on each slide and allows us to write down anything he draws or jots on each slide and ask questions before moving on. Still have a draw it to know it. For early dinner before work had the other half of the Red Barron's cheese pizza and a 6th cup of coffee I had with the pizza after my nap and before the kahoots quiz for attendance. The decaf was coffee was actually on the way to work. Went to work and had a full schedule then got home and had a regular cup of white whine of the korbel champagne over ice. Was dehydrated at work and had a bottle of water after work. Was talking so much in last session wtih a regular my throat got itchy and I had to cough but I was wearing my face mask all day. So coughed in my mask. While finishing my wine and watching the latest Hulu flick of Only Murderers in the Building I had an everything bagel with cream cheese. Afterwards had 1/2 cup pistachios before bed at 11 pm.</t>
  </si>
  <si>
    <t xml:space="preserve">15 tbs coffee creamer
(525	22.5	0	0	75	0	225)
beyond patty
(260	18	5	20	5	2	350)
everything bagel
(260	5	0.5	13	44	5	350)
1/4 mozz
(80	5	3.5	6	1	0	190)
1 tbs mustard
(0.00	0.00	0.00	0.00	0.00	0.00	55.00)
3 G&amp;G Target brand pickle slices
(0	0	0	0	0	0	156)
1/2 Red Baron Cheese pizza
(640	28	14	26	68	4	1420)
1/8 hersheys symphony xl candy bar
(300	18	10	6	34	2	100)
1/2 Red Baron Cheese pizza
(640	28	14	26	68	4	1420)
everything bagel
(260	5	0.5	13	44	5	350)
2 servings cream cheese
(100	8	5	2	4	0	170)
1/2 cup pistachiios
(160.00	13.00	1.50	6.00	8.00	3.00	135.00)
=526+260+260+80+0+0+640+300+640+260+100+160
=23+18+5+5+0+0+28+18+28+5+8+13
=0+5+1+4+0+0+14+10+14+1+5+2
=0+20+13+6+0+0+26+6+26+13+2+6
=75+5+44+1+0+0+68+34+68+44+4+8
=0+2+5+0+0+0+4+2+4+5+0+3
=225+350+350+190+55+156+1420+100+1420+350+170+135
</t>
  </si>
  <si>
    <t>Woke up at 5 am but got out of bed when alarm went off at 530 am, the roommate was getting back from work at 5 am. Had a cup of coffee made my lunch for work a long day. No creamer used in 1st 3 cups coffee. Measurements taken after 2 cups coffee and before breakfast and before a BM. I had a generic Stater Bros Everything Bagel with 2-4 tbs cream cheese. Packed a grilled cheese of 2 american slices cheese and a generic everything bagel to go. The cheese from the roommate's. Had 2 serving Lays potato chips, and 1.5 servings or cups pistachios with the lunch bagel grilled cheese. Had a 4th and 5th cup regular coffee and cup decaf all with peppermint coffee mate creamer about 8 tbs, at home had a quesadilla with 1/2 cup mozz cheese and made with Target brand tortillas. Also had 2 servings the champagne, last of it while completing the merging of the group contributions to FABS project 1 but didn't get David's 1-3 layers of back muscles. Due Monday. But have quizzes and midterm to study for. I was relaxing by 815 pm after doing dishes and feeding outdoor cats. Looking over the midterm material but need to study for the skeletal muscles and back muscles for FABS quiz Monday morning and CTAP quiz Mon afternoon, and midterm GA1 Tue then fly to Moms funeral. Stopped by Dad to let him know where to send flowers and how she died without a fighting chance and that I wouldn't go to a hospital and suggest he doesn't either as they set them up to die and that he get vaccinated. He said everything was good with his tax return too. So that's good. I texted him the address of church for Mom's funeral. He looked somewhat depressed and like I just woke him up. Cody is with him being his bloodhound door alarm sound. He's a cute dog. The 2nd bloodhound that didn't seem quite all there that Dad has had since I've known him. Maybe bloodhounds aren't that all there or appear to be lacking in intelligence. He seems like a sweetheart dog nonetheless. For dinner later after completing collaborating all the group files to one except David's, and starting the DITKI musculoskeletal histology, had a quesadilla with 1/2 cup mozz inside and outside. Went to bed around 1015 pm</t>
  </si>
  <si>
    <t xml:space="preserve">Woke up at 530 am, had a cup coffee no creamer, then a 2nd with creamer, a sm BM, then took measurments and had an everything bagel with creamcheese and my 3 multivitamin gummies. Did the normal routine of Growly's meds and feeding the babies and kitten outside. It is starting to use the cat house as roommate put it onback porch and I removed or displaced the plastic on door to the side. Completed FABS group assignment additions and emailed to group members to revise if they see something needing to be fixed. 3rd cup coffee with creamer by 730 am, at work during day and on way home after work had 2 more reg coffees and a decaf all with creamer, 1/2 serving pistachios, 2 serv lays chips, 1 double salmon poke bowl normal way withbrown rice, ponzu, cream cheese wasabi cucumbers ginger sesame seeds. then a serving patron once home from roommate's stash I replaced a month ago. An impossible burger patty on everything bagel pickles and mustard and amercan cheese. swollen ankles by late day, shaveed in am and skin itched at night by 6 pm 6th cup coffee w creamer. probably got about 7 hours sleep bc went to bed around 1030 pm the other night. </t>
  </si>
  <si>
    <t xml:space="preserve">Woke up at 5 am by alarm, last night went to bed around 10 pm. Did normal routine of pets, meds, coffee. Got about 7 hours sleep. No compression socks worn today just a waist trimmer for online classes for quizzes in FABS1 and CTAP. Lg BM after 2nd coffee. Sm BM after 4th cup coffee, 730 am was everything bagel with 4 tbs cream cheese, all coffees had creamer. indigestion today, stressed. midterm week studying for GA1 midterms in lab and LE and quizzes in FABS and CTAP and going to chicago tue and wed returning. 3rd sm BM 1 hr before FABS at 10 am for quiz to start lab. measurements taken at 9am an hour before FABS. 5 cups coffee by 1145 am. lunch at 920 am was impossible patty on evry bagel with 1/4 mozz and 2tbs mustard, total of 15 creamers in all coffees by 12 pm. 3 cups of decaf coffee and 5 cups reg coffee total and 1 bottle dry champagne by end of day. With 21 tbs creamer total in all. Had a quesadilla with 2 flour tortillas G&amp;G brand and 2 slices american cheese, 3/4 shrimp asparu penne bertolli brand and 1/4 cup mozz later in day. </t>
  </si>
  <si>
    <t>white wine bottle dry wine</t>
  </si>
  <si>
    <t xml:space="preserve">Woke up at 4 am by alarm to study for Lab in GA1 midterm at 10 am. Went to be bw 945-10pm about 6 hours sleep. Normal routine of pets, meds, coffee. 4 cups coffee by 730 am , 3 with creamer about 3 tbs each like each cup is. 2 sm pizza only 3/4 eaten burnt cheese used  5 slices border brand colby jack cheese. no waist trimmer today bc travelling by plane, by 9 am had 5th cup coffee and 1 decaf, total of 12 tbs creamer. A lg BM at 530 am after 2nd cup coffee, a 2nd one at around 7 am was tiny, and a 3rd BM by 915 am also sm. Measurements taken after all BMs and breakfast earlier. Went to chicago, didn't bring scale bc coming back tomorrow night after funeral. Didn't get much sleep, got there at 1245 am, big ordeal in Phoenix with plane a mile from gate to take off and the 30 minutes leeway was cut into by 20 minutes due to American not being able to park in gate for 20 minutes. Good thing was able to get on the plane to Chicago, it landed earlier by 40 min than expected. Becky's uncle Jim Dave's brother one of them picked me up, nice guy we went to their other brother, uncle Pete. I knew him also a good guy brother of Dave's they live nicely, well off. He used to stay with Mom and Dave back when I stayed with them a year as a sophomore in HS. Didn't get to sleep until 4 am approx, chatting with Becky. Then woke up at 730 am. Was able to have coffee, had a dunkin donuts bottled one from airport in bag the next day. This day had a same bottle from airport I forgot my instant coffee and had to spend $5 per coffee and got some cheetos 3 serv/bag, got 2 bags. Ate one rest of day as most of it at airport, but got good study time done. However, forgot about preclass quiz in GA1 and forgot another one of those. Did well on midterm at 84-87% approx that was taken earlier in morning. Before leaving for Chicago in airport finished my 6th cup of kpod coffee with creamer and parked in economy lot of $16/day instead of $21/day slightly further but still walking distance. Had the last of Lays chips in van, and at home also had an ev bagel with cream cheese there was a part hard stale scraped off bc smart and final brand on sale. quality terrible. The dunkin coffee was the 7th of day and final coffee of day. </t>
  </si>
  <si>
    <t xml:space="preserve">Woke up at 4 am by alarm and went to bed at 11 pm last night, about 5 hours sleep, felt exhausted, about as exhausted as yesterday but had coffee and was able to study for GA1 LE midterm and take exam but felt sick like indigestion and then had a quiz later in my FABS1 course. Did well on both. about 87% in midterm and 7/8 on quiz in FABS. I forgot all day to take measurements and didn't take any measurements. Realized by next day. Not going to estimate it, this will just be a missing information entry. Had a couple naps. one at 510-530 am for 20 minutes, then studied some more, feeling anxious, this one seems more difficult. Also the hard drive on security cameras isn't working and not recording and I took it apart and put in a 3v battery and it still isn't being recognized. Need a new one. Had some garlic bread in oven from smart &amp; final probably , called joseph campione french garlic bread Hearth baked garlic mini loaf. it was alright. Started my rag, lt not spotty again. Noticed it in pm around 6pm. Drank more water earlier to help with dehydration. No waist trimmer or compression socks worn today. had the entire garlic bread by afternoon, an everything bagel with cream cheese, had 4 cups coffee and 3 with creamer, then a decaf and it had creamer. Then a sm BM that was dehydrated. Had 1/2 bag shrimp scampi noodles, after another afternoon nap at 1140 am -12 pm for 20 minutes started making a CP1 procedures db and notes in it with readings but not feeling great about it and not the type to spend too much time studying if it won't help and lack of sleep is not going to make my recall from memory great either. Had to go bring the roommate his keys bc he locked his inhis car on accident then went to Aldi to get paper towels as we were out and a bottle of argentina red wine and 2 pkgs aldi colby jack cheese. Drank entire bottle by end of day but felt much better and studied and made mydb and watched season finale of only murderes in the bldg. Went to bed around 830 pm and got up at 10 pm but out of bed at 1030 am thinking it was 4 am, so got out of bed to study, until 2 am, went back to bed and got up at 4 am only to be exhausted and go back to sleep and noticed rag was more light. </t>
  </si>
  <si>
    <t>red wine</t>
  </si>
  <si>
    <t>Woke up in Bolingbrooke IL (weather temperature is this city not Corona) for Mom's funeral flew in last night and got to bed at uncle pete's house with becky and uncle jim and kelly wife of pete. Bed time last night was 4 am woke up by phone call from Brooke on their arrival and how dunkin donuts was a waste of money and gross for their brkfst. Mo got sick at the funeral church services later from it. woke up at 730 am. got out of bed washed face with makeup on and brushed teeth and put on dress for funeral I got at Macy's a few weeks ago. and my makeup and brushed hair, had the remaining cheetos from airport for breakfast and the dunkin bottled coffee before going downstairs to chat with those awake like becky. had 2 of their keurig coffees for 3 total none with creamer other than dunkin in bottle as is. funeral services, didn't eat breakfsst new wouldn't have a BM that happens when in unfamiliar territory and stressed and traveling and rooming with others unless sick. Not sick. haven't been drinking water due to not wanting to get up to pee all the time on plane or any restroom. Not good for body to be dehydrated, felt it later at airport. I still looked pregnant with waist trimmer and the aunties thought I was blessed with child. I took waist trimmer off when at airport. uncle jim dropped me off after the outdoor burial services. the casket was closed whole time. we put flowers on the casket as it went into the Earth. Dad's flowers and my clients were there and all beautiful, took some with me and some of beckys family friends flowers they got Mom. It was a small funeral and I think they wanted it that way. at the church my sister becky never met my dad but never liked him for their previous marriage and the way mom still had bad feelings for him and how he snatched us from her unexpectedly taking us as tiny kids to our grandparents and her knowing she wouldn't be seeing us from the sick gut feeling she had. He was a terrible husband to her, for doing that and he never did know how to raise kids. I love him bc he is my dad and learned over time the hurt he caused her but never tried to make up for it and mom carried that with her. He got her flowers that said beloved mother on them and a nice vase of pretty red carnations and roses. Pink roses and violet colors on the beloved mother one. Becky kept them outside the church services in the doorway and I knew why after she said that. She went into her savings to pay for the funeral, embalm mom and ship her and buy the plot. A sm fortune nobody helped her with really and she was resentful of Mo for not offering any help and didn't buy that she is the sole provider of thier  household and that she was down to get her SD birth certificate so she could marry mariano in mexico she leaves this weekend to meet him in mexico city to do that. She needed it to be apostled to make the marriage official and the politics of US keep him from working here for 6 months and he needs to work is an engineer in argentina. A lot of her old neighborhood and high school soccer friends were at the funeral. One was pregnant and she just lost her brother 1-2 years ago from suicide and is familiar with loss. Was able to do alot of needed studying my meninges were sweating and eyes and nose dripping occassionally from all the information crammed into brain. Been making thse db sets to study more fast retrieval studying to and allows me to look up answers to questions on study guides. I do well with study guides and know that the CP1 exams are not only worded odd, but questions from reading materials I don't retain much information from to be quizzed on and hundreds of kindle pages to review, not going to happen, and no scratch paper and no study guide, just everything is fair game bc she has mentioned how she was an air force pilot and went and quit that and an engineer to be a chiropractor and wanted to give up but stayed in it and must want us to feel exactly what she felt. Otherwise I would have scored better on her quizzes and exams. updating this later after taking her midterm LE on this friday a few days after this and got another D on it. Better than zero but not expecting to do well on exams and quizzes that are fair game and tricky questions. Like GA1 and FABS1 we know from redundancy what is likely on exams and quizzes in emphasizing stuff, in her courses it is mentioned and possibly brought up but might not be tested on. Also, I had 2 servings of vitamins, the 1st in am and 2nd on flight back at night as exhausted and thought it might help. Not sure if it did.;</t>
  </si>
  <si>
    <t>Dunkin Donuts bottled coffee from airport Fr vanilla and reg, 1 bottle is 1 serving</t>
  </si>
  <si>
    <t>3 serving cheetos bag from airport</t>
  </si>
  <si>
    <t>Joseph Campione Hearth Baked Garlic Bread, 4 servings per loaf, 1 loaf:</t>
  </si>
  <si>
    <t>Aldi Colby jack cheese 1 slice</t>
  </si>
  <si>
    <t>bag bertolli shrimp scampi &amp; linguini</t>
  </si>
  <si>
    <t>chex mex 3.5 servings per bag, bag</t>
  </si>
  <si>
    <t>borden brand colby jack cheese 1 slice</t>
  </si>
  <si>
    <t>mini cheese pizza 1 pizza Smart&amp;Final brand</t>
  </si>
  <si>
    <t>everything bagel staterbros brand</t>
  </si>
  <si>
    <t>everything bagel smart&amp;final brand</t>
  </si>
  <si>
    <t>Target G&amp;G brand flour tortillas, 2 tortillas:</t>
  </si>
  <si>
    <t xml:space="preserve">8 tbs coffee creamer
(280	12	0	0	40	0	120)
2 servings Lays potato chips
(450.00	30.00	3.00	6.00	45.00	3.00	405.00)
2 servings pistachios
(320	26	3	12	16	6	270)
2 everything bagels
(480	5	1	18	94	6	1200)
3 tbs cream cheese
(100	8	5	2	4	0	170)
2 flour tortillas
(220	5	2	6	38	4	680)
1/2 cup mozz cheese
(160	10	7	12	2	0	380)
2 slices American cheese
(140	10	6	8	2	0	500)
=280+450+320+480+100+220+160+140
=12+30+26+5+8+5+10+10
=0+3+3+1+5+2+7+6
=0+6+12+18+2+6+12+8
=40+45+16+94+4+38+2+2
=0+3+6+6+0+4+0+0
=120+405+270+1200+170+680+380+500
</t>
  </si>
  <si>
    <t xml:space="preserve">15 creamers tbs
(525	22.5	0	0	75	0	225)
2 everything bagels
(480	5	1	18	94	6	1200)
5 tbs cream cheese
(255	25.5	16	5.5	2	0	215)
1 slice american cheese
(70	5	3	4	1	0	250)
double salmon poke bowl
(725	15.325	3.425	27.975	115.65	8.675	2277.5)
tbs mustard
(0.00	0.00	0.00	0.00	0.00	0.00	55.00)
4 pickles
(0	0	0	0	0	0	260)
=525+480+255+70+725+0+0
=22.5+5+25.5+5+15+0+0
=0+1+16+3+3+0+0
=0+18+6+4+28+0+0
=75+94+2+1+116+0+0
=0+6+0+0+9+0+0
=225+1200+215+250+2278+55+260
</t>
  </si>
  <si>
    <t xml:space="preserve">bag shrimpaspg penne bertolli
(850	35	11	29	104	7	1560)
21 tbs creamer
(735	31.5	0	0	105	0	315)
2 flour tortillas
(220	5	2	6	38	4	680)
2 slices american cheese
(140	10	6	8	2	0	500)
1/2 cup mozz
(160	10	7	12	2	0	380)
2 ev bagel
(480	5	1	18	94	6	1200)
3 tbs cream cheese
(153	15.3	9.6	3.3	1.2	0	129)
1 imposs patty
(240.00	14.00	8.00	19.00	9.00	3.00	370.00)
2 tbs mustard
(0	0	0	0	0	0	110)
=850+735+220+140+160+480+153+240+0
=35+32+5+10+10+5+15+14+0
=11+0+2+6+7+1+10+8+0
=29+0+6+8+12+18+3+19+0
=104+105+38+2+2+94+1.2+9+0
=7+0+4+0+0+6+0+3+0
=1560+315+680+500+380+1200+129+370+110
</t>
  </si>
  <si>
    <t xml:space="preserve">2 pizzas smart and final
(800	44	18	38	76	6	1840)
5 slices border brand colby jack cheese
(350	25	15	20	0	0	525)
15 tbs creamer in all coffees before trip
(525	22.5	0	0	75	0	225)
2 serving lays chips
(300	16	1	4	34	2	340)
dunkin donuts coffee
(260	7	4.5	7	41	0	100)
3 servings cheetos
(450	28	4.5	5	42	2	680)
everything bagel
(240	240	240	240	240	240	240)
4 tbs cream cheese
(100	8	5	2	4	0	170)
=800+350+525+300+260+450+240+100
=44+25+23+16+7+28+240+8
=18+15+0+1+5+5+240+5
=38+20+0+4+7+5+240+2
=76+0+75+34+41+42+240+4
=6+0+0+2+0+2+240+0
=1840+525+225+340+100+680+240+170
</t>
  </si>
  <si>
    <t>plain peanuts, 1 cup</t>
  </si>
  <si>
    <t xml:space="preserve">3 dunkin donuts bottled coffee
(780	21	13.5	21	123	0	300)
3 servings cheetos
(450	28	4.5	5	42	2	680)
chex mex bag at airport
(455	12.25	1.75	7	80.5	7	805)
1/4 cup plain peanuts
(206.75	18	2.5	9.5	6	3.25	6.5)
4 slices colby jack cheese border brand
(280	24	14	20	0	0	460)
=780+450+455+207+280
=21+28+13+18+24
=14+5+2+3+14
=21+5+7+10+20
=123+42+81+6+0
=0+2+7+3+0
=300+680+805+7+460
</t>
  </si>
  <si>
    <t xml:space="preserve">1 Joseph Campione heart baked garlic mini loaf
(800	32	12	20	104	4	1040)
1/2 bag shrimpscampinoodles bertolli
(445	21	9.5	16.5	47.5	2.5	1070)
5 slices colby jack cheese Aldi brand
(350	30	17.5	25	0	0	575)
everythig bagel
(240	2	0.5	8	46	2	630)
3 tbs creamcheese
(153	15.3	9.6	3.3	1.2	0	129)
1/4 hershey's symphony xl candy bar
(150	9	5	3	17	1	50)
15 tbs creamer
(525	22.5	0	0	75	0	225)
12 zucchini fries
(375	15	2.5	5	50	2.5	900)
=800+445+350+240+153+150+525+375
=32+21+30+2+15+9+23+15
=12+10+18+1+10+5+0+3
=20+17+25+8+3+3+0+5
=104+48+0+46+1+17+75+50
=4+3+0+2+0+1+0+3
=1040+1070+575+630+129+50+225+900
</t>
  </si>
  <si>
    <t>patrone tequila</t>
  </si>
  <si>
    <t>15 tbs creamer
(525	22.5	0	0	75	0	225)
1/2 bag shrimp scampi noodles
(445	21	9.5	16.5	47.5	2.5	1070)
6 tbs creamer
(210	9	0	0	30	0	90)
ev bagel
(240	2	0.5	8	46	2	630)
4 tbs cream cheese
(100	8	5	2	4	0	170)
12 zucchini fingers
(375	15	2.5	5	50	2.5	900)
1/8 hersheys candy bar
(75	4.5	2.5	1.5	8.5	0.5	25)
2 slices colby jack cheese
(140	12	7	10	0	0	230)
1/2 serving baked Rits crackers (crumbs in bag at break time)
(65	2.5	0.25	1	10.5	1	110)
2 slices colby jack cheese
(140	12	7	10	0	0	230)
=525+445+210+240+100+375+75+140+65+140
=23+21+9+2+8+15+5+12+3+12
=0+10+0+1+5+3+3+7+0+7
=0+17+0+8+2+5+2+10+1+10
=75+48+30+46+4+50+9+0+11+0
=0+3+0+2+0+3+1+0+1+0
=225+1070+90+630+170+900+25+230+110+230</t>
  </si>
  <si>
    <t>Woke up a 5 am again to get out of bed. Probably got about 5 hours sleep altogether from 830 pm-10 pm, 2am-4am, 415 am-5am. Studied from that time until 7am and showered after relaxing and looking at news. The brian laundrie dude's dead. thats good, he killed the gabby petito national news girl. Also LA kicking out homeless but only from public facilities and sidewalks. The population of homeless in LA was more than the city of Corona not too long ago. Took exam, got 66.67%, not surprised to do poorly even with the stress and studying like I said earlier on her exams and fair game material and testing on readings. Not designed to do well in. She said we'd survive the exams. Let me add for now to that. BC stress is the root of all sickness. Had 4 cups of coffee by 1030 am. all with creamer, then breakfast was the rest of the shrimp scampi pasta from last night I saved for roommate but he didn't eat. That was at 10 am. I also had a lg BM after 2nd cup coffee earlier in the morning around 5 30 am, then a sm BM after 3rd cup coffee around 6 am and a 3rd tiny BM before my shower around 7 am. Stress and not sleeping and not being hydrated. Stomach feels better than it did yesterday. Feeling more refreshed or awake by 1030 am without a nap. Watched the 2 1:05 to 1:10 hour long videos in CTAP on blood and special senses. WAs tired but didn't nap. Had 1/2 shrimp scampi left over from yesterday I already noted, the everything bagel w crm chs, 1/8 herseys symphony candy bar, 12 zucchini fingers, 2 slices colby jack Aldi brand cheese, 4 cups reg and 2 cups decaf all w creamer, then cleaned the pet messes from this morning, did the dishes, and fed the outdoor kitty again. Put away my laundry and it was 3:15 pm. Planning on leaving for work by 5 pm with my 5th cup coffee. and creamer. Home after full schedule all new to me clients at work. Had a Patron after doing dishes, feeding outdoor cat and cleaning a pet mess. Have to wake up and be in the shower by 630 am tomorrow for an 8 hour day 8am-5 pm. Went to bed by 1115pm. After eating 2 slices Colby Jack cheese. My rag at work was about medium to med-heavy flow. Nothing unmanageable, but the 90 minutes made me have to change my thin heavy pad after every massgae.</t>
  </si>
  <si>
    <t>Woke up at 530 am by alarm to blood clotting dropping and heavy rag flow. Lots of pet messes to clean, fed babies, Growly got his meds, fed kitty outside and already need more wet cat food. I had 2 boxes of canned wet food at the beginning of the week before my trip. Also need more dry cat food. Had 2 cups of coffee with creamer and made an everything bagel to eat with my multivitamins. Going to throw in a few more than the normal 3 bc of my heavy blood flow and feeling sort of dizzy, had 5. Might be low or super low on iron. Have a full day today too. Bringing two flour tortillas, 2 slices colby jack cheese, and 1/5 of the hershey's chocolate candy bar in pieces approximately more than 1/8th and less than 1/4. Measurements taken after the bagel with less cream cheese than normal bc last of whipped cream cheese. I have the regular bar one that I have to cut into to spread. I need new calipers. Mine broke yesterday and I didn't think it would affect the measurements or how I take them until trying it out this morning. I will have to wait until I get the same exact ones in or similar. The mm measurements could be off. Finished the exception to absense for GA1 by 945 pm, bed by 10 pm. Had LB pain today by kidney on RHS, massaged 10 seconds and went away. It started after break, dehydrated, and 5th coffee. Maybe the chocolate candy bar too and no BM, that happens when no BM for day sometimes and was on rag heavy flow.</t>
  </si>
  <si>
    <t xml:space="preserve">Woke up at 530am by alarm. Went to bed last night at 10 pm. Got about 7.5 hours sleep. Heavy clotting when I woke up, one dropped on floor about 1/4 cup fluid oz blood clot. Roommate said I left pussy blood on floor and he doesn't want to clean it up. I actually cleaned up that clot but left some other drip on the floor I didnt' think about. Did normal routine, Growlys meds, fed babies and cat outside. My coffee, had a lg BM after 2nd cup, was trying to do the exception to absense for FABS1 but it was the group assignment we did 2 weeks ago that requires a lot of filling in. We have a midterm in the lab section at 10 am tomorrow and I have work until 5 pm. Found out CTAP has another draw it to know it 1-2 hour assignment to complete by tonight. It sucks taking 5 classes mandatory for med school they do shit like this with the exam study time getting dampered by group projects, assignments, or quizzes to do in the other courses. A lot of stress.  I hate stress. I seriously think the people who want to create that much stress to move up in life are pieces of shit. Why the fuck is that necessary? Its not, but whatever. Go ahead you elitists, we all end up dust and nameless in the end. lets just murder some people with stress who won't respect you much less remember you with reverence other than disgust when your name comes up to amuse ourselves. I am bitter about the CTAP and CP1 classes I am in. The other ones are fine. They run them like they want you to succeed. The others kind of but at the same time, have this need to prove the road to becomeing a Dr. of chiropractic is stressful and not easy. Not much room for respect in that bottle or design, but whatever and ok. We see the point. From the beginning we should alll just go fuck ourselves, right? Anyhow.. updating this to unwind before I do the stupid Drw it to know it for class participation points and squeese in whatever is left of my brain to stuy for the FABS midterm. I also have about 5 hours to study in the morning once I get on track assuming I wake up around 4 am and take 1/2 hour to do my normal routine before the exam. I had 5 multivitamins again today, and had the heavy clots but med-heavy blood flow rest of day closer to med flow. Had 4 cups coffee on the way to work the 4th with creamer, and a 5th of instant no creamer on break. Lunch was 2 flour tortills and 2 slices colby jack cheese. Brkfst was another 1/3 french bread in airfryer warmed with 2 slices colby jack cheese. Trying not to spend money as tight on money due to not having time due to studying my butt off for these classes and assignments. AFter work a Jameson over ice, then another is planned as of yet, not done. It is after work updating db. I got my waist fat trimmer caliper measures a different kind from Amazon after work but didn't open the pkg or use. I ordered a new 4 camera swann DVD hard drive from Amazon thats supposed to arrive tomorrow and itsa an 8 channel one that only comes with 4, but I have 4 already. So seems to work out. Credit card almost maxed out. But made some cash tips this weekend about $140. Going straight to the bills and groceries. </t>
  </si>
  <si>
    <t xml:space="preserve">Woke up 4am, got out of bed at 415 am and studied for FABS1 midterm and some of the CTAP quiz, did normal routine, the roommate was up and making food, so I couldn't get started earlier if I had gotten out of bed at 4 am. Got about 6 hours sleep. Bed time was around 10 pm last night. Did some FABS studying before that time. I ended up getting a 77% on midterm of 100 questions. I could have gotten a better score on this lab section, but didn't try to memorize the ossifications of primary and secondary for regions of spine only and not specifics and not 100% on which was which, if primary was before birth and secondary after, but I feel like it was. Also the occipital triangle, confuses me bc the only thing I do know is that the minor one isn't included in the triangle and some attach to skull and one doesn't but all labeled with capitus, two are obliques and 2 are rectus. but the muscle patterns aren't straight up or sideways. So I forget and no mnemonic to remember. Also the exact anterior portion of the cervical costaltransverse or costotransverse area of the vertebrae. Everything else I feel like I had down and was all good with only one of the three types of spondylosis reg version and not two other derivative or similar types. I have a LE midterm in FABS1 on Thursday so it would be good to brush up better on that, and find a way to remember that shit about the occipitals and ossifications per Region and vertebrae and exactly what the difference is between the cervical costo or costal transverse process and the transverse vertebrae ones. When too similar I gamble on a question being Mult choice or T/F on generally speaking and also the nerves and insertions I feel like I got down. and muscles. But the ones that insert onto the humerus like in the intertubercular groove, the lateral or medial edge of that groove or the inferior, superior, or middle greater trochanter, seem common sense when looking at images provided and assumed given but should be studied further. I have extra credit in that class and also have been doing well on my quizzes. Not worried about that grade at all. It was passing. I should be worried about the CP1 course for all of it LE and lab bc the lab midterm coming up and the short little Robin, Beavis and Butthead, Spongebob Dr. Caper dude who never sanitizes his hands but demos procedures on all of his in each group in every class will be our judge for my group Wednesday. He is a nice, friendly dude, but I do not like him touching me to demo when a group member asks, bc he never sanitizes his hands. He also always adds to every demo he does that, 'not like this, (weird sound effects back and forth) like some people do' and shows us it like someone in our group WAS doing that. So I don't know if he is seeing it as someone doing that, or if he is just saying that he doesn't like seeing that as an aside that is added everytime he demos a procedure that none of us were doing. So I feel like maybe he thinks we are doing it and will mark or dock points. I had him specifically look at one of our group members' Kevin doing a wiggle of SIJ or lumar from endrange to endfeel knowing it wasn't that bambam thing Dr. Caper doesn't like seeing and had him come over to make sure Keven was doing it correctly and not doing that thing he always adds to the demos after every demo. That was a week ago before midterms started and before my trip to Chicago for my mom's funeral services. Its 3 days of midterm lab practicals in CP1 bc of the large class size and limited instructors to grade and evaluate everyone with 12 minutes each. Anyhow. For CTAP on the quiz later, using the time I logged off early from FABS after finishing midterm to study the material more than time used before that of about an hour, the break offered 2 hours. I got an 8/10 on that quiz. Our midterm in his class is next Monday. I have the CP1 practical midterm on campus Wed and the FABS1 LE on this Thurs. I have a client who has cancelled 2 weeks in a row this Wed so not sure if she is still on, but I think I could squeeze her in if she doesn't. I just spent all my cash other than fuel money to get to campus at Winco on groceries. I am super broke. ATT gonna get paid late again this month and $200 on my credit card. Bc Next insurance went ahead and charged me the increased rate they said would start November. But its October and they charged me the increase of $50 bc they suck, I am a great driver and they are greedy and raised my rate.. I had to cancel my subscriptions and pause some for prime, hulu, and hbo/max bc I got my auto registration due this Nov too for $300-$400 and my increased auto insurance and Growly's meds and no time to work due to these midterms to study for and quizzes and assisgnments. Time is going by fast though. It should be a little easier next few weeks. I don't want too many clients right now unless they make it worth it. Tia and Beulah are keepers and the Garcias's but the timing cannot be a week that I have to do a lot of studying bc I cannot stay up past 10 pm some nights. Going to bed early saves my ankles from being swollen. And CTAP said that can lead to congestive heart failure and eventual death due to blockage of the veinous and lymphatics and having water in the heart. No good fix. I don't have congestive heart failure, but I do get swollen ankles and it backs up fluid and is not good for my health. Its from my large fibroid(s) that are blocking veinous return up from legs on the thoracic artery and inferior vena cava and thoracic duct.  Today ate an eV bagel with cream cheese, had 3 cups coffee with creamer, a reg BM after 2nd cup and a tiny 2nd and 3rd BM bw my 3rd to 4th cups coffee before 8 am. Had 5th cup coffee after CTAP, after a decaf coffee, then a decaf coffee after 5th cup coffee. Ate a 1/5 hersheys symphony candy bar while studying before CTAP quiz, and had a mini pizza with colby jack cheese after scraping off the other cheese bc it got black and burnt in the air fryer for 10 minutes at 375. After CTAP at 3 went to Winco and it was raining lightly while in the store, got TP and PT and cat food wet/dry bc it runs out fast, laundry detergent cheese, pistachios, bagels, and oat milk creamer. The prices are high there and no savings really felt, but probably saved about $30. I normally spend about $140 but spent $112 of tips. Had a Jameson when I got home and then checked emails and saw the announcement to CP1 posting some videos to complete to get credit for no class due to separate midterms being held on class/lab days. She is only giving credit for watching it but will need to as we will be tested on everything or anything from those videos. Ankles swollen and body itched with compression socks on from shower time around 920 am till about 2 pm, no waist trimmer worn. Skin dry too. Need to stay hydrated or drink more water. Menstruation is med lt today and only took the normal 3 multivitamins today after the bagel about 20 minutes afterwards bc I forgot. I got the new mm calipers and they cut into my skin. I don't recommend them and they aren't fast or quick, takes time to take the measurement, the measurements are not the same due to the sharp edges cutting into the fat. If you pinch more than the fat amount they cut you like a sharp edge of a plastic or metal bottle cap. I got it from Amazon called 'Carbon Fiber Composites Digital Caliper' and not happy with it. Might keep it around but now it takes more time to take the measurements and they still aren't accurate due to the large and painful amount of room and not getting the right angle to see the results when doing your self. </t>
  </si>
  <si>
    <t>Planet Oat Oat milk coffee creamer carmel flavored, serving 1 tbs</t>
  </si>
  <si>
    <t>First Street Mozzarella sliced, serving 1 slice</t>
  </si>
  <si>
    <t>Thomas's Plain Bagels</t>
  </si>
  <si>
    <t>First Street cream cheese, 2 tbs serving</t>
  </si>
  <si>
    <t>Winco string cheese mozzarella 1 piece</t>
  </si>
  <si>
    <t>Winco colby and Monterey jack cheese sticks</t>
  </si>
  <si>
    <t>1 patron,2 jameson</t>
  </si>
  <si>
    <t xml:space="preserve">Mon </t>
  </si>
  <si>
    <t>Woke up at 5 am bed time last night was 850 pm. No rag</t>
  </si>
  <si>
    <t>woke up at 4 am bed by  10 pm. No rag.</t>
  </si>
  <si>
    <t>woke up at 430 am by alarm, bed by 10 pm. Had spotty rag in day.</t>
  </si>
  <si>
    <t>Woke up 4:30 am by alarm, no cramps when waking, no BM, no waist trimmer or compression socks worn all day, had a nap at 140 pm for 20 minutes. Was on a light rag. Bed was at 10 pm. No drinks of alcohol today. Texted Becky happy birthday earlier in day. Had 6 cups of coffee all day with creamer. light rag all day almost spotty.</t>
  </si>
  <si>
    <t>woke up at 530 am, bed time was 1130 pm got about 6 hours sleep. 5 multivitamins. Measurements taken after breakfast and 2 cups coffee. Went to bed at 830 pm. No BM all day.</t>
  </si>
  <si>
    <t xml:space="preserve">woke up at 510 am got about 8 hours sleep. No BM all day. Stress from CTAP midterm and FABS1 quiz having to study for after work on weekends for Monday morning and afternoon. </t>
  </si>
  <si>
    <t>Woke up at 4 am, lg BM after 3 cups coffee, had 5 multivitamins, ankles noticebly swollen but not much even with the multivitamins and not sitting so much while studying. I have been standing for studying most of the time. Got about 5 hours sleep and went to bed later in day at 10 pm</t>
  </si>
  <si>
    <t>aldi swiss slices, serving is 1 slice</t>
  </si>
  <si>
    <t>aldi instant hazelnut coffee creamer, serving is 4 tbs</t>
  </si>
  <si>
    <t>aldi Lovin Fresh white pita bread, serving is 1 pita</t>
  </si>
  <si>
    <t>sandwhich skinnys aldi brand whole wheat thin bagels serving is 1 roll</t>
  </si>
  <si>
    <t>aldi mixed nuts, serving is 1/4 cup</t>
  </si>
  <si>
    <t>Signature French Bread serving is 2 oz and 8 per pkg</t>
  </si>
  <si>
    <t>2 flour tortillas
(440.00	10.00	4.00	12.00	76.00	8.00	1360.00)
4 slices colby jack cheese
(280.00	24.00	14.00	20.00	0.00	0.00	460.00)
ev bagel
(240.00	2.50	0.50	9.00	47.00	3.00	600.00)
2 tbs creamchees
(100.00	10.00	6.00	2.00	2.00	0.00	105.00)
1/5 XL hersheys symphony candy bar
(480.00	28.80	16.00	9.60	54.40	3.20	160.00)
1/3 French bread bakery from Vons
(400.00	2.67	0.00	13.33	82.67	2.67	933.33)
15 coffee creamers
(525.00	22.50	0.00	0.00	75.00	0.00	225.00)
=440+280+240+100+480+400+525
=10+24+3+10+29+3+23
=4+14+1+6+16+0+0
=12+20+9+2+10+13+0
=76+0+47+2+54+83+75
=8+0+3+0+3+3+0
=1360+460+600+105+160+933+225</t>
  </si>
  <si>
    <t>2/3 french bread
(800.00	5.33	0.00	26.67	165.33	5.33	1866.67)
6 slices colby jack cheese
(350	30	17.5	25	0	0	575)
2 flour tortillas
(440	10	4	12	76	8	1360)
12 coffee creamers
(420	18	0	0	60	0	180)
mini pizza
(400	22	9	19	38	3	920)
=800+350+440+420+400
=5+30+10+18+22
=0+18+4+0+9
=27+25+12+0+19
=165+0+76+60+38
=5+0+8+0+3
=1867+575+1360+180+920</t>
  </si>
  <si>
    <t>12 creamers
(420	18	0	0	60	0	180)
3 tbs cream cheese
(150	15	9	3	3	0	157.5)
ev bagel
(240	2	0.5	8	46	2	630)
mini cheese pizza
(400	22	9	19	38	3	920)
2 slices colby jack cheese
(140	12	7	10	0	0	230)
1/5 hersheys symphony XL candy bar
(480	28.8	16	9.6	54.4	3.2	160)
=420+150+240+400+140+480
=18+15+2+22+12+29
=0+9+1+9+7+16
=0+3+8+19+10+10
=60+3+46+38+0+54
=0+0+2+3+0+3
=180+158+630+920+230+160</t>
  </si>
  <si>
    <t>2 cups pistachios
(640	52	6	24	32	12	540)
15 zucchini fingers/fries
(450	18	3	6	60	3	1080)
1 ev bagels
(240	2	0.5	8	46	2	630)
3 tbs cream cheese
(150	15	9	3	3	0	157.5)
1 plain Thomas's bagel
(270	1.5	0.5	9	53	2	450)
2 slices mozz cheese
(120	8	5	10	2	0	280)
=640+450+240+150+270+120
=52+18+2+15+2+8
=6+3+1+9+1+5
=24+6+8+3+9+10
=32+60+46+3+53+2
=12+3+2+0+2+0
=540+1080+630+158+450+280</t>
  </si>
  <si>
    <t>15 tbs oatmilk coffee creamer
(375	15	0	0	60	0	300)
3 plain bagels
(810	4.5	1.5	27	159	6	1350)
5 slices mozz cheese
(300	20	12.5	25	5	0	700)
=375+810+300
=15+5+20
=0+2+13
=0+27+25
=60+159+5
=0+6+0
=300+1350+700</t>
  </si>
  <si>
    <t>15 tbs oatmilk coffee creamer
(375	15	0	0	60	0	300)
4 tbs ampm int delt coffee creamer
(140	6	0	0	20	0	60)
2 string cheese mozz
(160	12	7	12	2	0	300)
2 string cheese colbyJack
(180	16	9	12	0	0	320)
3/4 bag 3 serving cheetos
(1350	84	13.5	15	126	6	2040)
2 plain bagels
(540	3	1	18	106	4	900)
1 ev bagel
(240	2	0.5	8	46	2	630)
3 slices mozz cheese
(180	12	7.5	15	3	0	420)
=375+140+160+180+1350+540+240+180
=15+6+12+16+84+3+2+12
=0+0+7+9+14+1+1+8
=0+0+12+12+15+18+8+15
=60+20+2+0+126+106+46+3
=0+0+0+0+6+4+2+0
=300+60+300+320+2040+900+630+420</t>
  </si>
  <si>
    <t>2 EV bagels
(480	4	1	16	92	4	1260)
3 tbs cream cheese
(150	15	9	3	3	0	157.5)
2 string cheese mozz
(160	12	7	12	2	0	300)
2 colby jack string cheese
(180	16	9	12	0	0	320)
1/4 bag of the 3 serving bag cheetos
(337.5	21	3.375	3.75	31.5	1.5	510)
baked cheddar potato chips a 3 serving bag
(360	10.5	1.5	6	66	3	750)
21 tbs oatmilk coffee creamer
(525	21	0	0	84	0	420)
=480+150+160+180+338+360+525
=4+15+12+16+21+11+21
=1+9+7+9+3+2+0
=16+3+12+12+4+6+0
=92+3+2+0+32+66+84
=4+0+0+0+2+3+0
=1260+158+300+320+510+750+420</t>
  </si>
  <si>
    <t>5 fruit snax aldi
(400	0	0	5	95	0	100)
2 pita
(360	0	0	12	78	2	420)
2 mozz string cheese
(160	12	7	12	2	0	300)
2 CJ string cheese
(180	16	9	12	0	0	320)
2 slices mozz
(120	8	5	10	2	0	280)
2 slices swiss
(140	12	7	10	0	0	70)
4 tbs instanst hazelnut coffee creamer
(60	2	1	0	9	0	0)
=400+360+160+180+120+140+60
=0+0+12+16+8+12+2
=0+0+7+9+5+7+1
=5+12+12+12+10+10+0
=95+78+2+0+2+0+9
=0+2+0+0+0+0+0
=100+420+300+320+280+70+0</t>
  </si>
  <si>
    <t>EV bagel
(240	2.5	0.5	9	47	3	600)
2 mozz string cheese
(160	12	7	12	2	0	300)
1/4 cup mixed nuts Aldi
(170	15	2	6	5	2	85)
5 fruit snax aldi
(400	0	0	5	95	0	100)
9 tbs oatmilk carmel coffee creamer
(225	9	0	0	36	0	180)
8 tbs instant hazelnut coffee creamer
(135	4.5	2.25	0	20.25	0	0)
2 wheat flat bagels from Aldi
(200.00	2.00	0.00	8.00	40.00	10.00	360.00)
1 slice mozz
(60	4	2.5	5	1	0	140)
1 slice swiss
(70	6	3.5	5	0	0	35)
=240+160+170+400+225+135+200+60+70
=3+12+15+0+9+5+2+4+6
=1+7+2+0+0+2+0+3+4
=9+12+6+5+0+0+8+5+5
=47+2+5+95+36+20+40+1+0
=3+0+2+0+0+0+10+0+0
=600+300+85+100+180+0+360+140+35</t>
  </si>
  <si>
    <t>4 tbs instant hazelnut coffee creamer
(60	2	1	0	9	0	0)
3 pitas
(540	0	0	18	117	3	630)
3 slices swiss
(210	18	10.5	15	0	0	105)
1 slice mozz
(60	4	2.5	5	1	0	140)
2 impossible burger patties
(480	28	16	38	18	6	740)
2 mozz string cheese
(160	12	7	12	2	0	300)
1 CJ string cheese
(90	8	4.5	6	0	0	160)
1 cup instant mashed potatos
(120	3	2	2	20	1	410)
=60+540+210+60+480+160+90+120
=2+0+18+4+28+12+8+3
=1+0+11+3+16+7+5+2
=0+18+15+5+38+12+6+2
=9+117+0+1+18+2+0+20
=0+3+0+0+6+0+0+1
=0+630+105+140+740+300+160+410</t>
  </si>
  <si>
    <t>4 flour tortillas
(440	10	4	12	76	8	1360)
3/2 cup mashed potatoes instant same as yesterday
(360	9	6	6	60	3	1230)
6 slices swiss cheese
(420	36	21	30	0	0	210)
1 stick CJ cheese
(90	8	4.5	6	0	0	160)
2 flat wheat bagels or bagel thins
(360	0	0	12	78	2	420)
8 tbs instant hazelnut coffee creamer
(120	4	2	0	18	0	0)
5 fruit snax aldi
(400	0	0	5	95	0	100)
=440+360+420+90+360+120+400
=10+9+36+8+0+4+0
=4+6+21+5+0+2+0
=12+6+30+6+12+0+5
=76+60+0+0+78+18+95
=8+3+0+0+2+0+0
=1360+1230+210+160+420+0+100</t>
  </si>
  <si>
    <t xml:space="preserve">woke up at 4 am by alarm and went to bed at 10 pm last night, but didn't get out of bed until 5 am. Was able to go back to sleep. Had a reg BM after 2nd cup coffee. Got Growly's meds, was studying. The last few notes were mixed up dates for last week so that is why they are minimal. I did a lot of stuying though and was stressed with midterms and work. This database is done. I don't have time. I will only keep track of it minimally but not rely on it to see the daily changes much less measurements, bc they are skewed and the new mm fat tool cuts and hurts to use so I eliminated it from use, it is inconsistent in results due to  the fact I can't get it to be precise bc it cuts into my skin. Measurements taken after 4 cups coffee and 1 decaf with instant hazelnut creamer. Bed time by 10 pm. </t>
  </si>
  <si>
    <t>L'oven Fresh Tandoori Naan pita bread, serving 1/2 slice, 2 servings:</t>
  </si>
  <si>
    <t>Jameson Whiskey and Patron tequila</t>
  </si>
  <si>
    <t>Woke up at 5 am and had about 7 hours sleep as bed time last night was around 10 pm. I slept in to the 5 am alarm after 4 am alarm. Had a tiny BM after 2 cups instant coffee. Pre-prepped my study dbs for the 2 quizzes tomorrow I plan on studying before returning from client's tonight after campus. My regular, she didn't cancel. Had a vision migraine after class and drank 7th cup instant coffee on way home w/o warming it up. Also had a cup of salted mixed nuts from aldi on way home. Bkfst was 2 flour tortillas with last of instant mashed potatoes and 2 slices swiss cheese, lunch was 5 fruit snx aldi brand. Had 3/4 coca cola of roommates at night when I had a pita bread and slice of CJ cheese and slice of mozz in airfryer. drank about 15 tbs instant creamer. No waist trimmer today bc of the campus class, did wear compression socks. Got back at 930 after Aldi trip after client's appointment. Waze had me take the 91fwy after school home btw from yorba linda blvd and arrived normal time about 20 minutes before time to leave to go to my client's house. Studied by answering 1st half of study guide questions in db I made for it with notes and already had the FABS db and study guide questions answered. bed time at 12 am. no problems sleeping</t>
  </si>
  <si>
    <t xml:space="preserve">Woke at 4 am by alarm, and finished last 1/2 study guide, had a lg BM after 2 cups instant coffee no creamer, and studied into memory from images in pdfs, labs, notes, and dbs I made for both courses, showered early and did more studying, got 80% in GA1 and 87% in FABS1. Went to campus tired on my 5th cup instant coffee. Wore waist trimmer and compression socks, but only the waist trimmer about 5 hours as CP1 class at 1 pm. Did cervicals and Atlas assessments. Been taking 5 mutis regularly. Had 6th cup coffee on way home. Brkfst much earlier was pita with 2 CJ/1mozz and lunch pita w/ 2 mozz/1CJ slices. Had 2 cups decaf too both with instant creamer and the one on way to school with instant creamer. About 9 tbs instant creamer. Mario in lab checked he had a cough system and was red screened btw and has to take a covid test today and tomorrow and be neg both times to go to class next week. No more quizzes this week but stuying for the CP1 and IPA1 quizzes next week. Updated the SOAP notes and receipt for client last night and input this data into db for today and yesterday and had a Jameson before starting then a pita with only 2 CJ slices before starting the patron. No ice ready for it and roommate was gone when I got home. I stole more of his stash that I replaced earlier. </t>
  </si>
  <si>
    <t>Jameson whiskey</t>
  </si>
  <si>
    <t xml:space="preserve">Woke up at 5 am after sleeping through 4 am alarm, laid in bed bc today long day with work until 10 pm after online courses. At work some female bum did a 90 minute and didn't leave gratuity. That always makes me not want to work when thankless people come in. I never had her before but her last name was Cota like the town a rapist that drugs pretty girls and rapes them named Jesse from 2003 lives in a place by that name, Cota de Casa. And she saw a dude named Chad in Ontario 3 times and Alex here and was wearing red lace thongs. Chad was a homeless dude that stayed with my ex's mom before she lost her house bc they knew him and his family but he was a gambling addict and a loser who quit bc he fell into drugs. </t>
  </si>
  <si>
    <t>2 flour tortillas
()
2 slices swiss
()
12 tbs instant coffee creamer hzlnt
()
pita bread
()2 flour tortillas
(220	5	2	6	38	4	680)
2 slices swiss
(140	12	7	10	0	0	70)
12 tbs instant coffee creamer hzlnt
(180	6	3	0	27	0	0)
pita bread
(200.00	2.00	0.00	8.00	38.00	4.00	400.00)
slice mozz
(60	4	2.5	5	1	0	140)
slice CJ
(70	5	3	4	0	0	105)
1 cup mixed and salted nuts
(340	30	4	12	10	4	170)
1 cup pistachios
(320	26	3	12	16	6	270)
=220+140+180+200+60+70+340+320
=5+12+6+2+4+5+30+26
=2+7+3+0+3+3+4+3
=6+10+0+8+5+4+12+12
=38+0+27+38+1+0+10+16
=4+0+0+4+0+0+4+6
=680+70+0+400+140+105+170+270
slice mozz
()
slice CJ
()
1 cup mixed and salted nuts
()
1 cup pistachios
()</t>
  </si>
  <si>
    <t xml:space="preserve">3 pita bread 
(930	18	3	27	159	6	2580)
5 CJ slices
(350	25	15	20	0	0	525)
4 mozz slices
(240	16	10	20	4	0	560)
1 cup pistachios
(320	26	3	12	16	6	270)
6 fruit snax
(480	0	0	6	114	0	120)
3 tbs creamer instant hazelnut
(60	2	1	0	9	0	0)
1/2 cup pistachios
(160.00	13.00	1.50	6.00	8.00	3.00	135.00)
=930+350+240+320+480+60+160
=18+25+16+26+0+2+13
=3+15+10+3+0+1+2
=27+20+20+12+6+0+6
=159+0+4+16+114+9+8
=6+0+0+6+0+0+3
=2580+525+560+270+120+0+135
</t>
  </si>
  <si>
    <t>potatoes au gratin, pkg, servings are 5/pkg add milk and butter but used creamcheese instead, pkg</t>
  </si>
  <si>
    <t xml:space="preserve">2 pita
(400	4	0	16	76	8	800)
5 slices CJ
(350	25	15	20	0	0	525)
1 flour tortilla
(110	2.5	1	3	19	2	340)
3 slices mozz
(180	12	7.5	15	3	0	420)
3 tbs cream cheese
(150	15	9	3	3	0	157.5)
3/4 potatoes au grautan
(562.5	22.5	13.125	7.5	86.25	3.75	1800)
9 tbs instant coffee creamer hazelnut
(120	4	2	0	18	0	0)
=400+350+110+180+150+563+120
=4+25+3+12+15+23+4
=0+15+1+8+9+13+2
=16+20+3+15+3+8+0
=76+0+19+3+3+86+18
=8+0+2+0+0+4+0
=800+525+340+420+158+1800+0
</t>
  </si>
  <si>
    <t>Jameson Whiskey</t>
  </si>
  <si>
    <t xml:space="preserve">Woke up at 530 am and got to bed last night at 12 am. Had a lg BM after 2 cups coffee, the first 3 no creamer, the 4th with creamer and the 5th one at lunch time also had instant creamer, and the 6th cup on the way home no creamer. No waisttrimmer all day, and had gas even with the lg BM earlier in am. It was probably those au gratin potatos from yesterday bc nothing was different. Had a kink in neck, but I usually get that on day 2 or 3 of straight massages in a row on the weekend that goes away with self massage and stretching and rest. Put away the laundry I had in the basket from this morning when I got home, had a Jameson then another by 7 pm and a tiny BM after that and went to bed around 830 pm. Brkfst was pia w/ swiss, lunch the same plus 1 flour tortilla and 1 slice CJ cheese rollup, 1/2 cup pistachios and 4 fruit snax for lunch at work. At home had 3 more fruit snax another 1/2 cup pistachios, 2 mini naan pitas with CJ each 1 slice, also a 1/2 cup mixed nuts on lunch break when taking my van through a much needed car wash. I stopped at Aldis afterwards to get water, pistachios, fruit snacks and pita bread. I had an extended lunch due to the noshow the hour slot before that time. </t>
  </si>
  <si>
    <t>mini naan flatbread from Aldi a pita, serving 1 naan, for 2:</t>
  </si>
  <si>
    <t>white pita bread, serving 1, aldis</t>
  </si>
  <si>
    <t xml:space="preserve">2 pita
(360	0	0	12	78	2	420)
2 mozz
(120	8	5	10	2	0	280)
3 CJ
(210	15	9	12	0	0	315)
1 cup pistachios
(320	26	3	12	16	6	270)
1/2 cup mixed nuts
(340	30	4	12	10	4	170)
7 frt snx
(560	0	0	7	133	0	140)
2 mini naan pita
(280	8	2	8	42	2	660)
1 flour tortilla
(110	2.5	1	3	19	2	340)
8 tbs instant hzlnt coffee crmer
(480	16	8	0	72	0	0)
=360+120+210+320+340+560+280+110+480
=0+8+15+26+30+0+8+3+16
=0+5+9+3+4+0+2+1+8
=12+10+12+12+12+7+8+3+0
=78+2+0+16+10+133+42+19+72
=2+0+0+6+4+0+2+2+0
=420+280+315+270+170+140+660+340+0
</t>
  </si>
  <si>
    <t>Naan flatbread serving is 1/3 bread, this is 3 servings or 1 flatbread:</t>
  </si>
  <si>
    <t>Woke up at 4 am but got out of bed 10 minutes after 4 am bc I hit snooze instead of stop and didn't feel tired. I went to bed at 830 pm last night and got about 7.5 hours sleep. I realized when I looked at the stove that said 5 am that I actually got 8.5 hours of sleep bc it was daylight savings time last night and I reset the clock to the current time an hour earlier. Had 2 mini naan pitas, 2 CJ slices for bkft, reg BM after 203 cups coffee, showered after bkfst, another 90 min today didn't tip a med student, gross. That makes 3 90-min and 1-60 min that was a douche that didn't tip in last 2-3 weeks. Considering a wellness center instead since the people would be more in line with my education goals and massage therapy and welcoming to me to work at. The people I work with aren't that great to see daily as not friendly as in do not say hi when you say hi other than a few people out of about 20 people. Not worth it. Last check was good, but this one has the regular days, last check had 2 more days on it, this one will have 40 hours and low tips as a pool. Had a couple Jameson and worked on the nervous system review material and drawing in for FABS1 before bed time around 9 pm. Closer to 845 pm. Was tired. I also had 7 frt snx, 4 more mini naans pita, 3 CJ slices, 2 slices mozz, 1 reg pita before bed and a cup pistachios.</t>
  </si>
  <si>
    <t xml:space="preserve">Woke up at 4 am, got out of bed at 430 am. Ranted about bums not tipping on facebook, applied to a few wellness massage center jobs, did some anatomy FABS search on GSF and LSF grtr/lssr sciatic foramina structures that go through those foramen made by the ligaments and muscles of the gluteal region. Had a lg BM after 2 cups coffee instant as always., 4 cups coffee before grocery store to get more household goods and cat food. Dry at Winco the rest at Staters Bros at 7 am. Coffee creamer instant hzlnt in cups 4, 5 and decaf before 1 pm. Got Growlys other meds pimbendan from Riverside by 1 pm at 1245 pm after class transferred $100 to get other 2 meds for Growly from roomate's acct bc he knows about it and bitched about it and getting a job I can start paying for it. Today I had to text the CP1 group for the zoom link as canvas school dash was down for maintenance when time to login 45 min prior at 915 am class starts 10 am. Max gave me the link but too long to enter into computer so I found it from my web history and used it. Showered on my break in FABS then tried to complete the group project with only 1 slide but I couldn't tell what nerve started where bc they looked like all L1-S3 but it was L2-S2 that made more sense. Aaron helped me with that thankfully that group is also a cool group to be in for group projects. I will for sure use that file to study from. Had a flatbrad new pita for bkft and lunch with 2 mozz bkft and 2 CJ lunch. later lunch after getting Growly's meds had a previous type pita bread on wheat that isn't good and bought 2 pkgs. Had that w/ 2 CJ slices. Then started on the GA1 prerecorded videos. I have a quiz in IPA1 this Wed to study for and my client is tomorrow at 5 pm who is back from Louisiana. It will be great to see her again. Also another client Wed. Changed my prices on mobile massage for new clients only too, bc not getting tipped at work and doing way more work than paid for is not enough to make me want to work. So the new prices make me happy and the old prices for existing members make me happy for those clients only. </t>
  </si>
  <si>
    <t>6 mini naan pitas
(1680	48	12	48	252	12	3960)
5 CJ slices
(350	25	15	20	0	0	525)
2 mozz
(120	8	5	10	2	0	280)
1 reg pita
(200.00	2.00	0.00	8.00	38.00	4.00	400.00)
7 frt snx
(560	0	0	7	133	0	140)
1 cup pistachios
(320	26	3	12	16	6	270)
=1680+350+120+200+560+320
=48+25+8+2+0+26
=12+15+5+0+0+3
=48+20+10+8+7+12
=252+0+2+38+133+16
=12+0+0+4+0+6
=3960+525+280+400+140+270</t>
  </si>
  <si>
    <t xml:space="preserve">2 flatbread pitas
(760	22	4	22	118	6	1820)
1 cup pistachios
(320	26	3	12	16	6	270)
2 mozz
(120	8	5	10	2	0	280)
7 CJ
(280	20	12	16	0	0	420)
1 wheat pita
(200.00	2.00	0.00	8.00	38.00	4.00	400.00)
6 fruit snax
()
1 cup pistachios
()
1 reg coca cola
()
2 servings butter popcorn
()
</t>
  </si>
  <si>
    <t>Woke up at 4 am went to bed @ 8 pm. I forgot CTAP login yesterday @ 130 pm. Felt like a free day after picking up Growly's meds @ 1245 pm yesterday, Missed 1 day of CTAP no excuse. No prerecorded video LE up so I read both ppts on lymphatic tissue and digestive tissue. Had 2 wheat pitas later in day, had a reg/lg BM after 3 cups coffee early in the day, the pias were for lunch and bdfst w/ 3 CJ and 4 swiss and lg flatbread, 7 frt snx last of them, 6 cups coffee and 2 decaf all day, the 1st 4 cups no creamer. About 4 servings instant creamer, it lasts a while. Had GA1 at 10 am - 12 pm and watched the lab yesterday during CTAP and the prerecorded LEs part 1 and 2 earlier in the morning before class bw 4am and 9am. Went to Anaheim for chiro interview at 1 pm then had another intrvw booked while waitning in Anaheim in Yorba Linda, went to both and they can only offer 3 hours a week and would have to quit my 8 hour ME gauranteed income to work there. One the 2nd can guarantee 3 hours paid and both pay $25/hour the latter cash, and my old friend co-worker from ME Tustin is leaving there but worked there since 2011 approx. Diane. She's a cool Diane though. I actually like this one and a client I knew named Diane. She's moving to TX and I would take her place and the Dr is an SCUHS grad '91. Cool dude, reminds me of a tall sons of anarchy type dude with no mask policy, its OC. I had to decline later in day after going to my 5 pm regulars appointment shes back from AL vacation. Very nice lady. Her norm routine is noon Tuesdays, but due to class we push for 1230 pm. Had another decaf w/creamer in bw coming back from the intrvews and leaving for clients house and set up the equipment and put hydrocollator in van in its own basket to balance in front seat. Need an extra extension cord. Might get one later. I got class at 8am FABS, then GA1 2 hours, then leave for campus CP1 2 hours then IPA a quiz and 2 hours. Maybe after work. I have my reg at 7 pm too. I got tomorrow off but do have prerecorded video LEs and can use time to stdy for CP1 quiz Fri at 8 am. Had a Jameson when I got home and gave client her receipt and SOAP notes and then reviewed the kahoots and the lab for the preclass quiz in GA1 which btw Max reminded up to all take on group chat. Thats cool bc I know I have forgotten 2 already and JP has forgotten 1, we seem to be the only ones (who admit it anyways). Took quiz and got 5/5, some questions threw me off but just went with what I know and didn't try to think it could be some answer I never heard of and that i just forgot that part of the LEs or lab. Thank fully not bc I would have missed 2 if I would have done that on the lig of Traitz and the vagus nerve questions. all splanchnic nerves appear to all be pregg SP not PS and the question asked for PS, and there was one ligament that could have been likely for the lig that holds the duodenojejuno flexure junction up as the hepatopancreatico ligament bc near that area. I had another wheat pita w/ Mozz 1 and 2 swiss. then bed around 8 pm. Planned on getting up early to study for IPA1.</t>
  </si>
  <si>
    <t>Woke up at 4 am by alarm as always at this time, and went to bed last night around 8 am, got about 8 hours sleep. Had a reg BM after 2 cups coffee no creamer in 1st 3 cups coffee, then a decaf with creamer instant hzl and a 4the caffentd coffee w/ instant creamer. Had a couple swiss and 1 mozz slice on the flatbread pita earler. Class at 8am, showered by 725 am.</t>
  </si>
  <si>
    <t>saltpepper pistachios 1/2 c serving with shells</t>
  </si>
  <si>
    <t>morning star chk'n nuggets, vegan, serving 4</t>
  </si>
  <si>
    <t>morning starveggie pepperoni pizza bites serving is 6</t>
  </si>
  <si>
    <t>1 pistachios
()
2 pita
()
4 CJ slices
()
serving 4 pcs morning star ckn nuggets
()
serving 6 pcs morning star pepperoni pizza bites
()
1 coca cola full size reg can
()
9 tbs instant hzlnt crmer
()</t>
  </si>
  <si>
    <t xml:space="preserve">3 wheat pita
()
1 flat bread pita
()
3 CJ slices
()
6 Swiss
()
1 mozz
()
1/4 cup pistachios
()
7 ft snx
()
15 tbs instant creamer hzlnt
()
</t>
  </si>
  <si>
    <t>flatbread pita
()
2 wheat pita
()
6 swiss slices
()
3 mozz slices
()
15 tbs instant hzlnt crmr
()
2 servings cheetos
()</t>
  </si>
  <si>
    <t xml:space="preserve">Woke up at 5 am after sleeping through the 4 am alarm by turning it off and waiting for 5 am alarm to go off but was able to sleep. I went to bed around 11 pm last night after putting laundry in the dryer and getting back from grocery store after my 7 pm appointment in Yorba Linda. Had a reg BM after the earlier 2 cups coffee, a 3rd coffee, a wheat pita w/ 2 CJ clides for bkfst and a 4th coffee. No creamer in them all. Worked on FABS muscles as a db format and then did the readings for CS quiz in CP1 plus readings for week 9, and found out from Max that the quiz is only on wk 8 CS material in CP1 and had to recheck. bc I thought it included the wk 9 joint mobility LEs but didn't quick scan the recorded LE of last Fri to confirm so am studying less material with CS instead. Had a serving of morning star ckn nuggets a 5th coffe w decaf and a pure decaf before that both with creamer, and actually the 4th had the crmr too for this week and last of instant hzlnt crmer. Work called at 8 am to see if I could cover a call out but I thought not, as I have hw and quz prep todo and did by 4 pm. That and the people are usually bitches and cheapskates that I pick up that someone else usually massages so thought it was the universe getting back at them by having their LMT call out on them. This last weekend I had 2 90-min from new clients to me that didn't tip. Not happy about that at all. Not trying to repeat that same negative self-esteem feelings or reconfirm that people out there dont give a fuck about tippling the service industry first line to make them feel better. Those clients can go fuck themselves I seriously don't know what type of people believe that who are not young z gen or young millenials handed everything to them. I would rather have the young z gen that uses mommy and daddy s cc to give me way more of a tip than normal than zero. Who the fuck taught these people service ettiquette?! So wasn't about to bring that shit up again on repeat. It is getting closer to the holidays but seriously I would never not tip my service worker, and those that have tipped this weekend tipped on the low end for the most part. Universe getting back at them is what I think. After I took the kahoots quiz and got a 10/10 for CTAP I had my 1st Jameson then listened to the roommate scream about someone taking the recycling trashcan, since its a holiday today I can't call to speak to WM to see if they picked it up. I looked at the security footage and found out it does record, hallelujah! Praise Jesus! but not the right angle. I and the roommate who said he would this last Sunday didn't put up the extra 4 security cams. We're missing a recycling trash can, and its odd that WM is running today bc they get other holidays off. My dad works there, his work and cell phone block my number, ever since I asked him to send flowr s to mom's funeral haven't been able to contact him so sent him an email shortly before work asked me to cover for someone. After doing the security camera maintenance and looking over this group 2 project in FABS due at the end of the month and emailing group members about it and asking to tell me who to assign what regions to. I had a 2nd jameson and put away the laundry and did the dishes and made a serving for myself of pizza rolls vegan morning star pepp ones and updated this db. I also forgot that I texted my client from last night's possible dad that texted me on prices for massage yesterday but didn't hear a reply by 430 pm. Then planned on studying some more for CP1 by reviewing db made on readings and LE material and the pdf on 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</si>
</sst>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solid">
        <fgColor theme="1" tint="0.499984740745262"/>
        <bgColor indexed="64"/>
      </patternFill>
    </fill>
    <fill>
      <patternFill patternType="solid">
        <fgColor theme="0" tint="-0.499984740745262"/>
        <bgColor indexed="64"/>
      </patternFill>
    </fill>
  </fills>
  <borders count="1">
    <border>
      <left/>
      <right/>
      <top/>
      <bottom/>
      <diagonal/>
    </border>
  </borders>
  <cellStyleXfs count="1">
    <xf numFmtId="0" fontId="0" fillId="0" borderId="0"/>
  </cellStyleXfs>
  <cellXfs count="56">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xf numFmtId="0" fontId="0" fillId="0" borderId="0" xfId="0" applyFill="1" applyAlignment="1">
      <alignment vertical="top"/>
    </xf>
    <xf numFmtId="14" fontId="0" fillId="0" borderId="0" xfId="0" applyNumberFormat="1" applyFill="1" applyAlignment="1">
      <alignment vertical="top"/>
    </xf>
    <xf numFmtId="18" fontId="0" fillId="0" borderId="0" xfId="0" applyNumberFormat="1" applyFill="1" applyAlignment="1">
      <alignment vertical="top"/>
    </xf>
    <xf numFmtId="1" fontId="0" fillId="0" borderId="0" xfId="0" applyNumberFormat="1" applyFill="1" applyAlignment="1">
      <alignment vertical="top"/>
    </xf>
    <xf numFmtId="2" fontId="0" fillId="0" borderId="0" xfId="0" applyNumberFormat="1" applyFill="1" applyAlignment="1">
      <alignment vertical="top"/>
    </xf>
    <xf numFmtId="0" fontId="0" fillId="0" borderId="0" xfId="0" applyFill="1" applyAlignment="1">
      <alignment vertical="top" wrapText="1"/>
    </xf>
    <xf numFmtId="0" fontId="0" fillId="0" borderId="0" xfId="0" applyFill="1" applyAlignment="1">
      <alignment vertical="center" wrapText="1"/>
    </xf>
    <xf numFmtId="1" fontId="0" fillId="0" borderId="0" xfId="0" applyNumberFormat="1" applyFill="1" applyAlignment="1">
      <alignment horizontal="center" vertical="center" wrapText="1"/>
    </xf>
    <xf numFmtId="0" fontId="0" fillId="0" borderId="0" xfId="0" applyFill="1" applyAlignment="1">
      <alignment horizontal="center" vertical="center" wrapText="1"/>
    </xf>
    <xf numFmtId="0" fontId="0" fillId="2" borderId="0" xfId="0" applyFill="1"/>
    <xf numFmtId="2" fontId="0" fillId="2" borderId="0" xfId="0" applyNumberFormat="1" applyFill="1"/>
    <xf numFmtId="2" fontId="0" fillId="2" borderId="0" xfId="0" applyNumberFormat="1" applyFill="1" applyAlignment="1">
      <alignment horizontal="center"/>
    </xf>
    <xf numFmtId="2" fontId="0" fillId="2" borderId="0" xfId="0" applyNumberFormat="1" applyFill="1" applyAlignment="1">
      <alignment vertical="top"/>
    </xf>
    <xf numFmtId="0" fontId="0" fillId="2" borderId="0" xfId="0" applyFill="1" applyAlignment="1">
      <alignment vertical="top"/>
    </xf>
    <xf numFmtId="14" fontId="0" fillId="0" borderId="0" xfId="0" applyNumberFormat="1" applyFill="1" applyAlignment="1">
      <alignment vertical="center" wrapText="1"/>
    </xf>
    <xf numFmtId="18" fontId="0" fillId="0" borderId="0" xfId="0" applyNumberFormat="1" applyFill="1" applyAlignment="1">
      <alignment vertical="center" wrapText="1"/>
    </xf>
    <xf numFmtId="1" fontId="0" fillId="0" borderId="0" xfId="0" applyNumberFormat="1" applyFill="1" applyAlignment="1">
      <alignment vertical="center" wrapText="1"/>
    </xf>
    <xf numFmtId="2" fontId="0" fillId="0" borderId="0" xfId="0" applyNumberFormat="1" applyFill="1" applyAlignment="1">
      <alignment vertical="center" wrapText="1"/>
    </xf>
    <xf numFmtId="2" fontId="0" fillId="0" borderId="0" xfId="0" applyNumberFormat="1" applyFill="1" applyAlignment="1">
      <alignment horizontal="center" vertical="center" wrapText="1"/>
    </xf>
    <xf numFmtId="2" fontId="0" fillId="2" borderId="0" xfId="0" applyNumberFormat="1" applyFill="1" applyAlignment="1">
      <alignment vertical="center" wrapText="1"/>
    </xf>
    <xf numFmtId="14" fontId="0" fillId="0" borderId="0" xfId="0" applyNumberFormat="1" applyFill="1" applyAlignment="1">
      <alignment horizontal="center" vertical="center" wrapText="1"/>
    </xf>
    <xf numFmtId="18" fontId="0" fillId="0" borderId="0" xfId="0" applyNumberFormat="1" applyFill="1" applyAlignment="1">
      <alignment horizontal="center" vertical="center" wrapText="1"/>
    </xf>
    <xf numFmtId="2" fontId="0" fillId="2" borderId="0" xfId="0" applyNumberFormat="1" applyFill="1" applyAlignment="1">
      <alignment horizontal="center" vertical="center" wrapText="1"/>
    </xf>
    <xf numFmtId="0" fontId="0" fillId="2" borderId="0" xfId="0" applyFill="1" applyAlignment="1">
      <alignment horizontal="center" vertical="center" wrapText="1"/>
    </xf>
    <xf numFmtId="14" fontId="0" fillId="0" borderId="0" xfId="0" applyNumberFormat="1" applyFill="1" applyAlignment="1">
      <alignment vertical="top" wrapText="1"/>
    </xf>
    <xf numFmtId="18" fontId="0" fillId="0" borderId="0" xfId="0" applyNumberFormat="1" applyFill="1" applyAlignment="1">
      <alignment vertical="top" wrapText="1"/>
    </xf>
    <xf numFmtId="1" fontId="0" fillId="0" borderId="0" xfId="0" applyNumberFormat="1" applyFill="1" applyAlignment="1">
      <alignment vertical="top" wrapText="1"/>
    </xf>
    <xf numFmtId="2" fontId="0" fillId="0" borderId="0" xfId="0" applyNumberFormat="1" applyFill="1" applyAlignment="1">
      <alignment vertical="top" wrapText="1"/>
    </xf>
    <xf numFmtId="2" fontId="0" fillId="2" borderId="0" xfId="0" applyNumberFormat="1" applyFill="1" applyAlignment="1">
      <alignment vertical="top" wrapText="1"/>
    </xf>
    <xf numFmtId="2" fontId="0" fillId="0" borderId="0" xfId="0" applyNumberFormat="1" applyFill="1" applyAlignment="1">
      <alignment horizontal="center" vertical="top" wrapText="1"/>
    </xf>
    <xf numFmtId="1" fontId="0" fillId="0" borderId="0" xfId="0" applyNumberFormat="1" applyFill="1" applyAlignment="1">
      <alignment horizontal="center" vertical="top" wrapText="1"/>
    </xf>
    <xf numFmtId="0" fontId="0" fillId="0" borderId="0" xfId="0" applyFill="1" applyAlignment="1">
      <alignment horizontal="center" vertical="top" wrapText="1"/>
    </xf>
    <xf numFmtId="0" fontId="0" fillId="3" borderId="0" xfId="0" applyFill="1" applyAlignment="1">
      <alignment vertical="top" wrapText="1"/>
    </xf>
    <xf numFmtId="2" fontId="0" fillId="3" borderId="0" xfId="0" applyNumberFormat="1" applyFill="1" applyAlignment="1">
      <alignment vertical="top" wrapText="1"/>
    </xf>
    <xf numFmtId="0" fontId="0" fillId="3" borderId="0" xfId="0" applyFill="1"/>
    <xf numFmtId="2" fontId="0" fillId="3"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663"/>
  <sheetViews>
    <sheetView workbookViewId="0">
      <pane ySplit="1" topLeftCell="A643" activePane="bottomLeft" state="frozen"/>
      <selection pane="bottomLeft" activeCell="H663" sqref="H663"/>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1190</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1191</v>
      </c>
      <c r="B546">
        <v>410</v>
      </c>
      <c r="C546">
        <v>15</v>
      </c>
      <c r="D546">
        <v>9</v>
      </c>
      <c r="E546">
        <v>10</v>
      </c>
      <c r="F546">
        <v>55</v>
      </c>
      <c r="G546">
        <v>0</v>
      </c>
      <c r="H546">
        <v>650</v>
      </c>
    </row>
    <row r="547" spans="1:8" x14ac:dyDescent="0.3">
      <c r="A547" s="16" t="s">
        <v>1192</v>
      </c>
      <c r="B547">
        <v>100</v>
      </c>
      <c r="C547">
        <v>9</v>
      </c>
      <c r="D547">
        <v>6</v>
      </c>
      <c r="E547">
        <v>2</v>
      </c>
      <c r="F547">
        <v>2</v>
      </c>
      <c r="G547">
        <v>0</v>
      </c>
      <c r="H547">
        <v>150</v>
      </c>
    </row>
    <row r="548" spans="1:8" x14ac:dyDescent="0.3">
      <c r="A548" s="16" t="s">
        <v>1193</v>
      </c>
      <c r="B548">
        <v>70</v>
      </c>
      <c r="C548">
        <v>3.5</v>
      </c>
      <c r="D548">
        <v>0</v>
      </c>
      <c r="E548">
        <v>1</v>
      </c>
      <c r="F548">
        <v>9</v>
      </c>
      <c r="G548">
        <v>1</v>
      </c>
      <c r="H548">
        <v>110</v>
      </c>
    </row>
    <row r="549" spans="1:8" x14ac:dyDescent="0.3">
      <c r="A549" s="16" t="s">
        <v>1198</v>
      </c>
      <c r="B549">
        <v>1040</v>
      </c>
      <c r="C549">
        <v>32</v>
      </c>
      <c r="D549">
        <v>12</v>
      </c>
      <c r="E549">
        <v>44</v>
      </c>
      <c r="F549">
        <v>144</v>
      </c>
      <c r="G549">
        <v>16</v>
      </c>
      <c r="H549">
        <v>1360</v>
      </c>
    </row>
    <row r="550" spans="1:8" x14ac:dyDescent="0.3">
      <c r="A550" s="16" t="s">
        <v>1199</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1202</v>
      </c>
      <c r="B551">
        <f>4*350</f>
        <v>1400</v>
      </c>
      <c r="C551">
        <f>4*15</f>
        <v>60</v>
      </c>
      <c r="D551">
        <f>4*8</f>
        <v>32</v>
      </c>
      <c r="E551">
        <f>4*17</f>
        <v>68</v>
      </c>
      <c r="F551">
        <f>4*37</f>
        <v>148</v>
      </c>
      <c r="G551">
        <f>4*3</f>
        <v>12</v>
      </c>
      <c r="H551">
        <f>4*780</f>
        <v>3120</v>
      </c>
    </row>
    <row r="552" spans="1:8" x14ac:dyDescent="0.3">
      <c r="A552" s="16" t="s">
        <v>1207</v>
      </c>
      <c r="B552">
        <v>150</v>
      </c>
      <c r="C552">
        <v>11</v>
      </c>
      <c r="D552">
        <v>4.5</v>
      </c>
      <c r="E552">
        <v>2</v>
      </c>
      <c r="F552">
        <v>14</v>
      </c>
      <c r="G552">
        <v>1</v>
      </c>
      <c r="H552">
        <v>220</v>
      </c>
    </row>
    <row r="553" spans="1:8" x14ac:dyDescent="0.3">
      <c r="A553" s="16" t="s">
        <v>1208</v>
      </c>
      <c r="B553">
        <v>100</v>
      </c>
      <c r="C553">
        <v>1</v>
      </c>
      <c r="D553">
        <v>0</v>
      </c>
      <c r="E553">
        <v>16</v>
      </c>
      <c r="F553">
        <v>6</v>
      </c>
      <c r="G553">
        <v>4</v>
      </c>
      <c r="H553">
        <v>320</v>
      </c>
    </row>
    <row r="554" spans="1:8" x14ac:dyDescent="0.3">
      <c r="A554" s="16" t="s">
        <v>1209</v>
      </c>
      <c r="B554">
        <v>160</v>
      </c>
      <c r="C554">
        <v>9</v>
      </c>
      <c r="D554">
        <v>2</v>
      </c>
      <c r="E554">
        <v>2</v>
      </c>
      <c r="F554">
        <v>15</v>
      </c>
      <c r="G554">
        <v>1</v>
      </c>
      <c r="H554">
        <v>180</v>
      </c>
    </row>
    <row r="555" spans="1:8" x14ac:dyDescent="0.3">
      <c r="A555" s="16" t="s">
        <v>1216</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1217</v>
      </c>
      <c r="B556">
        <v>130</v>
      </c>
      <c r="C556">
        <v>7</v>
      </c>
      <c r="D556">
        <v>1</v>
      </c>
      <c r="E556">
        <v>2</v>
      </c>
      <c r="F556">
        <v>17</v>
      </c>
      <c r="G556">
        <v>1</v>
      </c>
      <c r="H556">
        <v>450</v>
      </c>
    </row>
    <row r="557" spans="1:8" x14ac:dyDescent="0.3">
      <c r="A557" s="16" t="s">
        <v>1218</v>
      </c>
      <c r="B557">
        <v>80</v>
      </c>
      <c r="C557">
        <v>0</v>
      </c>
      <c r="D557">
        <v>0</v>
      </c>
      <c r="E557">
        <v>0</v>
      </c>
      <c r="F557">
        <v>19</v>
      </c>
      <c r="G557">
        <v>0</v>
      </c>
      <c r="H557">
        <v>30</v>
      </c>
    </row>
    <row r="558" spans="1:8" x14ac:dyDescent="0.3">
      <c r="A558" s="16" t="s">
        <v>1219</v>
      </c>
      <c r="B558">
        <v>120</v>
      </c>
      <c r="C558">
        <v>4</v>
      </c>
      <c r="D558">
        <v>0.5</v>
      </c>
      <c r="E558">
        <v>2</v>
      </c>
      <c r="F558">
        <v>18</v>
      </c>
      <c r="G558">
        <v>1</v>
      </c>
      <c r="H558">
        <v>210</v>
      </c>
    </row>
    <row r="559" spans="1:8" x14ac:dyDescent="0.3">
      <c r="A559" s="16" t="s">
        <v>1220</v>
      </c>
      <c r="B559">
        <v>80</v>
      </c>
      <c r="C559">
        <v>5</v>
      </c>
      <c r="D559">
        <v>1</v>
      </c>
      <c r="E559">
        <v>2</v>
      </c>
      <c r="F559">
        <v>7</v>
      </c>
      <c r="G559">
        <v>1</v>
      </c>
      <c r="H559">
        <v>120</v>
      </c>
    </row>
    <row r="560" spans="1:8" x14ac:dyDescent="0.3">
      <c r="A560" s="16" t="s">
        <v>1222</v>
      </c>
      <c r="B560" s="17">
        <v>140</v>
      </c>
      <c r="C560" s="17">
        <v>9</v>
      </c>
      <c r="D560" s="17">
        <v>1.5</v>
      </c>
      <c r="E560" s="17">
        <v>2</v>
      </c>
      <c r="F560" s="17">
        <v>14</v>
      </c>
      <c r="G560" s="17">
        <v>1</v>
      </c>
      <c r="H560" s="17">
        <v>230</v>
      </c>
    </row>
    <row r="561" spans="1:8" x14ac:dyDescent="0.3">
      <c r="A561" s="16" t="s">
        <v>1223</v>
      </c>
      <c r="B561">
        <v>150</v>
      </c>
      <c r="C561">
        <v>8</v>
      </c>
      <c r="D561">
        <v>1</v>
      </c>
      <c r="E561">
        <v>2</v>
      </c>
      <c r="F561">
        <v>18</v>
      </c>
      <c r="G561">
        <v>1</v>
      </c>
      <c r="H561">
        <v>190</v>
      </c>
    </row>
    <row r="562" spans="1:8" x14ac:dyDescent="0.3">
      <c r="A562" s="16" t="s">
        <v>1224</v>
      </c>
      <c r="B562">
        <v>150</v>
      </c>
      <c r="C562">
        <v>8</v>
      </c>
      <c r="D562">
        <v>1</v>
      </c>
      <c r="E562">
        <v>2</v>
      </c>
      <c r="F562">
        <v>18</v>
      </c>
      <c r="G562">
        <v>1</v>
      </c>
      <c r="H562">
        <v>210</v>
      </c>
    </row>
    <row r="563" spans="1:8" x14ac:dyDescent="0.3">
      <c r="A563" s="16" t="s">
        <v>1229</v>
      </c>
      <c r="B563">
        <v>110</v>
      </c>
      <c r="C563">
        <v>3</v>
      </c>
      <c r="D563">
        <v>0</v>
      </c>
      <c r="E563">
        <v>2</v>
      </c>
      <c r="F563">
        <v>19</v>
      </c>
      <c r="G563">
        <v>1</v>
      </c>
      <c r="H563">
        <v>125</v>
      </c>
    </row>
    <row r="564" spans="1:8" x14ac:dyDescent="0.3">
      <c r="A564" s="16" t="s">
        <v>1230</v>
      </c>
      <c r="B564">
        <v>110</v>
      </c>
      <c r="C564">
        <v>3</v>
      </c>
      <c r="D564">
        <v>0</v>
      </c>
      <c r="E564">
        <v>2</v>
      </c>
      <c r="F564">
        <v>19</v>
      </c>
      <c r="G564">
        <v>1</v>
      </c>
      <c r="H564">
        <v>220</v>
      </c>
    </row>
    <row r="565" spans="1:8" x14ac:dyDescent="0.3">
      <c r="A565" s="16" t="s">
        <v>1231</v>
      </c>
      <c r="B565">
        <v>160</v>
      </c>
      <c r="C565">
        <v>10</v>
      </c>
      <c r="D565">
        <v>1.5</v>
      </c>
      <c r="E565">
        <v>2</v>
      </c>
      <c r="F565">
        <v>15</v>
      </c>
      <c r="G565">
        <v>1</v>
      </c>
      <c r="H565">
        <v>250</v>
      </c>
    </row>
    <row r="566" spans="1:8" x14ac:dyDescent="0.3">
      <c r="A566" s="16" t="s">
        <v>1235</v>
      </c>
      <c r="B566">
        <v>150</v>
      </c>
      <c r="C566">
        <v>1.5</v>
      </c>
      <c r="D566">
        <v>0.5</v>
      </c>
      <c r="E566">
        <v>5</v>
      </c>
      <c r="F566">
        <v>30</v>
      </c>
      <c r="G566">
        <v>1</v>
      </c>
      <c r="H566">
        <v>200</v>
      </c>
    </row>
    <row r="567" spans="1:8" x14ac:dyDescent="0.3">
      <c r="A567" s="16" t="s">
        <v>1246</v>
      </c>
      <c r="B567" s="17">
        <v>150</v>
      </c>
      <c r="C567" s="17">
        <v>8</v>
      </c>
      <c r="D567" s="17">
        <v>4</v>
      </c>
      <c r="E567" s="17">
        <v>3</v>
      </c>
      <c r="F567" s="17">
        <v>16</v>
      </c>
      <c r="G567" s="17">
        <v>1</v>
      </c>
      <c r="H567" s="17">
        <v>25</v>
      </c>
    </row>
    <row r="568" spans="1:8" x14ac:dyDescent="0.3">
      <c r="A568" s="16" t="s">
        <v>1247</v>
      </c>
      <c r="B568">
        <v>370</v>
      </c>
      <c r="C568">
        <v>16</v>
      </c>
      <c r="D568">
        <v>16</v>
      </c>
      <c r="E568">
        <v>0</v>
      </c>
      <c r="F568">
        <v>64</v>
      </c>
      <c r="G568">
        <v>0</v>
      </c>
      <c r="H568">
        <v>5</v>
      </c>
    </row>
    <row r="569" spans="1:8" x14ac:dyDescent="0.3">
      <c r="A569" s="16" t="s">
        <v>1249</v>
      </c>
      <c r="B569" s="17">
        <v>180</v>
      </c>
      <c r="C569" s="17">
        <v>5</v>
      </c>
      <c r="D569" s="17">
        <v>3</v>
      </c>
      <c r="E569" s="17">
        <v>6</v>
      </c>
      <c r="F569" s="17">
        <v>28</v>
      </c>
      <c r="G569" s="17">
        <v>1</v>
      </c>
      <c r="H569" s="17">
        <v>360</v>
      </c>
    </row>
    <row r="570" spans="1:8" x14ac:dyDescent="0.3">
      <c r="A570" s="16" t="s">
        <v>1252</v>
      </c>
      <c r="B570">
        <v>330</v>
      </c>
      <c r="C570">
        <v>18</v>
      </c>
      <c r="D570">
        <v>9</v>
      </c>
      <c r="E570">
        <v>26</v>
      </c>
      <c r="F570">
        <v>16</v>
      </c>
      <c r="G570">
        <v>2</v>
      </c>
      <c r="H570">
        <v>420</v>
      </c>
    </row>
    <row r="571" spans="1:8" x14ac:dyDescent="0.3">
      <c r="A571" s="16" t="s">
        <v>1253</v>
      </c>
      <c r="B571" s="17">
        <v>240</v>
      </c>
      <c r="C571" s="17">
        <v>2</v>
      </c>
      <c r="D571" s="17">
        <v>0.5</v>
      </c>
      <c r="E571" s="17">
        <v>8</v>
      </c>
      <c r="F571" s="17">
        <v>46</v>
      </c>
      <c r="G571" s="17">
        <v>2</v>
      </c>
      <c r="H571" s="17">
        <v>630</v>
      </c>
    </row>
    <row r="572" spans="1:8" x14ac:dyDescent="0.3">
      <c r="A572" s="16" t="s">
        <v>1254</v>
      </c>
      <c r="B572">
        <v>80</v>
      </c>
      <c r="C572">
        <v>5</v>
      </c>
      <c r="D572">
        <v>3.5</v>
      </c>
      <c r="E572">
        <v>6</v>
      </c>
      <c r="F572">
        <v>2</v>
      </c>
      <c r="G572">
        <v>0</v>
      </c>
      <c r="H572">
        <v>190</v>
      </c>
    </row>
    <row r="573" spans="1:8" x14ac:dyDescent="0.3">
      <c r="A573" s="16" t="s">
        <v>1255</v>
      </c>
      <c r="B573" s="17">
        <v>0</v>
      </c>
      <c r="C573" s="17">
        <v>0</v>
      </c>
      <c r="D573" s="17">
        <v>0</v>
      </c>
      <c r="E573" s="17">
        <v>0</v>
      </c>
      <c r="F573" s="17">
        <v>0</v>
      </c>
      <c r="G573" s="17">
        <v>0</v>
      </c>
      <c r="H573" s="17">
        <v>55</v>
      </c>
    </row>
    <row r="574" spans="1:8" x14ac:dyDescent="0.3">
      <c r="A574" s="16" t="s">
        <v>1256</v>
      </c>
      <c r="B574">
        <v>0</v>
      </c>
      <c r="C574">
        <v>0</v>
      </c>
      <c r="D574">
        <v>0</v>
      </c>
      <c r="E574">
        <v>0</v>
      </c>
      <c r="F574">
        <v>1</v>
      </c>
      <c r="G574">
        <v>0</v>
      </c>
      <c r="H574">
        <v>260</v>
      </c>
    </row>
    <row r="575" spans="1:8" x14ac:dyDescent="0.3">
      <c r="A575" s="16" t="s">
        <v>1263</v>
      </c>
      <c r="B575">
        <v>210</v>
      </c>
      <c r="C575">
        <v>12</v>
      </c>
      <c r="D575">
        <v>4.5</v>
      </c>
      <c r="E575">
        <v>6</v>
      </c>
      <c r="F575">
        <v>17</v>
      </c>
      <c r="G575">
        <v>0</v>
      </c>
      <c r="H575">
        <v>350</v>
      </c>
    </row>
    <row r="576" spans="1:8" x14ac:dyDescent="0.3">
      <c r="A576" s="16" t="s">
        <v>1265</v>
      </c>
      <c r="B576">
        <v>5</v>
      </c>
      <c r="C576">
        <v>0</v>
      </c>
      <c r="D576">
        <v>0</v>
      </c>
      <c r="E576">
        <v>0</v>
      </c>
      <c r="F576">
        <v>1</v>
      </c>
      <c r="G576">
        <v>0</v>
      </c>
      <c r="H576">
        <v>400</v>
      </c>
    </row>
    <row r="577" spans="1:8" x14ac:dyDescent="0.3">
      <c r="A577" s="16" t="s">
        <v>1268</v>
      </c>
      <c r="B577">
        <v>80</v>
      </c>
      <c r="C577">
        <v>0</v>
      </c>
      <c r="D577">
        <v>0</v>
      </c>
      <c r="E577">
        <v>1</v>
      </c>
      <c r="F577">
        <v>19</v>
      </c>
      <c r="G577">
        <v>0</v>
      </c>
      <c r="H577">
        <v>20</v>
      </c>
    </row>
    <row r="578" spans="1:8" x14ac:dyDescent="0.3">
      <c r="A578" s="16" t="s">
        <v>1269</v>
      </c>
      <c r="B578">
        <v>140</v>
      </c>
      <c r="C578">
        <v>7</v>
      </c>
      <c r="D578">
        <v>1</v>
      </c>
      <c r="E578">
        <v>0</v>
      </c>
      <c r="F578">
        <v>20</v>
      </c>
      <c r="G578">
        <v>2</v>
      </c>
      <c r="H578">
        <v>15</v>
      </c>
    </row>
    <row r="579" spans="1:8" x14ac:dyDescent="0.3">
      <c r="A579" s="16" t="s">
        <v>1271</v>
      </c>
      <c r="B579" s="17">
        <v>380</v>
      </c>
      <c r="C579" s="17">
        <v>17</v>
      </c>
      <c r="D579" s="17">
        <v>9</v>
      </c>
      <c r="E579" s="17">
        <v>9</v>
      </c>
      <c r="F579" s="17">
        <v>48</v>
      </c>
      <c r="G579" s="17">
        <v>3</v>
      </c>
      <c r="H579" s="17">
        <v>880</v>
      </c>
    </row>
    <row r="580" spans="1:8" x14ac:dyDescent="0.3">
      <c r="A580" s="16" t="s">
        <v>1275</v>
      </c>
      <c r="B580">
        <v>230</v>
      </c>
      <c r="C580">
        <v>1</v>
      </c>
      <c r="D580">
        <v>0.5</v>
      </c>
      <c r="E580">
        <v>8</v>
      </c>
      <c r="F580">
        <v>46</v>
      </c>
      <c r="G580">
        <v>2</v>
      </c>
      <c r="H580">
        <v>400</v>
      </c>
    </row>
    <row r="581" spans="1:8" x14ac:dyDescent="0.3">
      <c r="A581" s="16" t="s">
        <v>1277</v>
      </c>
      <c r="B581">
        <v>150</v>
      </c>
      <c r="C581">
        <v>6</v>
      </c>
      <c r="D581">
        <v>1</v>
      </c>
      <c r="E581">
        <v>2</v>
      </c>
      <c r="F581">
        <v>20</v>
      </c>
      <c r="G581">
        <v>1</v>
      </c>
      <c r="H581">
        <v>360</v>
      </c>
    </row>
    <row r="582" spans="1:8" x14ac:dyDescent="0.3">
      <c r="A582" s="16" t="s">
        <v>1281</v>
      </c>
      <c r="B582">
        <v>220</v>
      </c>
      <c r="C582">
        <v>4.5</v>
      </c>
      <c r="D582">
        <v>2.5</v>
      </c>
      <c r="E582">
        <v>7</v>
      </c>
      <c r="F582">
        <v>39</v>
      </c>
      <c r="G582">
        <v>1</v>
      </c>
      <c r="H582">
        <v>280</v>
      </c>
    </row>
    <row r="583" spans="1:8" x14ac:dyDescent="0.3">
      <c r="A583" s="16" t="s">
        <v>1290</v>
      </c>
      <c r="B583" s="17">
        <v>160</v>
      </c>
      <c r="C583" s="17">
        <v>11</v>
      </c>
      <c r="D583" s="17">
        <v>2</v>
      </c>
      <c r="E583" s="17">
        <v>3</v>
      </c>
      <c r="F583" s="17">
        <v>13</v>
      </c>
      <c r="G583" s="17">
        <v>2</v>
      </c>
      <c r="H583" s="17">
        <v>260</v>
      </c>
    </row>
    <row r="584" spans="1:8" x14ac:dyDescent="0.3">
      <c r="A584" s="16" t="s">
        <v>1292</v>
      </c>
      <c r="B584" s="17">
        <v>19</v>
      </c>
      <c r="C584" s="17">
        <v>0.3</v>
      </c>
      <c r="D584" s="17">
        <v>0.1</v>
      </c>
      <c r="E584" s="17">
        <v>1.8</v>
      </c>
      <c r="F584" s="17">
        <v>3.3</v>
      </c>
      <c r="G584" s="17">
        <v>1.1000000000000001</v>
      </c>
      <c r="H584" s="17">
        <v>8</v>
      </c>
    </row>
    <row r="585" spans="1:8" x14ac:dyDescent="0.3">
      <c r="A585" s="16" t="s">
        <v>1295</v>
      </c>
      <c r="B585">
        <v>200</v>
      </c>
      <c r="C585">
        <v>9</v>
      </c>
      <c r="D585">
        <v>4</v>
      </c>
      <c r="E585">
        <v>9</v>
      </c>
      <c r="F585">
        <v>20</v>
      </c>
      <c r="G585">
        <v>2</v>
      </c>
      <c r="H585">
        <v>80</v>
      </c>
    </row>
    <row r="586" spans="1:8" x14ac:dyDescent="0.3">
      <c r="A586" s="16" t="s">
        <v>1296</v>
      </c>
      <c r="B586">
        <v>110</v>
      </c>
      <c r="C586">
        <v>0</v>
      </c>
      <c r="D586">
        <v>0</v>
      </c>
      <c r="E586">
        <v>12</v>
      </c>
      <c r="F586">
        <v>15</v>
      </c>
      <c r="G586">
        <v>0</v>
      </c>
      <c r="H586">
        <v>60</v>
      </c>
    </row>
    <row r="587" spans="1:8" x14ac:dyDescent="0.3">
      <c r="A587" s="16" t="s">
        <v>1298</v>
      </c>
      <c r="B587">
        <v>260</v>
      </c>
      <c r="C587">
        <v>2.5</v>
      </c>
      <c r="D587">
        <v>0</v>
      </c>
      <c r="E587">
        <v>11</v>
      </c>
      <c r="F587">
        <v>48</v>
      </c>
      <c r="G587">
        <v>3</v>
      </c>
      <c r="H587">
        <v>380</v>
      </c>
    </row>
    <row r="588" spans="1:8" x14ac:dyDescent="0.3">
      <c r="A588" s="16" t="s">
        <v>1303</v>
      </c>
      <c r="B588">
        <v>110</v>
      </c>
      <c r="C588">
        <v>1</v>
      </c>
      <c r="D588">
        <v>0.5</v>
      </c>
      <c r="E588">
        <v>1</v>
      </c>
      <c r="F588">
        <v>24</v>
      </c>
      <c r="G588">
        <v>0</v>
      </c>
      <c r="H588">
        <v>150</v>
      </c>
    </row>
    <row r="589" spans="1:8" x14ac:dyDescent="0.3">
      <c r="A589" s="16" t="s">
        <v>1304</v>
      </c>
      <c r="B589">
        <v>130</v>
      </c>
      <c r="C589">
        <v>5</v>
      </c>
      <c r="D589">
        <v>0</v>
      </c>
      <c r="E589">
        <v>2</v>
      </c>
      <c r="F589">
        <v>20</v>
      </c>
      <c r="G589">
        <v>3</v>
      </c>
      <c r="H589">
        <v>330</v>
      </c>
    </row>
    <row r="590" spans="1:8" x14ac:dyDescent="0.3">
      <c r="A590" s="16" t="s">
        <v>1307</v>
      </c>
      <c r="B590">
        <v>260</v>
      </c>
      <c r="C590">
        <v>5</v>
      </c>
      <c r="D590">
        <v>0.5</v>
      </c>
      <c r="E590">
        <v>13</v>
      </c>
      <c r="F590">
        <v>44</v>
      </c>
      <c r="G590">
        <v>5</v>
      </c>
      <c r="H590">
        <v>350</v>
      </c>
    </row>
    <row r="591" spans="1:8" x14ac:dyDescent="0.3">
      <c r="A591" s="16" t="s">
        <v>1386</v>
      </c>
      <c r="B591">
        <v>140</v>
      </c>
      <c r="C591">
        <v>7</v>
      </c>
      <c r="D591">
        <v>3</v>
      </c>
      <c r="E591">
        <v>2</v>
      </c>
      <c r="F591">
        <v>20</v>
      </c>
      <c r="G591">
        <v>3</v>
      </c>
      <c r="H591">
        <v>310</v>
      </c>
    </row>
    <row r="592" spans="1:8" x14ac:dyDescent="0.3">
      <c r="A592" s="16" t="s">
        <v>1314</v>
      </c>
      <c r="B592">
        <v>110</v>
      </c>
      <c r="C592">
        <v>7</v>
      </c>
      <c r="D592">
        <v>4.5</v>
      </c>
      <c r="E592">
        <v>10</v>
      </c>
      <c r="F592">
        <v>2</v>
      </c>
      <c r="G592">
        <v>0</v>
      </c>
      <c r="H592">
        <v>370</v>
      </c>
    </row>
    <row r="593" spans="1:8" x14ac:dyDescent="0.3">
      <c r="A593" s="16" t="s">
        <v>1315</v>
      </c>
      <c r="B593">
        <v>270</v>
      </c>
      <c r="C593">
        <v>3</v>
      </c>
      <c r="D593">
        <v>0</v>
      </c>
      <c r="E593">
        <v>12</v>
      </c>
      <c r="F593">
        <v>51</v>
      </c>
      <c r="G593">
        <v>3</v>
      </c>
      <c r="H593">
        <v>400</v>
      </c>
    </row>
    <row r="594" spans="1:8" x14ac:dyDescent="0.3">
      <c r="A594" s="16" t="s">
        <v>1316</v>
      </c>
      <c r="B594">
        <v>150</v>
      </c>
      <c r="C594">
        <v>6</v>
      </c>
      <c r="D594">
        <v>3.5</v>
      </c>
      <c r="E594">
        <v>1</v>
      </c>
      <c r="F594">
        <v>24</v>
      </c>
      <c r="G594">
        <v>0</v>
      </c>
      <c r="H594">
        <v>50</v>
      </c>
    </row>
    <row r="595" spans="1:8" x14ac:dyDescent="0.3">
      <c r="A595" s="16" t="s">
        <v>1317</v>
      </c>
      <c r="B595">
        <v>130</v>
      </c>
      <c r="C595">
        <v>5</v>
      </c>
      <c r="D595">
        <v>3</v>
      </c>
      <c r="E595">
        <v>1</v>
      </c>
      <c r="F595">
        <v>19</v>
      </c>
      <c r="G595">
        <v>1</v>
      </c>
      <c r="H595">
        <v>20</v>
      </c>
    </row>
    <row r="596" spans="1:8" x14ac:dyDescent="0.3">
      <c r="A596" s="16" t="s">
        <v>1318</v>
      </c>
      <c r="B596">
        <v>130</v>
      </c>
      <c r="C596">
        <v>6</v>
      </c>
      <c r="D596">
        <v>2.5</v>
      </c>
      <c r="E596">
        <v>2</v>
      </c>
      <c r="F596">
        <v>17</v>
      </c>
      <c r="G596">
        <v>1</v>
      </c>
      <c r="H596">
        <v>65</v>
      </c>
    </row>
    <row r="597" spans="1:8" x14ac:dyDescent="0.3">
      <c r="A597" s="16" t="s">
        <v>1319</v>
      </c>
      <c r="B597">
        <v>150</v>
      </c>
      <c r="C597">
        <v>7</v>
      </c>
      <c r="D597">
        <v>4</v>
      </c>
      <c r="E597">
        <v>1</v>
      </c>
      <c r="F597">
        <v>20</v>
      </c>
      <c r="G597">
        <v>0</v>
      </c>
      <c r="H597">
        <v>60</v>
      </c>
    </row>
    <row r="598" spans="1:8" x14ac:dyDescent="0.3">
      <c r="A598" s="16" t="s">
        <v>1320</v>
      </c>
      <c r="B598">
        <v>130</v>
      </c>
      <c r="C598">
        <v>3.5</v>
      </c>
      <c r="D598">
        <v>2</v>
      </c>
      <c r="E598">
        <v>1</v>
      </c>
      <c r="F598">
        <v>23</v>
      </c>
      <c r="G598">
        <v>0</v>
      </c>
      <c r="H598">
        <v>55</v>
      </c>
    </row>
    <row r="599" spans="1:8" x14ac:dyDescent="0.3">
      <c r="A599" s="16" t="s">
        <v>1321</v>
      </c>
      <c r="B599">
        <f>B37*4+B41*2+B50*2</f>
        <v>1334</v>
      </c>
      <c r="C599">
        <f t="shared" ref="C599:H599" si="126">C37*4+C41*2+C50*2</f>
        <v>100</v>
      </c>
      <c r="D599">
        <f t="shared" si="126"/>
        <v>24</v>
      </c>
      <c r="E599">
        <f t="shared" si="126"/>
        <v>82</v>
      </c>
      <c r="F599">
        <f t="shared" si="126"/>
        <v>32</v>
      </c>
      <c r="G599">
        <f t="shared" si="126"/>
        <v>10</v>
      </c>
      <c r="H599">
        <f t="shared" si="126"/>
        <v>1404</v>
      </c>
    </row>
    <row r="600" spans="1:8" x14ac:dyDescent="0.3">
      <c r="A600" s="16" t="s">
        <v>1328</v>
      </c>
      <c r="B600" s="17">
        <v>70</v>
      </c>
      <c r="C600" s="17">
        <v>0</v>
      </c>
      <c r="D600" s="17">
        <v>0</v>
      </c>
      <c r="E600" s="17">
        <v>1</v>
      </c>
      <c r="F600" s="17">
        <v>16</v>
      </c>
      <c r="G600" s="17">
        <v>1</v>
      </c>
      <c r="H600" s="17">
        <v>0</v>
      </c>
    </row>
    <row r="601" spans="1:8" x14ac:dyDescent="0.3">
      <c r="A601" s="16" t="s">
        <v>1329</v>
      </c>
      <c r="B601">
        <v>90</v>
      </c>
      <c r="C601">
        <v>0</v>
      </c>
      <c r="D601">
        <v>15</v>
      </c>
      <c r="E601">
        <v>1</v>
      </c>
      <c r="F601">
        <v>21</v>
      </c>
      <c r="G601">
        <v>13</v>
      </c>
      <c r="H601">
        <v>15</v>
      </c>
    </row>
    <row r="602" spans="1:8" x14ac:dyDescent="0.3">
      <c r="A602" s="16" t="s">
        <v>1330</v>
      </c>
      <c r="B602">
        <v>90</v>
      </c>
      <c r="C602">
        <v>0.5</v>
      </c>
      <c r="D602">
        <v>0</v>
      </c>
      <c r="E602">
        <v>0</v>
      </c>
      <c r="F602">
        <v>20</v>
      </c>
      <c r="G602">
        <v>0</v>
      </c>
      <c r="H602">
        <v>15</v>
      </c>
    </row>
    <row r="603" spans="1:8" x14ac:dyDescent="0.3">
      <c r="A603" s="16" t="s">
        <v>1331</v>
      </c>
      <c r="B603">
        <v>270</v>
      </c>
      <c r="C603">
        <v>13</v>
      </c>
      <c r="D603">
        <v>1.5</v>
      </c>
      <c r="E603">
        <v>5</v>
      </c>
      <c r="F603">
        <v>34</v>
      </c>
      <c r="G603">
        <v>2</v>
      </c>
      <c r="H603">
        <v>640</v>
      </c>
    </row>
    <row r="604" spans="1:8" x14ac:dyDescent="0.3">
      <c r="A604" s="16" t="s">
        <v>1332</v>
      </c>
      <c r="B604">
        <v>350</v>
      </c>
      <c r="C604">
        <v>13</v>
      </c>
      <c r="D604">
        <v>5</v>
      </c>
      <c r="E604">
        <v>15</v>
      </c>
      <c r="F604">
        <v>42</v>
      </c>
      <c r="G604">
        <v>3</v>
      </c>
      <c r="H604">
        <v>570</v>
      </c>
    </row>
    <row r="605" spans="1:8" x14ac:dyDescent="0.3">
      <c r="A605" s="16" t="s">
        <v>1337</v>
      </c>
      <c r="B605">
        <v>300</v>
      </c>
      <c r="C605">
        <v>7</v>
      </c>
      <c r="D605">
        <v>4.5</v>
      </c>
      <c r="E605">
        <v>12</v>
      </c>
      <c r="F605">
        <v>47</v>
      </c>
      <c r="G605">
        <v>0</v>
      </c>
      <c r="H605">
        <v>280</v>
      </c>
    </row>
    <row r="606" spans="1:8" x14ac:dyDescent="0.3">
      <c r="A606" s="16" t="s">
        <v>1333</v>
      </c>
      <c r="B606">
        <v>250</v>
      </c>
      <c r="C606">
        <v>12</v>
      </c>
      <c r="D606">
        <v>8</v>
      </c>
      <c r="E606">
        <v>3</v>
      </c>
      <c r="F606">
        <v>31</v>
      </c>
      <c r="G606">
        <v>0</v>
      </c>
      <c r="H606">
        <v>55</v>
      </c>
    </row>
    <row r="607" spans="1:8" x14ac:dyDescent="0.3">
      <c r="A607" s="16" t="s">
        <v>1334</v>
      </c>
      <c r="B607">
        <v>140</v>
      </c>
      <c r="C607">
        <v>8</v>
      </c>
      <c r="D607">
        <v>0.5</v>
      </c>
      <c r="E607">
        <v>2</v>
      </c>
      <c r="F607">
        <v>16</v>
      </c>
      <c r="G607">
        <v>0</v>
      </c>
      <c r="H607">
        <v>140</v>
      </c>
    </row>
    <row r="608" spans="1:8" x14ac:dyDescent="0.3">
      <c r="A608" s="16" t="s">
        <v>1335</v>
      </c>
      <c r="B608">
        <v>95</v>
      </c>
      <c r="C608">
        <v>0.3</v>
      </c>
      <c r="D608">
        <v>0.1</v>
      </c>
      <c r="E608">
        <v>0.5</v>
      </c>
      <c r="F608">
        <v>25</v>
      </c>
      <c r="G608">
        <v>4.4000000000000004</v>
      </c>
      <c r="H608">
        <v>2</v>
      </c>
    </row>
    <row r="609" spans="1:8" x14ac:dyDescent="0.3">
      <c r="A609" s="16" t="s">
        <v>1339</v>
      </c>
      <c r="B609">
        <v>140</v>
      </c>
      <c r="C609">
        <v>6</v>
      </c>
      <c r="D609">
        <v>3.5</v>
      </c>
      <c r="E609">
        <v>4</v>
      </c>
      <c r="F609">
        <v>18</v>
      </c>
      <c r="G609">
        <v>0</v>
      </c>
      <c r="H609">
        <v>65</v>
      </c>
    </row>
    <row r="610" spans="1:8" x14ac:dyDescent="0.3">
      <c r="A610" s="16" t="s">
        <v>1341</v>
      </c>
      <c r="B610">
        <v>160</v>
      </c>
      <c r="C610">
        <v>9</v>
      </c>
      <c r="D610">
        <v>1.5</v>
      </c>
      <c r="E610">
        <v>2</v>
      </c>
      <c r="F610">
        <v>16</v>
      </c>
      <c r="G610">
        <v>1</v>
      </c>
      <c r="H610">
        <v>280</v>
      </c>
    </row>
    <row r="611" spans="1:8" x14ac:dyDescent="0.3">
      <c r="A611" s="16" t="s">
        <v>1342</v>
      </c>
      <c r="B611">
        <v>150</v>
      </c>
      <c r="C611">
        <v>8</v>
      </c>
      <c r="D611">
        <v>1.5</v>
      </c>
      <c r="E611">
        <v>2</v>
      </c>
      <c r="F611">
        <v>16</v>
      </c>
      <c r="G611">
        <v>1</v>
      </c>
      <c r="H611">
        <v>170</v>
      </c>
    </row>
    <row r="612" spans="1:8" x14ac:dyDescent="0.3">
      <c r="A612" s="16" t="s">
        <v>1343</v>
      </c>
      <c r="B612" s="17">
        <v>250</v>
      </c>
      <c r="C612" s="17">
        <v>0</v>
      </c>
      <c r="D612" s="17">
        <v>0</v>
      </c>
      <c r="E612" s="17">
        <v>0</v>
      </c>
      <c r="F612" s="17">
        <v>66</v>
      </c>
      <c r="G612" s="17">
        <v>0</v>
      </c>
      <c r="H612" s="17">
        <v>100</v>
      </c>
    </row>
    <row r="613" spans="1:8" x14ac:dyDescent="0.3">
      <c r="A613" s="16" t="s">
        <v>1344</v>
      </c>
      <c r="B613">
        <v>249</v>
      </c>
      <c r="C613">
        <v>5.9</v>
      </c>
      <c r="D613">
        <v>2.9</v>
      </c>
      <c r="E613">
        <v>11</v>
      </c>
      <c r="F613">
        <v>38</v>
      </c>
      <c r="G613">
        <v>1.5</v>
      </c>
      <c r="H613">
        <v>329</v>
      </c>
    </row>
    <row r="614" spans="1:8" x14ac:dyDescent="0.3">
      <c r="A614" s="16" t="s">
        <v>1345</v>
      </c>
      <c r="B614">
        <v>80</v>
      </c>
      <c r="C614">
        <v>1</v>
      </c>
      <c r="D614">
        <v>0</v>
      </c>
      <c r="E614">
        <v>2</v>
      </c>
      <c r="F614">
        <v>15</v>
      </c>
      <c r="G614">
        <v>1</v>
      </c>
      <c r="H614">
        <v>220</v>
      </c>
    </row>
    <row r="615" spans="1:8" x14ac:dyDescent="0.3">
      <c r="A615" s="16" t="s">
        <v>1354</v>
      </c>
      <c r="B615" s="17">
        <v>290</v>
      </c>
      <c r="C615" s="17">
        <v>3.5</v>
      </c>
      <c r="D615" s="17">
        <v>0.5</v>
      </c>
      <c r="E615" s="17">
        <v>9</v>
      </c>
      <c r="F615" s="17">
        <v>53</v>
      </c>
      <c r="G615" s="17">
        <v>2</v>
      </c>
      <c r="H615" s="17">
        <v>410</v>
      </c>
    </row>
    <row r="616" spans="1:8" x14ac:dyDescent="0.3">
      <c r="A616" s="16" t="s">
        <v>1355</v>
      </c>
      <c r="B616">
        <v>0</v>
      </c>
      <c r="C616">
        <v>0</v>
      </c>
      <c r="D616">
        <v>0</v>
      </c>
      <c r="E616">
        <v>0</v>
      </c>
      <c r="F616">
        <v>0</v>
      </c>
      <c r="G616">
        <v>0</v>
      </c>
      <c r="H616">
        <v>260</v>
      </c>
    </row>
    <row r="617" spans="1:8" x14ac:dyDescent="0.3">
      <c r="A617" s="16" t="s">
        <v>1356</v>
      </c>
      <c r="B617">
        <v>80</v>
      </c>
      <c r="C617">
        <v>0</v>
      </c>
      <c r="D617">
        <v>0</v>
      </c>
      <c r="E617">
        <v>1</v>
      </c>
      <c r="F617">
        <v>19</v>
      </c>
      <c r="G617">
        <v>0</v>
      </c>
      <c r="H617">
        <v>20</v>
      </c>
    </row>
    <row r="618" spans="1:8" x14ac:dyDescent="0.3">
      <c r="A618" s="16" t="s">
        <v>1358</v>
      </c>
      <c r="B618" s="17">
        <v>130</v>
      </c>
      <c r="C618" s="17">
        <v>5</v>
      </c>
      <c r="D618" s="17">
        <v>0.5</v>
      </c>
      <c r="E618" s="17">
        <v>2</v>
      </c>
      <c r="F618" s="17">
        <v>21</v>
      </c>
      <c r="G618" s="17">
        <v>2</v>
      </c>
      <c r="H618" s="17">
        <v>220</v>
      </c>
    </row>
    <row r="619" spans="1:8" x14ac:dyDescent="0.3">
      <c r="A619" s="16" t="s">
        <v>1362</v>
      </c>
      <c r="B619">
        <v>90</v>
      </c>
      <c r="C619">
        <v>6</v>
      </c>
      <c r="D619">
        <v>3.5</v>
      </c>
      <c r="E619">
        <v>7</v>
      </c>
      <c r="F619">
        <v>2</v>
      </c>
      <c r="G619">
        <v>0</v>
      </c>
      <c r="H619">
        <v>210</v>
      </c>
    </row>
    <row r="620" spans="1:8" x14ac:dyDescent="0.3">
      <c r="A620" s="16" t="s">
        <v>1363</v>
      </c>
      <c r="B620">
        <f>B173+B171+B170+B168+B161*2+B251+B172*4+B456</f>
        <v>725</v>
      </c>
      <c r="C620">
        <f t="shared" ref="C620:H620" si="127">C173+C171+C170+C168+C161*2+C251+C172*4+C456</f>
        <v>15.325000000000001</v>
      </c>
      <c r="D620">
        <f t="shared" si="127"/>
        <v>3.4250000000000003</v>
      </c>
      <c r="E620">
        <f t="shared" si="127"/>
        <v>27.974999999999998</v>
      </c>
      <c r="F620">
        <f t="shared" si="127"/>
        <v>115.64999999999998</v>
      </c>
      <c r="G620">
        <f t="shared" si="127"/>
        <v>8.6750000000000007</v>
      </c>
      <c r="H620">
        <f t="shared" si="127"/>
        <v>2277.5</v>
      </c>
    </row>
    <row r="621" spans="1:8" x14ac:dyDescent="0.3">
      <c r="A621" s="16" t="s">
        <v>1366</v>
      </c>
      <c r="B621">
        <v>190</v>
      </c>
      <c r="C621">
        <v>11</v>
      </c>
      <c r="D621">
        <v>6</v>
      </c>
      <c r="E621">
        <v>16</v>
      </c>
      <c r="F621">
        <v>7</v>
      </c>
      <c r="G621">
        <v>1</v>
      </c>
      <c r="H621">
        <v>310</v>
      </c>
    </row>
    <row r="622" spans="1:8" x14ac:dyDescent="0.3">
      <c r="A622" s="16" t="s">
        <v>1374</v>
      </c>
      <c r="B622" s="17">
        <v>160</v>
      </c>
      <c r="C622" s="17">
        <v>0</v>
      </c>
      <c r="D622" s="17">
        <v>0</v>
      </c>
      <c r="E622" s="17">
        <v>0</v>
      </c>
      <c r="F622" s="17">
        <v>40</v>
      </c>
      <c r="G622" s="17">
        <v>0</v>
      </c>
      <c r="H622" s="17">
        <v>125</v>
      </c>
    </row>
    <row r="623" spans="1:8" x14ac:dyDescent="0.3">
      <c r="A623" s="16" t="s">
        <v>1377</v>
      </c>
      <c r="B623" s="17">
        <v>210</v>
      </c>
      <c r="C623" s="17">
        <v>12</v>
      </c>
      <c r="D623" s="17">
        <v>9</v>
      </c>
      <c r="E623" s="17">
        <v>24</v>
      </c>
      <c r="F623" s="17">
        <v>3</v>
      </c>
      <c r="G623" s="17">
        <v>0</v>
      </c>
      <c r="H623" s="17">
        <v>540</v>
      </c>
    </row>
    <row r="624" spans="1:8" x14ac:dyDescent="0.3">
      <c r="A624" s="16" t="s">
        <v>1385</v>
      </c>
      <c r="B624">
        <f>B343*1.5</f>
        <v>135</v>
      </c>
      <c r="C624">
        <f t="shared" ref="C624:H624" si="128">C343*1.5</f>
        <v>0</v>
      </c>
      <c r="D624">
        <f t="shared" si="128"/>
        <v>0</v>
      </c>
      <c r="E624">
        <f t="shared" si="128"/>
        <v>0</v>
      </c>
      <c r="F624">
        <f t="shared" si="128"/>
        <v>37.5</v>
      </c>
      <c r="G624">
        <f t="shared" si="128"/>
        <v>0</v>
      </c>
      <c r="H624">
        <f t="shared" si="128"/>
        <v>45</v>
      </c>
    </row>
    <row r="625" spans="1:8" x14ac:dyDescent="0.3">
      <c r="A625" s="16" t="s">
        <v>1389</v>
      </c>
      <c r="B625" s="17">
        <f>B37*(4/3)+B41*(3/4)</f>
        <v>366.91666666666663</v>
      </c>
      <c r="C625" s="17">
        <f t="shared" ref="C625:H625" si="129">C37*(4/3)+C41*(3/4)</f>
        <v>24</v>
      </c>
      <c r="D625" s="17">
        <f t="shared" si="129"/>
        <v>6.6666666666666661</v>
      </c>
      <c r="E625" s="17">
        <f t="shared" si="129"/>
        <v>27.416666666666664</v>
      </c>
      <c r="F625" s="17">
        <f t="shared" si="129"/>
        <v>11.166666666666666</v>
      </c>
      <c r="G625" s="17">
        <f t="shared" si="129"/>
        <v>3.4166666666666665</v>
      </c>
      <c r="H625" s="17">
        <f t="shared" si="129"/>
        <v>468.16666666666663</v>
      </c>
    </row>
    <row r="626" spans="1:8" x14ac:dyDescent="0.3">
      <c r="A626" s="16" t="s">
        <v>1394</v>
      </c>
      <c r="B626" s="17">
        <v>90</v>
      </c>
      <c r="C626" s="17">
        <v>7</v>
      </c>
      <c r="D626" s="17">
        <v>4.5</v>
      </c>
      <c r="E626" s="17">
        <v>7</v>
      </c>
      <c r="F626" s="17">
        <v>0</v>
      </c>
      <c r="G626" s="17">
        <v>0</v>
      </c>
      <c r="H626" s="17">
        <v>170</v>
      </c>
    </row>
    <row r="627" spans="1:8" x14ac:dyDescent="0.3">
      <c r="A627" s="16" t="s">
        <v>1395</v>
      </c>
      <c r="B627" s="17">
        <v>200</v>
      </c>
      <c r="C627" s="17">
        <v>2</v>
      </c>
      <c r="D627" s="17">
        <v>0</v>
      </c>
      <c r="E627" s="17">
        <v>8</v>
      </c>
      <c r="F627" s="17">
        <v>38</v>
      </c>
      <c r="G627" s="17">
        <v>4</v>
      </c>
      <c r="H627" s="17">
        <v>400</v>
      </c>
    </row>
    <row r="628" spans="1:8" x14ac:dyDescent="0.3">
      <c r="A628" s="16" t="s">
        <v>1396</v>
      </c>
      <c r="B628" s="17">
        <v>50</v>
      </c>
      <c r="C628" s="17">
        <v>4</v>
      </c>
      <c r="D628" s="17">
        <v>2.5</v>
      </c>
      <c r="E628" s="17">
        <v>1</v>
      </c>
      <c r="F628" s="17">
        <v>2</v>
      </c>
      <c r="G628" s="17">
        <v>0</v>
      </c>
      <c r="H628" s="17">
        <v>85</v>
      </c>
    </row>
    <row r="629" spans="1:8" x14ac:dyDescent="0.3">
      <c r="A629" s="16" t="s">
        <v>1402</v>
      </c>
      <c r="B629">
        <f>320*4</f>
        <v>1280</v>
      </c>
      <c r="C629">
        <f>14*4</f>
        <v>56</v>
      </c>
      <c r="D629">
        <f>7*4</f>
        <v>28</v>
      </c>
      <c r="E629">
        <f>13*4</f>
        <v>52</v>
      </c>
      <c r="F629">
        <f>34*4</f>
        <v>136</v>
      </c>
      <c r="G629">
        <f>2*4</f>
        <v>8</v>
      </c>
      <c r="H629">
        <f>710*4</f>
        <v>2840</v>
      </c>
    </row>
    <row r="630" spans="1:8" x14ac:dyDescent="0.3">
      <c r="A630" s="16" t="s">
        <v>1404</v>
      </c>
      <c r="B630">
        <v>850</v>
      </c>
      <c r="C630">
        <v>35</v>
      </c>
      <c r="D630">
        <v>11</v>
      </c>
      <c r="E630">
        <v>29</v>
      </c>
      <c r="F630">
        <v>104</v>
      </c>
      <c r="G630">
        <v>7</v>
      </c>
      <c r="H630">
        <v>1560</v>
      </c>
    </row>
    <row r="631" spans="1:8" x14ac:dyDescent="0.3">
      <c r="A631" s="16" t="s">
        <v>1407</v>
      </c>
      <c r="B631" s="17">
        <v>160</v>
      </c>
      <c r="C631" s="17">
        <v>13</v>
      </c>
      <c r="D631" s="17">
        <v>1.5</v>
      </c>
      <c r="E631" s="17">
        <v>6</v>
      </c>
      <c r="F631" s="17">
        <v>8</v>
      </c>
      <c r="G631" s="17">
        <v>3</v>
      </c>
      <c r="H631" s="17">
        <v>135</v>
      </c>
    </row>
    <row r="632" spans="1:8" x14ac:dyDescent="0.3">
      <c r="A632" s="16" t="s">
        <v>1418</v>
      </c>
      <c r="B632">
        <v>260</v>
      </c>
      <c r="C632">
        <v>7</v>
      </c>
      <c r="D632">
        <v>4.5</v>
      </c>
      <c r="E632">
        <v>7</v>
      </c>
      <c r="F632">
        <v>41</v>
      </c>
      <c r="G632">
        <v>0</v>
      </c>
      <c r="H632">
        <v>100</v>
      </c>
    </row>
    <row r="633" spans="1:8" x14ac:dyDescent="0.3">
      <c r="A633" s="16" t="s">
        <v>1419</v>
      </c>
      <c r="B633">
        <v>450</v>
      </c>
      <c r="C633">
        <v>28</v>
      </c>
      <c r="D633">
        <v>4.5</v>
      </c>
      <c r="E633">
        <v>5</v>
      </c>
      <c r="F633">
        <v>42</v>
      </c>
      <c r="G633">
        <v>2</v>
      </c>
      <c r="H633">
        <v>680</v>
      </c>
    </row>
    <row r="634" spans="1:8" x14ac:dyDescent="0.3">
      <c r="A634" s="16" t="s">
        <v>1420</v>
      </c>
      <c r="B634">
        <f>4*200</f>
        <v>800</v>
      </c>
      <c r="C634">
        <f>4*8</f>
        <v>32</v>
      </c>
      <c r="D634">
        <f>8*1.5</f>
        <v>12</v>
      </c>
      <c r="E634">
        <f>4*5</f>
        <v>20</v>
      </c>
      <c r="F634">
        <f>4*26</f>
        <v>104</v>
      </c>
      <c r="G634">
        <f>4*1</f>
        <v>4</v>
      </c>
      <c r="H634">
        <f>4*260</f>
        <v>1040</v>
      </c>
    </row>
    <row r="635" spans="1:8" x14ac:dyDescent="0.3">
      <c r="A635" s="16" t="s">
        <v>1421</v>
      </c>
      <c r="B635">
        <v>70</v>
      </c>
      <c r="C635">
        <v>6</v>
      </c>
      <c r="D635">
        <v>3.5</v>
      </c>
      <c r="E635">
        <v>5</v>
      </c>
      <c r="F635">
        <v>0</v>
      </c>
      <c r="G635">
        <v>0</v>
      </c>
      <c r="H635">
        <v>115</v>
      </c>
    </row>
    <row r="636" spans="1:8" x14ac:dyDescent="0.3">
      <c r="A636" s="16" t="s">
        <v>1422</v>
      </c>
      <c r="B636">
        <v>890</v>
      </c>
      <c r="C636">
        <v>42</v>
      </c>
      <c r="D636">
        <v>19</v>
      </c>
      <c r="E636">
        <v>33</v>
      </c>
      <c r="F636">
        <v>95</v>
      </c>
      <c r="G636">
        <v>5</v>
      </c>
      <c r="H636">
        <v>2140</v>
      </c>
    </row>
    <row r="637" spans="1:8" x14ac:dyDescent="0.3">
      <c r="A637" s="16" t="s">
        <v>1423</v>
      </c>
      <c r="B637">
        <f>3.5*130</f>
        <v>455</v>
      </c>
      <c r="C637">
        <f>3.5*3.5</f>
        <v>12.25</v>
      </c>
      <c r="D637">
        <f>3.5*0.5</f>
        <v>1.75</v>
      </c>
      <c r="E637">
        <f>3.5*2</f>
        <v>7</v>
      </c>
      <c r="F637">
        <f>3.5*23</f>
        <v>80.5</v>
      </c>
      <c r="G637">
        <f>3.5*2</f>
        <v>7</v>
      </c>
      <c r="H637">
        <f>3.5*230</f>
        <v>805</v>
      </c>
    </row>
    <row r="638" spans="1:8" x14ac:dyDescent="0.3">
      <c r="A638" s="16" t="s">
        <v>1424</v>
      </c>
      <c r="B638">
        <v>70</v>
      </c>
      <c r="C638">
        <v>5</v>
      </c>
      <c r="D638">
        <v>3</v>
      </c>
      <c r="E638">
        <v>4</v>
      </c>
      <c r="F638">
        <v>0</v>
      </c>
      <c r="G638">
        <v>0</v>
      </c>
      <c r="H638">
        <v>105</v>
      </c>
    </row>
    <row r="639" spans="1:8" x14ac:dyDescent="0.3">
      <c r="A639" s="16" t="s">
        <v>1425</v>
      </c>
      <c r="B639">
        <v>400</v>
      </c>
      <c r="C639">
        <v>22</v>
      </c>
      <c r="D639">
        <v>9</v>
      </c>
      <c r="E639">
        <v>19</v>
      </c>
      <c r="F639">
        <v>38</v>
      </c>
      <c r="G639">
        <v>3</v>
      </c>
      <c r="H639">
        <v>920</v>
      </c>
    </row>
    <row r="640" spans="1:8" x14ac:dyDescent="0.3">
      <c r="A640" s="16" t="s">
        <v>1426</v>
      </c>
      <c r="B640">
        <v>240</v>
      </c>
      <c r="C640">
        <v>2.5</v>
      </c>
      <c r="D640">
        <v>0.5</v>
      </c>
      <c r="E640">
        <v>9</v>
      </c>
      <c r="F640">
        <v>47</v>
      </c>
      <c r="G640">
        <v>3</v>
      </c>
      <c r="H640">
        <v>600</v>
      </c>
    </row>
    <row r="641" spans="1:8" x14ac:dyDescent="0.3">
      <c r="A641" s="16" t="s">
        <v>1427</v>
      </c>
      <c r="B641">
        <v>240</v>
      </c>
      <c r="C641">
        <v>2</v>
      </c>
      <c r="D641">
        <v>0.5</v>
      </c>
      <c r="E641">
        <v>8</v>
      </c>
      <c r="F641">
        <v>46</v>
      </c>
      <c r="G641">
        <v>2</v>
      </c>
      <c r="H641">
        <v>630</v>
      </c>
    </row>
    <row r="642" spans="1:8" x14ac:dyDescent="0.3">
      <c r="A642" s="16" t="s">
        <v>1428</v>
      </c>
      <c r="B642">
        <f>110*2</f>
        <v>220</v>
      </c>
      <c r="C642">
        <f>2.5*2</f>
        <v>5</v>
      </c>
      <c r="D642">
        <f>1*2</f>
        <v>2</v>
      </c>
      <c r="E642">
        <f>3*2</f>
        <v>6</v>
      </c>
      <c r="F642">
        <f>19*2</f>
        <v>38</v>
      </c>
      <c r="G642">
        <f>2*2</f>
        <v>4</v>
      </c>
      <c r="H642">
        <f>340*2</f>
        <v>680</v>
      </c>
    </row>
    <row r="643" spans="1:8" x14ac:dyDescent="0.3">
      <c r="A643" s="16" t="s">
        <v>1433</v>
      </c>
      <c r="B643">
        <v>827</v>
      </c>
      <c r="C643">
        <v>72</v>
      </c>
      <c r="D643">
        <v>10</v>
      </c>
      <c r="E643">
        <v>38</v>
      </c>
      <c r="F643">
        <v>24</v>
      </c>
      <c r="G643">
        <v>13</v>
      </c>
      <c r="H643">
        <v>26</v>
      </c>
    </row>
    <row r="644" spans="1:8" x14ac:dyDescent="0.3">
      <c r="A644" s="16" t="s">
        <v>1442</v>
      </c>
      <c r="B644">
        <v>25</v>
      </c>
      <c r="C644">
        <v>1</v>
      </c>
      <c r="D644">
        <v>0</v>
      </c>
      <c r="E644">
        <v>0</v>
      </c>
      <c r="F644">
        <v>4</v>
      </c>
      <c r="G644">
        <v>0</v>
      </c>
      <c r="H644">
        <v>20</v>
      </c>
    </row>
    <row r="645" spans="1:8" x14ac:dyDescent="0.3">
      <c r="A645" s="16" t="s">
        <v>1443</v>
      </c>
      <c r="B645">
        <v>70</v>
      </c>
      <c r="C645">
        <v>4.5</v>
      </c>
      <c r="D645">
        <v>2.5</v>
      </c>
      <c r="E645">
        <v>5</v>
      </c>
      <c r="F645">
        <v>1</v>
      </c>
      <c r="G645">
        <v>0</v>
      </c>
      <c r="H645">
        <v>150</v>
      </c>
    </row>
    <row r="646" spans="1:8" x14ac:dyDescent="0.3">
      <c r="A646" s="16" t="s">
        <v>1444</v>
      </c>
      <c r="B646">
        <v>270</v>
      </c>
      <c r="C646">
        <v>1.5</v>
      </c>
      <c r="D646">
        <v>0.5</v>
      </c>
      <c r="E646">
        <v>9</v>
      </c>
      <c r="F646">
        <v>53</v>
      </c>
      <c r="G646">
        <v>2</v>
      </c>
      <c r="H646">
        <v>450</v>
      </c>
    </row>
    <row r="647" spans="1:8" x14ac:dyDescent="0.3">
      <c r="A647" s="16" t="s">
        <v>1445</v>
      </c>
      <c r="B647">
        <v>100</v>
      </c>
      <c r="C647">
        <v>10</v>
      </c>
      <c r="D647">
        <v>6</v>
      </c>
      <c r="E647">
        <v>2</v>
      </c>
      <c r="F647">
        <v>2</v>
      </c>
      <c r="G647">
        <v>0</v>
      </c>
      <c r="H647">
        <v>105</v>
      </c>
    </row>
    <row r="648" spans="1:8" x14ac:dyDescent="0.3">
      <c r="A648" s="16" t="s">
        <v>1446</v>
      </c>
      <c r="B648">
        <v>80</v>
      </c>
      <c r="C648">
        <v>6</v>
      </c>
      <c r="D648">
        <v>3.5</v>
      </c>
      <c r="E648">
        <v>6</v>
      </c>
      <c r="F648">
        <v>1</v>
      </c>
      <c r="G648">
        <v>0</v>
      </c>
      <c r="H648">
        <v>150</v>
      </c>
    </row>
    <row r="649" spans="1:8" x14ac:dyDescent="0.3">
      <c r="A649" s="16" t="s">
        <v>1447</v>
      </c>
      <c r="B649">
        <v>90</v>
      </c>
      <c r="C649">
        <v>8</v>
      </c>
      <c r="D649">
        <v>4.5</v>
      </c>
      <c r="E649">
        <v>6</v>
      </c>
      <c r="F649">
        <v>0</v>
      </c>
      <c r="G649">
        <v>0</v>
      </c>
      <c r="H649">
        <v>160</v>
      </c>
    </row>
    <row r="650" spans="1:8" x14ac:dyDescent="0.3">
      <c r="A650" s="16" t="s">
        <v>1457</v>
      </c>
      <c r="B650">
        <v>70</v>
      </c>
      <c r="C650">
        <v>6</v>
      </c>
      <c r="D650">
        <v>3.5</v>
      </c>
      <c r="E650">
        <v>5</v>
      </c>
      <c r="F650">
        <v>0</v>
      </c>
      <c r="G650">
        <v>0</v>
      </c>
      <c r="H650">
        <v>35</v>
      </c>
    </row>
    <row r="651" spans="1:8" x14ac:dyDescent="0.3">
      <c r="A651" s="16" t="s">
        <v>1458</v>
      </c>
      <c r="B651">
        <v>60</v>
      </c>
      <c r="C651">
        <v>2</v>
      </c>
      <c r="D651">
        <v>1</v>
      </c>
      <c r="E651">
        <v>0</v>
      </c>
      <c r="F651">
        <v>9</v>
      </c>
      <c r="G651">
        <v>0</v>
      </c>
      <c r="H651">
        <v>0</v>
      </c>
    </row>
    <row r="652" spans="1:8" x14ac:dyDescent="0.3">
      <c r="A652" s="16" t="s">
        <v>1459</v>
      </c>
      <c r="B652">
        <v>180</v>
      </c>
      <c r="C652">
        <v>0</v>
      </c>
      <c r="D652">
        <v>0</v>
      </c>
      <c r="E652">
        <v>6</v>
      </c>
      <c r="F652">
        <v>39</v>
      </c>
      <c r="G652">
        <v>1</v>
      </c>
      <c r="H652">
        <v>210</v>
      </c>
    </row>
    <row r="653" spans="1:8" x14ac:dyDescent="0.3">
      <c r="A653" s="16" t="s">
        <v>1460</v>
      </c>
      <c r="B653">
        <v>100</v>
      </c>
      <c r="C653">
        <v>1</v>
      </c>
      <c r="D653">
        <v>0</v>
      </c>
      <c r="E653">
        <v>4</v>
      </c>
      <c r="F653">
        <v>20</v>
      </c>
      <c r="G653">
        <v>5</v>
      </c>
      <c r="H653">
        <v>180</v>
      </c>
    </row>
    <row r="654" spans="1:8" x14ac:dyDescent="0.3">
      <c r="A654" s="16" t="s">
        <v>1461</v>
      </c>
      <c r="B654">
        <v>170</v>
      </c>
      <c r="C654">
        <v>15</v>
      </c>
      <c r="D654">
        <v>2</v>
      </c>
      <c r="E654">
        <v>6</v>
      </c>
      <c r="F654">
        <v>5</v>
      </c>
      <c r="G654">
        <v>2</v>
      </c>
      <c r="H654">
        <v>85</v>
      </c>
    </row>
    <row r="655" spans="1:8" x14ac:dyDescent="0.3">
      <c r="A655" s="16" t="s">
        <v>1462</v>
      </c>
      <c r="B655">
        <v>150</v>
      </c>
      <c r="C655">
        <v>1</v>
      </c>
      <c r="D655">
        <v>0</v>
      </c>
      <c r="E655">
        <v>5</v>
      </c>
      <c r="F655">
        <v>31</v>
      </c>
      <c r="G655">
        <v>1</v>
      </c>
      <c r="H655">
        <v>350</v>
      </c>
    </row>
    <row r="656" spans="1:8" x14ac:dyDescent="0.3">
      <c r="A656" s="16" t="s">
        <v>1475</v>
      </c>
      <c r="B656" s="17">
        <v>310</v>
      </c>
      <c r="C656" s="17">
        <v>6</v>
      </c>
      <c r="D656" s="17">
        <v>1</v>
      </c>
      <c r="E656" s="17">
        <v>9</v>
      </c>
      <c r="F656" s="17">
        <v>53</v>
      </c>
      <c r="G656" s="17">
        <v>2</v>
      </c>
      <c r="H656" s="17">
        <v>860</v>
      </c>
    </row>
    <row r="657" spans="1:8" x14ac:dyDescent="0.3">
      <c r="A657" s="16" t="s">
        <v>1483</v>
      </c>
      <c r="B657">
        <f>150*5</f>
        <v>750</v>
      </c>
      <c r="C657">
        <f>6*5</f>
        <v>30</v>
      </c>
      <c r="D657">
        <f>3.5*5</f>
        <v>17.5</v>
      </c>
      <c r="E657">
        <f>2*5</f>
        <v>10</v>
      </c>
      <c r="F657">
        <f>23*5</f>
        <v>115</v>
      </c>
      <c r="G657">
        <f>1*5</f>
        <v>5</v>
      </c>
      <c r="H657">
        <f>480*5</f>
        <v>2400</v>
      </c>
    </row>
    <row r="658" spans="1:8" x14ac:dyDescent="0.3">
      <c r="A658" s="16" t="s">
        <v>1487</v>
      </c>
      <c r="B658">
        <f>140*2</f>
        <v>280</v>
      </c>
      <c r="C658">
        <f>4*2</f>
        <v>8</v>
      </c>
      <c r="D658">
        <f>1*2</f>
        <v>2</v>
      </c>
      <c r="E658">
        <f>4*2</f>
        <v>8</v>
      </c>
      <c r="F658">
        <f>21*2</f>
        <v>42</v>
      </c>
      <c r="G658">
        <f>1*2</f>
        <v>2</v>
      </c>
      <c r="H658">
        <f>330*2</f>
        <v>660</v>
      </c>
    </row>
    <row r="659" spans="1:8" x14ac:dyDescent="0.3">
      <c r="A659" s="16" t="s">
        <v>1488</v>
      </c>
      <c r="B659">
        <v>180</v>
      </c>
      <c r="C659">
        <v>0</v>
      </c>
      <c r="D659">
        <v>0</v>
      </c>
      <c r="E659">
        <v>6</v>
      </c>
      <c r="F659">
        <v>39</v>
      </c>
      <c r="G659">
        <v>1</v>
      </c>
      <c r="H659">
        <v>210</v>
      </c>
    </row>
    <row r="660" spans="1:8" x14ac:dyDescent="0.3">
      <c r="A660" s="16" t="s">
        <v>1490</v>
      </c>
      <c r="B660">
        <v>380</v>
      </c>
      <c r="C660">
        <v>11</v>
      </c>
      <c r="D660">
        <v>2</v>
      </c>
      <c r="E660">
        <v>11</v>
      </c>
      <c r="F660">
        <v>59</v>
      </c>
      <c r="G660">
        <v>3</v>
      </c>
      <c r="H660">
        <v>910</v>
      </c>
    </row>
    <row r="661" spans="1:8" x14ac:dyDescent="0.3">
      <c r="A661" s="16" t="s">
        <v>1497</v>
      </c>
      <c r="B661">
        <v>160</v>
      </c>
      <c r="C661">
        <v>13</v>
      </c>
      <c r="D661">
        <v>1.5</v>
      </c>
      <c r="E661">
        <v>6</v>
      </c>
      <c r="F661">
        <v>8</v>
      </c>
      <c r="G661">
        <v>33</v>
      </c>
      <c r="H661">
        <v>230</v>
      </c>
    </row>
    <row r="662" spans="1:8" x14ac:dyDescent="0.3">
      <c r="A662" s="16" t="s">
        <v>1498</v>
      </c>
      <c r="B662">
        <v>190</v>
      </c>
      <c r="C662">
        <v>8</v>
      </c>
      <c r="D662">
        <v>1</v>
      </c>
      <c r="E662">
        <v>13</v>
      </c>
      <c r="F662">
        <v>18</v>
      </c>
      <c r="G662">
        <v>4</v>
      </c>
      <c r="H662">
        <v>300</v>
      </c>
    </row>
    <row r="663" spans="1:8" x14ac:dyDescent="0.3">
      <c r="A663" s="16" t="s">
        <v>1499</v>
      </c>
      <c r="B663">
        <v>180</v>
      </c>
      <c r="C663">
        <v>7</v>
      </c>
      <c r="D663">
        <v>2</v>
      </c>
      <c r="E663">
        <v>9</v>
      </c>
      <c r="F663">
        <v>21</v>
      </c>
      <c r="G663">
        <v>3</v>
      </c>
      <c r="H663">
        <v>410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468"/>
  <sheetViews>
    <sheetView tabSelected="1" topLeftCell="Y1" zoomScale="74" zoomScaleNormal="85" workbookViewId="0">
      <pane ySplit="1" topLeftCell="A294" activePane="bottomLeft" state="frozen"/>
      <selection pane="bottomLeft" activeCell="Z302" sqref="Z302"/>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ustomWidth="1"/>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28" customWidth="1"/>
    <col min="47" max="47" width="29.44140625" style="27" customWidth="1"/>
    <col min="48" max="48" width="32.6640625" style="28"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65" width="9.109375" style="11"/>
    <col min="66"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28" t="s">
        <v>21</v>
      </c>
      <c r="AS1" s="27" t="s">
        <v>91</v>
      </c>
      <c r="AT1" s="27" t="s">
        <v>92</v>
      </c>
      <c r="AU1" s="27" t="s">
        <v>98</v>
      </c>
      <c r="AV1" s="2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11"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28" t="s">
        <v>72</v>
      </c>
      <c r="AS2" s="28">
        <v>0</v>
      </c>
      <c r="AT2" s="28" t="s">
        <v>97</v>
      </c>
      <c r="AU2" s="27">
        <v>0</v>
      </c>
      <c r="AV2" s="28">
        <f>-10</f>
        <v>-10</v>
      </c>
      <c r="AW2" s="3">
        <v>31</v>
      </c>
      <c r="AX2" s="3">
        <v>1</v>
      </c>
      <c r="AY2" s="5">
        <v>7</v>
      </c>
      <c r="AZ2" s="3">
        <v>1</v>
      </c>
      <c r="BA2" s="3">
        <v>1</v>
      </c>
      <c r="BB2" s="3">
        <v>1</v>
      </c>
      <c r="BC2" s="3">
        <v>1</v>
      </c>
      <c r="BD2" s="3">
        <v>1</v>
      </c>
      <c r="BE2" s="3">
        <v>0</v>
      </c>
      <c r="BF2" s="3">
        <v>0</v>
      </c>
      <c r="BG2" s="3">
        <v>0</v>
      </c>
      <c r="BH2" s="3">
        <v>0</v>
      </c>
      <c r="BI2" s="3">
        <v>0</v>
      </c>
      <c r="BJ2" s="3">
        <v>0</v>
      </c>
      <c r="BK2" s="3">
        <v>0</v>
      </c>
      <c r="BL2" s="3">
        <v>0</v>
      </c>
      <c r="BM2" s="11">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28">
        <v>0</v>
      </c>
      <c r="AS3" s="28">
        <v>0</v>
      </c>
      <c r="AT3" s="28">
        <v>0</v>
      </c>
      <c r="AU3" s="27">
        <v>0</v>
      </c>
      <c r="AV3" s="28">
        <v>0</v>
      </c>
      <c r="AW3" s="3">
        <v>31</v>
      </c>
      <c r="AX3" s="3">
        <v>1</v>
      </c>
      <c r="AY3" s="5">
        <v>7</v>
      </c>
      <c r="AZ3" s="3">
        <v>1</v>
      </c>
      <c r="BA3" s="3">
        <v>1</v>
      </c>
      <c r="BB3" s="3">
        <v>1</v>
      </c>
      <c r="BC3" s="3">
        <v>1</v>
      </c>
      <c r="BD3" s="3">
        <v>1</v>
      </c>
      <c r="BE3" s="3">
        <v>0</v>
      </c>
      <c r="BF3" s="3">
        <v>0</v>
      </c>
      <c r="BG3" s="3">
        <v>0</v>
      </c>
      <c r="BH3" s="3">
        <v>0</v>
      </c>
      <c r="BI3" s="3">
        <v>0</v>
      </c>
      <c r="BJ3" s="3">
        <v>1</v>
      </c>
      <c r="BK3" s="3">
        <v>0</v>
      </c>
      <c r="BL3" s="3">
        <v>0</v>
      </c>
      <c r="BM3" s="11">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28">
        <v>0</v>
      </c>
      <c r="AS4" s="28">
        <v>0</v>
      </c>
      <c r="AT4" s="28">
        <v>0</v>
      </c>
      <c r="AU4" s="27">
        <v>0</v>
      </c>
      <c r="AV4" s="28">
        <v>0</v>
      </c>
      <c r="AW4" s="3">
        <v>31</v>
      </c>
      <c r="AX4" s="3">
        <v>1</v>
      </c>
      <c r="AY4" s="5">
        <v>7</v>
      </c>
      <c r="AZ4" s="3">
        <v>0</v>
      </c>
      <c r="BA4" s="3">
        <v>1</v>
      </c>
      <c r="BB4" s="3">
        <v>0</v>
      </c>
      <c r="BC4" s="3">
        <v>1</v>
      </c>
      <c r="BD4" s="3">
        <v>1</v>
      </c>
      <c r="BE4" s="3">
        <v>0</v>
      </c>
      <c r="BF4" s="3">
        <v>0</v>
      </c>
      <c r="BG4" s="3">
        <v>0</v>
      </c>
      <c r="BH4" s="3">
        <v>0</v>
      </c>
      <c r="BI4" s="3">
        <v>0</v>
      </c>
      <c r="BJ4" s="3">
        <v>0</v>
      </c>
      <c r="BK4" s="3">
        <v>0</v>
      </c>
      <c r="BL4" s="3">
        <v>0</v>
      </c>
      <c r="BM4" s="11">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28" t="s">
        <v>113</v>
      </c>
      <c r="AS5" s="28">
        <v>0</v>
      </c>
      <c r="AT5" s="28">
        <v>0</v>
      </c>
      <c r="AU5" s="27">
        <v>0</v>
      </c>
      <c r="AV5" s="28">
        <v>0</v>
      </c>
      <c r="AW5" s="3">
        <v>31</v>
      </c>
      <c r="AX5" s="3">
        <v>1</v>
      </c>
      <c r="AY5" s="5">
        <v>8.5</v>
      </c>
      <c r="AZ5" s="3">
        <v>1</v>
      </c>
      <c r="BA5" s="3">
        <v>1</v>
      </c>
      <c r="BB5" s="3">
        <v>1</v>
      </c>
      <c r="BC5" s="3">
        <v>1</v>
      </c>
      <c r="BD5" s="3">
        <v>1</v>
      </c>
      <c r="BE5" s="3">
        <v>0</v>
      </c>
      <c r="BF5" s="3">
        <v>0</v>
      </c>
      <c r="BG5" s="3">
        <v>0</v>
      </c>
      <c r="BH5" s="3">
        <v>0</v>
      </c>
      <c r="BI5" s="3">
        <v>0</v>
      </c>
      <c r="BJ5" s="3">
        <v>0</v>
      </c>
      <c r="BK5" s="3">
        <v>0</v>
      </c>
      <c r="BL5" s="3">
        <v>0</v>
      </c>
      <c r="BM5" s="11">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28">
        <v>0</v>
      </c>
      <c r="AS6" s="28">
        <v>0</v>
      </c>
      <c r="AT6" s="28">
        <v>0</v>
      </c>
      <c r="AU6" s="27">
        <v>0</v>
      </c>
      <c r="AV6" s="28">
        <v>0</v>
      </c>
      <c r="AW6" s="3">
        <v>31</v>
      </c>
      <c r="AX6" s="3">
        <v>1</v>
      </c>
      <c r="AY6" s="5">
        <v>7</v>
      </c>
      <c r="AZ6" s="3">
        <v>1</v>
      </c>
      <c r="BA6" s="3">
        <v>0</v>
      </c>
      <c r="BB6" s="3">
        <v>1</v>
      </c>
      <c r="BC6" s="3">
        <v>1</v>
      </c>
      <c r="BD6" s="3">
        <v>1</v>
      </c>
      <c r="BE6" s="3">
        <v>0</v>
      </c>
      <c r="BF6" s="3">
        <v>0</v>
      </c>
      <c r="BG6" s="3">
        <v>0</v>
      </c>
      <c r="BH6" s="3">
        <v>0</v>
      </c>
      <c r="BI6" s="3">
        <v>0</v>
      </c>
      <c r="BJ6" s="3">
        <v>0</v>
      </c>
      <c r="BK6" s="11">
        <v>5</v>
      </c>
      <c r="BL6" s="3" t="s">
        <v>972</v>
      </c>
      <c r="BM6" s="11">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28" t="s">
        <v>129</v>
      </c>
      <c r="AS7" s="28" t="s">
        <v>130</v>
      </c>
      <c r="AU7" s="27">
        <f>5+10+10</f>
        <v>25</v>
      </c>
      <c r="AV7" s="28">
        <v>0</v>
      </c>
      <c r="AW7" s="3">
        <v>31</v>
      </c>
      <c r="AX7" s="3">
        <v>1</v>
      </c>
      <c r="AY7" s="5">
        <v>6</v>
      </c>
      <c r="AZ7" s="3">
        <v>1</v>
      </c>
      <c r="BA7" s="3">
        <v>1</v>
      </c>
      <c r="BB7" s="3">
        <v>1</v>
      </c>
      <c r="BC7" s="3">
        <v>1</v>
      </c>
      <c r="BD7" s="3">
        <v>1</v>
      </c>
      <c r="BE7" s="3">
        <v>0</v>
      </c>
      <c r="BF7" s="3">
        <v>1</v>
      </c>
      <c r="BG7" s="3">
        <v>120</v>
      </c>
      <c r="BH7" s="3">
        <v>0</v>
      </c>
      <c r="BI7" s="3">
        <v>0</v>
      </c>
      <c r="BJ7" s="3">
        <v>0</v>
      </c>
      <c r="BK7" s="3">
        <v>0</v>
      </c>
      <c r="BL7" s="3">
        <v>0</v>
      </c>
      <c r="BM7" s="11">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28">
        <v>0</v>
      </c>
      <c r="AS8" s="28">
        <v>0</v>
      </c>
      <c r="AT8" s="28">
        <v>0</v>
      </c>
      <c r="AU8" s="27">
        <v>0</v>
      </c>
      <c r="AV8" s="28">
        <v>0</v>
      </c>
      <c r="AW8" s="3">
        <v>31</v>
      </c>
      <c r="AX8" s="3">
        <v>1</v>
      </c>
      <c r="AY8" s="5">
        <v>6.5</v>
      </c>
      <c r="AZ8" s="3">
        <v>1</v>
      </c>
      <c r="BA8" s="3">
        <v>1</v>
      </c>
      <c r="BB8" s="3">
        <v>1</v>
      </c>
      <c r="BC8" s="3">
        <v>1</v>
      </c>
      <c r="BD8" s="3">
        <v>1</v>
      </c>
      <c r="BE8" s="3">
        <v>0</v>
      </c>
      <c r="BF8" s="3">
        <v>0</v>
      </c>
      <c r="BG8" s="3">
        <v>0</v>
      </c>
      <c r="BH8" s="3">
        <v>0</v>
      </c>
      <c r="BI8" s="3">
        <v>0</v>
      </c>
      <c r="BJ8" s="3">
        <v>0</v>
      </c>
      <c r="BK8" s="3">
        <v>0</v>
      </c>
      <c r="BL8" s="3">
        <v>0</v>
      </c>
      <c r="BM8" s="11">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28" t="s">
        <v>139</v>
      </c>
      <c r="AS9" s="28" t="s">
        <v>138</v>
      </c>
      <c r="AT9" s="28">
        <v>0</v>
      </c>
      <c r="AU9" s="27">
        <v>0</v>
      </c>
      <c r="AV9" s="28">
        <v>0</v>
      </c>
      <c r="AW9" s="3">
        <v>31</v>
      </c>
      <c r="AX9" s="3">
        <v>1</v>
      </c>
      <c r="AY9" s="5">
        <v>7.5</v>
      </c>
      <c r="AZ9" s="3">
        <v>1</v>
      </c>
      <c r="BA9" s="3">
        <v>1</v>
      </c>
      <c r="BB9" s="3">
        <v>1</v>
      </c>
      <c r="BC9" s="3">
        <v>1</v>
      </c>
      <c r="BD9" s="3">
        <v>1</v>
      </c>
      <c r="BE9" s="3">
        <v>0</v>
      </c>
      <c r="BF9" s="3">
        <v>1</v>
      </c>
      <c r="BG9" s="3">
        <v>30</v>
      </c>
      <c r="BH9" s="3">
        <v>0</v>
      </c>
      <c r="BI9" s="3">
        <v>0</v>
      </c>
      <c r="BJ9" s="3">
        <v>0</v>
      </c>
      <c r="BK9" s="3">
        <v>0</v>
      </c>
      <c r="BL9" s="3">
        <v>0</v>
      </c>
      <c r="BM9" s="11">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28" t="s">
        <v>139</v>
      </c>
      <c r="AS10" s="28" t="s">
        <v>138</v>
      </c>
      <c r="AT10" s="28">
        <v>0</v>
      </c>
      <c r="AU10" s="27">
        <v>0</v>
      </c>
      <c r="AV10" s="28">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11">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28">
        <v>0</v>
      </c>
      <c r="AS11" s="28">
        <v>0</v>
      </c>
      <c r="AT11" s="28">
        <v>0</v>
      </c>
      <c r="AU11" s="27">
        <v>0</v>
      </c>
      <c r="AV11" s="28">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11">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28" t="s">
        <v>147</v>
      </c>
      <c r="AS12" s="28" t="s">
        <v>149</v>
      </c>
      <c r="AT12" s="28" t="s">
        <v>148</v>
      </c>
      <c r="AU12" s="27">
        <v>20</v>
      </c>
      <c r="AV12" s="28">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11">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28" t="s">
        <v>147</v>
      </c>
      <c r="AS13" s="28" t="s">
        <v>149</v>
      </c>
      <c r="AT13" s="28" t="s">
        <v>148</v>
      </c>
      <c r="AU13" s="27">
        <v>20</v>
      </c>
      <c r="AV13" s="28">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11">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27">
        <v>0</v>
      </c>
      <c r="AS14" s="27">
        <v>0</v>
      </c>
      <c r="AT14" s="28">
        <v>0</v>
      </c>
      <c r="AU14" s="27">
        <v>0</v>
      </c>
      <c r="AV14" s="28">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11">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28" t="s">
        <v>159</v>
      </c>
      <c r="AS15" s="28" t="s">
        <v>160</v>
      </c>
      <c r="AU15" s="27">
        <f>5*7</f>
        <v>35</v>
      </c>
      <c r="AV15" s="28">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11">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28" t="s">
        <v>159</v>
      </c>
      <c r="AS16" s="28" t="s">
        <v>160</v>
      </c>
      <c r="AU16" s="27">
        <f>5*7</f>
        <v>35</v>
      </c>
      <c r="AV16" s="28">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11">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27">
        <v>0</v>
      </c>
      <c r="AS17" s="27">
        <v>0</v>
      </c>
      <c r="AT17" s="27">
        <v>0</v>
      </c>
      <c r="AU17" s="27">
        <v>0</v>
      </c>
      <c r="AV17" s="28">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11">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27">
        <v>0</v>
      </c>
      <c r="AS18" s="27">
        <v>0</v>
      </c>
      <c r="AT18" s="27">
        <v>0</v>
      </c>
      <c r="AU18" s="27">
        <v>0</v>
      </c>
      <c r="AV18" s="28">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11">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28" t="s">
        <v>171</v>
      </c>
      <c r="AS19" s="27">
        <v>0</v>
      </c>
      <c r="AT19" s="27">
        <v>0</v>
      </c>
      <c r="AU19" s="27">
        <v>0</v>
      </c>
      <c r="AV19" s="28">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11">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28" t="s">
        <v>171</v>
      </c>
      <c r="AS20" s="27">
        <v>0</v>
      </c>
      <c r="AT20" s="27">
        <v>0</v>
      </c>
      <c r="AU20" s="27">
        <v>0</v>
      </c>
      <c r="AV20" s="28">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11">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27">
        <v>0</v>
      </c>
      <c r="AS21" s="27">
        <v>0</v>
      </c>
      <c r="AT21" s="27">
        <v>0</v>
      </c>
      <c r="AU21" s="27">
        <v>0</v>
      </c>
      <c r="AV21" s="28">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11">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27">
        <v>0</v>
      </c>
      <c r="AS22" s="27">
        <v>0</v>
      </c>
      <c r="AT22" s="27">
        <v>0</v>
      </c>
      <c r="AU22" s="27">
        <v>0</v>
      </c>
      <c r="AV22" s="28">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11">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28" t="s">
        <v>193</v>
      </c>
      <c r="AS23" s="28" t="s">
        <v>254</v>
      </c>
      <c r="AT23" s="27" t="s">
        <v>255</v>
      </c>
      <c r="AU23" s="27">
        <v>10</v>
      </c>
      <c r="AV23" s="28">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11">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28" t="s">
        <v>193</v>
      </c>
      <c r="AS24" s="28" t="s">
        <v>254</v>
      </c>
      <c r="AT24" s="27" t="s">
        <v>255</v>
      </c>
      <c r="AU24" s="27">
        <v>10</v>
      </c>
      <c r="AV24" s="28">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11">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27">
        <v>0</v>
      </c>
      <c r="AS25" s="27">
        <v>0</v>
      </c>
      <c r="AT25" s="27">
        <v>0</v>
      </c>
      <c r="AU25" s="27">
        <v>0</v>
      </c>
      <c r="AV25" s="28">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11">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27">
        <v>0</v>
      </c>
      <c r="AS26" s="27">
        <v>0</v>
      </c>
      <c r="AT26" s="27">
        <v>0</v>
      </c>
      <c r="AU26" s="27">
        <v>0</v>
      </c>
      <c r="AV26" s="28">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11">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28" t="s">
        <v>257</v>
      </c>
      <c r="AS27" s="27" t="s">
        <v>260</v>
      </c>
      <c r="AT27" s="27">
        <v>0</v>
      </c>
      <c r="AU27" s="27">
        <f>5+10+5+5+5+10+10+10</f>
        <v>60</v>
      </c>
      <c r="AV27" s="2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11">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28" t="s">
        <v>257</v>
      </c>
      <c r="AS28" s="27" t="s">
        <v>260</v>
      </c>
      <c r="AT28" s="27">
        <v>0</v>
      </c>
      <c r="AU28" s="27">
        <f>5+10+5+5+5+10+10+10</f>
        <v>60</v>
      </c>
      <c r="AV28" s="2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11">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28" t="s">
        <v>257</v>
      </c>
      <c r="AS29" s="27" t="s">
        <v>260</v>
      </c>
      <c r="AT29" s="27">
        <v>0</v>
      </c>
      <c r="AU29" s="27">
        <f>5+10+5+5+5+10+10+10</f>
        <v>60</v>
      </c>
      <c r="AV29" s="2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11">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27">
        <v>0</v>
      </c>
      <c r="AS30" s="27">
        <v>0</v>
      </c>
      <c r="AT30" s="27">
        <v>0</v>
      </c>
      <c r="AU30" s="27">
        <v>0</v>
      </c>
      <c r="AV30" s="2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11">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28">
        <v>0</v>
      </c>
      <c r="AS31" s="28">
        <v>0</v>
      </c>
      <c r="AT31" s="27">
        <v>0</v>
      </c>
      <c r="AU31" s="27">
        <v>0</v>
      </c>
      <c r="AV31" s="2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11">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27">
        <v>0</v>
      </c>
      <c r="AS32" s="27">
        <v>0</v>
      </c>
      <c r="AT32" s="27">
        <v>0</v>
      </c>
      <c r="AU32" s="27">
        <v>0</v>
      </c>
      <c r="AV32" s="2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11">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28">
        <v>0</v>
      </c>
      <c r="AS33" s="27">
        <v>0</v>
      </c>
      <c r="AT33" s="27">
        <v>0</v>
      </c>
      <c r="AU33" s="27">
        <v>0</v>
      </c>
      <c r="AV33" s="2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11">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28">
        <v>0</v>
      </c>
      <c r="AS34" s="27">
        <v>0</v>
      </c>
      <c r="AT34" s="27">
        <v>0</v>
      </c>
      <c r="AU34" s="27">
        <v>0</v>
      </c>
      <c r="AV34" s="2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11">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28" t="s">
        <v>290</v>
      </c>
      <c r="AS35" s="28" t="s">
        <v>291</v>
      </c>
      <c r="AT35" s="27">
        <v>0</v>
      </c>
      <c r="AU35" s="27">
        <v>5</v>
      </c>
      <c r="AV35" s="2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11">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28">
        <v>0</v>
      </c>
      <c r="AS36" s="27">
        <v>0</v>
      </c>
      <c r="AT36" s="27">
        <v>0</v>
      </c>
      <c r="AU36" s="27">
        <v>0</v>
      </c>
      <c r="AV36" s="2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11">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28">
        <v>0</v>
      </c>
      <c r="AS37" s="27">
        <v>0</v>
      </c>
      <c r="AT37" s="27">
        <v>0</v>
      </c>
      <c r="AU37" s="27">
        <v>0</v>
      </c>
      <c r="AV37" s="2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11">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28">
        <v>0</v>
      </c>
      <c r="AS38" s="27">
        <v>0</v>
      </c>
      <c r="AT38" s="27">
        <v>0</v>
      </c>
      <c r="AU38" s="27">
        <v>0</v>
      </c>
      <c r="AV38" s="2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11">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28">
        <v>0</v>
      </c>
      <c r="AS39" s="27">
        <v>0</v>
      </c>
      <c r="AT39" s="27">
        <v>0</v>
      </c>
      <c r="AU39" s="27">
        <v>0</v>
      </c>
      <c r="AV39" s="2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11">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28">
        <v>0</v>
      </c>
      <c r="AS40" s="27">
        <v>0</v>
      </c>
      <c r="AT40" s="27">
        <v>0</v>
      </c>
      <c r="AU40" s="27">
        <v>0</v>
      </c>
      <c r="AV40" s="2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11">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28">
        <v>0</v>
      </c>
      <c r="AS41" s="27">
        <v>0</v>
      </c>
      <c r="AT41" s="27">
        <v>0</v>
      </c>
      <c r="AU41" s="27">
        <v>0</v>
      </c>
      <c r="AV41" s="2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11">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28" t="s">
        <v>326</v>
      </c>
      <c r="AS42" s="27" t="s">
        <v>325</v>
      </c>
      <c r="AT42" s="27">
        <v>0</v>
      </c>
      <c r="AU42" s="27">
        <v>20</v>
      </c>
      <c r="AV42" s="2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11">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28">
        <v>0</v>
      </c>
      <c r="AS43" s="27">
        <v>0</v>
      </c>
      <c r="AT43" s="27">
        <v>0</v>
      </c>
      <c r="AU43" s="27">
        <v>0</v>
      </c>
      <c r="AV43" s="2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11">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28">
        <v>0</v>
      </c>
      <c r="AS44" s="27">
        <v>0</v>
      </c>
      <c r="AT44" s="27">
        <v>0</v>
      </c>
      <c r="AU44" s="27">
        <v>0</v>
      </c>
      <c r="AV44" s="2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11">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28">
        <v>0</v>
      </c>
      <c r="AS45" s="27">
        <v>0</v>
      </c>
      <c r="AT45" s="27">
        <v>0</v>
      </c>
      <c r="AU45" s="27">
        <v>0</v>
      </c>
      <c r="AV45" s="2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11">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28">
        <v>0</v>
      </c>
      <c r="AS46" s="27">
        <v>0</v>
      </c>
      <c r="AT46" s="27">
        <v>0</v>
      </c>
      <c r="AU46" s="27">
        <v>0</v>
      </c>
      <c r="AV46" s="2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11">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28">
        <v>0</v>
      </c>
      <c r="AS47" s="27">
        <v>0</v>
      </c>
      <c r="AT47" s="27">
        <v>0</v>
      </c>
      <c r="AU47" s="27">
        <v>0</v>
      </c>
      <c r="AV47" s="2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11">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28">
        <v>0</v>
      </c>
      <c r="AS48" s="27">
        <v>0</v>
      </c>
      <c r="AT48" s="27">
        <v>0</v>
      </c>
      <c r="AU48" s="27">
        <v>0</v>
      </c>
      <c r="AV48" s="2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11">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28">
        <v>0</v>
      </c>
      <c r="AS49" s="27">
        <v>0</v>
      </c>
      <c r="AT49" s="27">
        <v>0</v>
      </c>
      <c r="AU49" s="27">
        <v>0</v>
      </c>
      <c r="AV49" s="2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11">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28" t="s">
        <v>356</v>
      </c>
      <c r="AS50" s="27">
        <v>0</v>
      </c>
      <c r="AT50" s="27">
        <v>0</v>
      </c>
      <c r="AU50" s="27">
        <v>0</v>
      </c>
      <c r="AV50" s="2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11">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28">
        <v>0</v>
      </c>
      <c r="AS51" s="27">
        <v>0</v>
      </c>
      <c r="AT51" s="27">
        <v>0</v>
      </c>
      <c r="AU51" s="27">
        <v>0</v>
      </c>
      <c r="AV51" s="2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11">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28">
        <v>0</v>
      </c>
      <c r="AS52" s="27">
        <v>0</v>
      </c>
      <c r="AT52" s="27">
        <v>0</v>
      </c>
      <c r="AU52" s="27">
        <v>0</v>
      </c>
      <c r="AV52" s="2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11">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28">
        <v>0</v>
      </c>
      <c r="AS53" s="27">
        <v>0</v>
      </c>
      <c r="AT53" s="27">
        <v>0</v>
      </c>
      <c r="AU53" s="27">
        <v>0</v>
      </c>
      <c r="AV53" s="2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11">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28" t="s">
        <v>380</v>
      </c>
      <c r="AS54" s="27">
        <v>0</v>
      </c>
      <c r="AT54" s="27" t="s">
        <v>379</v>
      </c>
      <c r="AU54" s="27">
        <v>0</v>
      </c>
      <c r="AV54" s="2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11">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28">
        <v>0</v>
      </c>
      <c r="AS55" s="27">
        <v>0</v>
      </c>
      <c r="AT55" s="27">
        <v>0</v>
      </c>
      <c r="AU55" s="27">
        <v>0</v>
      </c>
      <c r="AV55" s="2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11">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28">
        <v>0</v>
      </c>
      <c r="AS56" s="27">
        <v>0</v>
      </c>
      <c r="AT56" s="27">
        <v>0</v>
      </c>
      <c r="AU56" s="27">
        <v>0</v>
      </c>
      <c r="AV56" s="2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11">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28">
        <v>0</v>
      </c>
      <c r="AS57" s="27">
        <v>0</v>
      </c>
      <c r="AT57" s="27">
        <v>0</v>
      </c>
      <c r="AU57" s="27">
        <v>0</v>
      </c>
      <c r="AV57" s="2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11">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28">
        <v>0</v>
      </c>
      <c r="AS58" s="27">
        <v>0</v>
      </c>
      <c r="AT58" s="27">
        <v>0</v>
      </c>
      <c r="AU58" s="27">
        <v>0</v>
      </c>
      <c r="AV58" s="2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11">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28">
        <v>0</v>
      </c>
      <c r="AS59" s="27">
        <v>0</v>
      </c>
      <c r="AT59" s="27">
        <v>0</v>
      </c>
      <c r="AU59" s="27">
        <v>0</v>
      </c>
      <c r="AV59" s="2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11">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28">
        <v>0</v>
      </c>
      <c r="AS60" s="27">
        <v>0</v>
      </c>
      <c r="AT60" s="27">
        <v>0</v>
      </c>
      <c r="AU60" s="27">
        <v>0</v>
      </c>
      <c r="AV60" s="2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11">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28">
        <v>0</v>
      </c>
      <c r="AS61" s="27">
        <v>0</v>
      </c>
      <c r="AT61" s="27">
        <v>0</v>
      </c>
      <c r="AU61" s="27">
        <v>0</v>
      </c>
      <c r="AV61" s="2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11">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28">
        <v>0</v>
      </c>
      <c r="AS62" s="27">
        <v>0</v>
      </c>
      <c r="AT62" s="27">
        <v>0</v>
      </c>
      <c r="AU62" s="27">
        <v>0</v>
      </c>
      <c r="AV62" s="2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11">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28">
        <v>0</v>
      </c>
      <c r="AS63" s="27">
        <v>0</v>
      </c>
      <c r="AT63" s="27">
        <v>0</v>
      </c>
      <c r="AU63" s="27">
        <v>0</v>
      </c>
      <c r="AV63" s="2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11">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28">
        <v>0</v>
      </c>
      <c r="AS64" s="27">
        <v>0</v>
      </c>
      <c r="AT64" s="27">
        <v>0</v>
      </c>
      <c r="AU64" s="27">
        <v>0</v>
      </c>
      <c r="AV64" s="2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11">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28">
        <v>0</v>
      </c>
      <c r="AS65" s="27">
        <v>0</v>
      </c>
      <c r="AT65" s="27">
        <v>0</v>
      </c>
      <c r="AU65" s="27">
        <v>0</v>
      </c>
      <c r="AV65" s="2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11">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28">
        <v>0</v>
      </c>
      <c r="AS66" s="27">
        <v>0</v>
      </c>
      <c r="AT66" s="27">
        <v>0</v>
      </c>
      <c r="AU66" s="27">
        <v>0</v>
      </c>
      <c r="AV66" s="2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11">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28">
        <v>0</v>
      </c>
      <c r="AS67" s="27">
        <v>0</v>
      </c>
      <c r="AT67" s="27">
        <v>0</v>
      </c>
      <c r="AU67" s="27">
        <v>0</v>
      </c>
      <c r="AV67" s="2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11">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28">
        <v>0</v>
      </c>
      <c r="AS68" s="27">
        <v>0</v>
      </c>
      <c r="AT68" s="27">
        <v>0</v>
      </c>
      <c r="AU68" s="27">
        <v>0</v>
      </c>
      <c r="AV68" s="2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11">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28">
        <v>0</v>
      </c>
      <c r="AS69" s="27">
        <v>0</v>
      </c>
      <c r="AT69" s="27">
        <v>0</v>
      </c>
      <c r="AU69" s="27">
        <v>0</v>
      </c>
      <c r="AV69" s="2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11">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28">
        <v>0</v>
      </c>
      <c r="AS70" s="27">
        <v>0</v>
      </c>
      <c r="AT70" s="27">
        <v>0</v>
      </c>
      <c r="AU70" s="27">
        <v>0</v>
      </c>
      <c r="AV70" s="2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11">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28">
        <v>0</v>
      </c>
      <c r="AS71" s="27">
        <v>0</v>
      </c>
      <c r="AT71" s="27">
        <v>0</v>
      </c>
      <c r="AU71" s="27">
        <v>0</v>
      </c>
      <c r="AV71" s="2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11">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28">
        <v>0</v>
      </c>
      <c r="AS72" s="27">
        <v>0</v>
      </c>
      <c r="AT72" s="27">
        <v>0</v>
      </c>
      <c r="AU72" s="27">
        <v>0</v>
      </c>
      <c r="AV72" s="2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11">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28">
        <v>0</v>
      </c>
      <c r="AS73" s="27">
        <v>0</v>
      </c>
      <c r="AT73" s="27">
        <v>0</v>
      </c>
      <c r="AU73" s="27">
        <v>0</v>
      </c>
      <c r="AV73" s="2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11">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28">
        <v>0</v>
      </c>
      <c r="AS74" s="27">
        <v>0</v>
      </c>
      <c r="AT74" s="27">
        <v>0</v>
      </c>
      <c r="AU74" s="27">
        <v>0</v>
      </c>
      <c r="AV74" s="2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11">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28">
        <v>0</v>
      </c>
      <c r="AS75" s="27">
        <v>0</v>
      </c>
      <c r="AT75" s="27">
        <v>0</v>
      </c>
      <c r="AU75" s="27">
        <v>0</v>
      </c>
      <c r="AV75" s="2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11">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28">
        <v>0</v>
      </c>
      <c r="AS76" s="27">
        <v>0</v>
      </c>
      <c r="AT76" s="27">
        <v>0</v>
      </c>
      <c r="AU76" s="27">
        <v>0</v>
      </c>
      <c r="AV76" s="2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11">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28">
        <v>0</v>
      </c>
      <c r="AS77" s="27">
        <v>0</v>
      </c>
      <c r="AT77" s="27">
        <v>0</v>
      </c>
      <c r="AU77" s="27">
        <v>0</v>
      </c>
      <c r="AV77" s="2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11">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28">
        <v>0</v>
      </c>
      <c r="AS78" s="27">
        <v>0</v>
      </c>
      <c r="AT78" s="27">
        <v>0</v>
      </c>
      <c r="AU78" s="27">
        <v>0</v>
      </c>
      <c r="AV78" s="2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11">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28">
        <v>0</v>
      </c>
      <c r="AS79" s="27">
        <v>0</v>
      </c>
      <c r="AT79" s="27">
        <v>0</v>
      </c>
      <c r="AU79" s="27">
        <v>0</v>
      </c>
      <c r="AV79" s="2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11">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28">
        <v>0</v>
      </c>
      <c r="AS80" s="27">
        <v>0</v>
      </c>
      <c r="AT80" s="27">
        <v>0</v>
      </c>
      <c r="AU80" s="27">
        <v>0</v>
      </c>
      <c r="AV80" s="2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11">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28">
        <v>0</v>
      </c>
      <c r="AS81" s="27">
        <v>0</v>
      </c>
      <c r="AT81" s="27">
        <v>0</v>
      </c>
      <c r="AU81" s="27">
        <v>0</v>
      </c>
      <c r="AV81" s="2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11">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28">
        <v>0</v>
      </c>
      <c r="AS82" s="27">
        <v>0</v>
      </c>
      <c r="AT82" s="27">
        <v>0</v>
      </c>
      <c r="AU82" s="27">
        <v>0</v>
      </c>
      <c r="AV82" s="2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11">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28">
        <v>0</v>
      </c>
      <c r="AS83" s="27">
        <v>0</v>
      </c>
      <c r="AT83" s="27">
        <v>0</v>
      </c>
      <c r="AU83" s="27">
        <v>0</v>
      </c>
      <c r="AV83" s="2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11">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28">
        <v>0</v>
      </c>
      <c r="AS84" s="27">
        <v>0</v>
      </c>
      <c r="AT84" s="27">
        <v>0</v>
      </c>
      <c r="AU84" s="27">
        <v>0</v>
      </c>
      <c r="AV84" s="2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11">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28">
        <v>0</v>
      </c>
      <c r="AS85" s="27">
        <v>0</v>
      </c>
      <c r="AT85" s="27">
        <v>0</v>
      </c>
      <c r="AU85" s="27">
        <v>0</v>
      </c>
      <c r="AV85" s="2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11">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28">
        <v>0</v>
      </c>
      <c r="AS86" s="27">
        <v>0</v>
      </c>
      <c r="AT86" s="27">
        <v>0</v>
      </c>
      <c r="AU86" s="27">
        <v>0</v>
      </c>
      <c r="AV86" s="2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11">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28">
        <v>0</v>
      </c>
      <c r="AS87" s="27">
        <v>0</v>
      </c>
      <c r="AT87" s="27">
        <v>0</v>
      </c>
      <c r="AU87" s="27">
        <v>0</v>
      </c>
      <c r="AV87" s="2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11">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28">
        <v>0</v>
      </c>
      <c r="AS88" s="27">
        <v>0</v>
      </c>
      <c r="AT88" s="27">
        <v>0</v>
      </c>
      <c r="AU88" s="27">
        <v>0</v>
      </c>
      <c r="AV88" s="2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11">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28">
        <v>0</v>
      </c>
      <c r="AS89" s="27">
        <v>0</v>
      </c>
      <c r="AT89" s="27">
        <v>0</v>
      </c>
      <c r="AU89" s="27">
        <v>0</v>
      </c>
      <c r="AV89" s="2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11">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28">
        <v>0</v>
      </c>
      <c r="AS90" s="27">
        <v>0</v>
      </c>
      <c r="AT90" s="27">
        <v>0</v>
      </c>
      <c r="AU90" s="27">
        <v>0</v>
      </c>
      <c r="AV90" s="2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11">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28">
        <v>0</v>
      </c>
      <c r="AS91" s="27">
        <v>0</v>
      </c>
      <c r="AT91" s="27">
        <v>0</v>
      </c>
      <c r="AU91" s="27">
        <v>0</v>
      </c>
      <c r="AV91" s="2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11">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28">
        <v>0</v>
      </c>
      <c r="AS92" s="27">
        <v>0</v>
      </c>
      <c r="AT92" s="27">
        <v>0</v>
      </c>
      <c r="AU92" s="27">
        <v>0</v>
      </c>
      <c r="AV92" s="2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11">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28">
        <v>0</v>
      </c>
      <c r="AS93" s="27">
        <v>0</v>
      </c>
      <c r="AT93" s="27">
        <v>0</v>
      </c>
      <c r="AU93" s="27">
        <v>0</v>
      </c>
      <c r="AV93" s="2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11">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28">
        <v>0</v>
      </c>
      <c r="AS94" s="27">
        <v>0</v>
      </c>
      <c r="AT94" s="27">
        <v>0</v>
      </c>
      <c r="AU94" s="27">
        <v>0</v>
      </c>
      <c r="AV94" s="2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11">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28">
        <v>0</v>
      </c>
      <c r="AS95" s="27">
        <v>0</v>
      </c>
      <c r="AT95" s="27">
        <v>0</v>
      </c>
      <c r="AU95" s="27">
        <v>0</v>
      </c>
      <c r="AV95" s="2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11">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28">
        <v>0</v>
      </c>
      <c r="AS96" s="27">
        <v>0</v>
      </c>
      <c r="AT96" s="27">
        <v>0</v>
      </c>
      <c r="AU96" s="27">
        <v>0</v>
      </c>
      <c r="AV96" s="2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11">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28">
        <v>0</v>
      </c>
      <c r="AS97" s="27">
        <v>0</v>
      </c>
      <c r="AT97" s="27">
        <v>0</v>
      </c>
      <c r="AU97" s="27">
        <v>0</v>
      </c>
      <c r="AV97" s="2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11">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28">
        <v>0</v>
      </c>
      <c r="AS98" s="27">
        <v>0</v>
      </c>
      <c r="AT98" s="27">
        <v>0</v>
      </c>
      <c r="AU98" s="27">
        <v>0</v>
      </c>
      <c r="AV98" s="2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11">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28">
        <v>0</v>
      </c>
      <c r="AS99" s="27">
        <v>0</v>
      </c>
      <c r="AT99" s="27">
        <v>0</v>
      </c>
      <c r="AU99" s="27">
        <v>0</v>
      </c>
      <c r="AV99" s="2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11">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28">
        <v>0</v>
      </c>
      <c r="AS100" s="27">
        <v>0</v>
      </c>
      <c r="AT100" s="27">
        <v>0</v>
      </c>
      <c r="AU100" s="27">
        <v>0</v>
      </c>
      <c r="AV100" s="2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11">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28">
        <v>0</v>
      </c>
      <c r="AS101" s="27">
        <v>0</v>
      </c>
      <c r="AT101" s="27">
        <v>0</v>
      </c>
      <c r="AU101" s="27">
        <v>0</v>
      </c>
      <c r="AV101" s="2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11">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28">
        <v>0</v>
      </c>
      <c r="AS102" s="27">
        <v>0</v>
      </c>
      <c r="AT102" s="27">
        <v>0</v>
      </c>
      <c r="AU102" s="27">
        <v>0</v>
      </c>
      <c r="AV102" s="2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11">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28">
        <v>0</v>
      </c>
      <c r="AS103" s="27">
        <v>0</v>
      </c>
      <c r="AT103" s="27">
        <v>0</v>
      </c>
      <c r="AU103" s="27">
        <v>0</v>
      </c>
      <c r="AV103" s="2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11">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28">
        <v>0</v>
      </c>
      <c r="AS104" s="27">
        <v>0</v>
      </c>
      <c r="AT104" s="27">
        <v>0</v>
      </c>
      <c r="AU104" s="27">
        <v>0</v>
      </c>
      <c r="AV104" s="2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11">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28">
        <v>0</v>
      </c>
      <c r="AS105" s="27">
        <v>0</v>
      </c>
      <c r="AT105" s="27">
        <v>0</v>
      </c>
      <c r="AU105" s="27">
        <v>0</v>
      </c>
      <c r="AV105" s="2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11">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28">
        <v>0</v>
      </c>
      <c r="AS106" s="27">
        <v>0</v>
      </c>
      <c r="AT106" s="27">
        <v>0</v>
      </c>
      <c r="AU106" s="27">
        <v>0</v>
      </c>
      <c r="AV106" s="2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11">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28">
        <v>0</v>
      </c>
      <c r="AS107" s="27">
        <v>0</v>
      </c>
      <c r="AT107" s="27">
        <v>0</v>
      </c>
      <c r="AU107" s="27">
        <v>0</v>
      </c>
      <c r="AV107" s="2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11">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28">
        <v>0</v>
      </c>
      <c r="AS108" s="27">
        <v>0</v>
      </c>
      <c r="AT108" s="27">
        <v>0</v>
      </c>
      <c r="AU108" s="27">
        <v>0</v>
      </c>
      <c r="AV108" s="2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11">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28">
        <v>0</v>
      </c>
      <c r="AS109" s="27">
        <v>0</v>
      </c>
      <c r="AT109" s="27">
        <v>0</v>
      </c>
      <c r="AU109" s="27">
        <v>0</v>
      </c>
      <c r="AV109" s="2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11">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28">
        <v>0</v>
      </c>
      <c r="AS110" s="27">
        <v>0</v>
      </c>
      <c r="AT110" s="27">
        <v>0</v>
      </c>
      <c r="AU110" s="27">
        <v>0</v>
      </c>
      <c r="AV110" s="2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11">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28">
        <v>0</v>
      </c>
      <c r="AS111" s="27">
        <v>0</v>
      </c>
      <c r="AT111" s="27">
        <v>0</v>
      </c>
      <c r="AU111" s="27">
        <v>0</v>
      </c>
      <c r="AV111" s="2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11">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28">
        <v>0</v>
      </c>
      <c r="AS112" s="27">
        <v>0</v>
      </c>
      <c r="AT112" s="27">
        <v>0</v>
      </c>
      <c r="AU112" s="27">
        <v>0</v>
      </c>
      <c r="AV112" s="2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11">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28">
        <v>0</v>
      </c>
      <c r="AS113" s="27">
        <v>0</v>
      </c>
      <c r="AT113" s="27">
        <v>0</v>
      </c>
      <c r="AU113" s="27">
        <v>0</v>
      </c>
      <c r="AV113" s="2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11">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28">
        <v>0</v>
      </c>
      <c r="AS114" s="27">
        <v>0</v>
      </c>
      <c r="AT114" s="27">
        <v>0</v>
      </c>
      <c r="AU114" s="27">
        <v>0</v>
      </c>
      <c r="AV114" s="2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11">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28">
        <v>0</v>
      </c>
      <c r="AS115" s="27">
        <v>0</v>
      </c>
      <c r="AT115" s="27">
        <v>0</v>
      </c>
      <c r="AU115" s="27">
        <v>0</v>
      </c>
      <c r="AV115" s="2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11">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28">
        <v>0</v>
      </c>
      <c r="AS116" s="27">
        <v>0</v>
      </c>
      <c r="AT116" s="27">
        <v>0</v>
      </c>
      <c r="AU116" s="27">
        <v>0</v>
      </c>
      <c r="AV116" s="2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11">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28">
        <v>0</v>
      </c>
      <c r="AS117" s="27">
        <v>0</v>
      </c>
      <c r="AT117" s="27">
        <v>0</v>
      </c>
      <c r="AU117" s="27">
        <v>0</v>
      </c>
      <c r="AV117" s="2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11">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28">
        <v>0</v>
      </c>
      <c r="AS118" s="27">
        <v>0</v>
      </c>
      <c r="AT118" s="27">
        <v>0</v>
      </c>
      <c r="AU118" s="27">
        <v>0</v>
      </c>
      <c r="AV118" s="2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11">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28">
        <v>0</v>
      </c>
      <c r="AS119" s="27">
        <v>0</v>
      </c>
      <c r="AT119" s="27">
        <v>0</v>
      </c>
      <c r="AU119" s="27">
        <v>0</v>
      </c>
      <c r="AV119" s="2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11">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28">
        <v>0</v>
      </c>
      <c r="AS120" s="27">
        <v>0</v>
      </c>
      <c r="AT120" s="27">
        <v>0</v>
      </c>
      <c r="AU120" s="27">
        <v>0</v>
      </c>
      <c r="AV120" s="2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11">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28">
        <v>0</v>
      </c>
      <c r="AS121" s="27">
        <v>0</v>
      </c>
      <c r="AT121" s="27">
        <v>0</v>
      </c>
      <c r="AU121" s="27">
        <v>0</v>
      </c>
      <c r="AV121" s="2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11">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28">
        <v>0</v>
      </c>
      <c r="AS122" s="27">
        <v>0</v>
      </c>
      <c r="AT122" s="27">
        <v>0</v>
      </c>
      <c r="AU122" s="27">
        <v>0</v>
      </c>
      <c r="AV122" s="2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11">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28">
        <v>0</v>
      </c>
      <c r="AS123" s="27">
        <v>0</v>
      </c>
      <c r="AT123" s="27">
        <v>0</v>
      </c>
      <c r="AU123" s="27">
        <v>0</v>
      </c>
      <c r="AV123" s="2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11">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28">
        <v>0</v>
      </c>
      <c r="AS124" s="27">
        <v>0</v>
      </c>
      <c r="AT124" s="27">
        <v>0</v>
      </c>
      <c r="AU124" s="27">
        <v>0</v>
      </c>
      <c r="AV124" s="2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11">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28">
        <v>0</v>
      </c>
      <c r="AS125" s="27">
        <v>0</v>
      </c>
      <c r="AT125" s="27">
        <v>0</v>
      </c>
      <c r="AU125" s="27">
        <v>0</v>
      </c>
      <c r="AV125" s="2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11">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28">
        <v>0</v>
      </c>
      <c r="AS126" s="27">
        <v>0</v>
      </c>
      <c r="AT126" s="27">
        <v>0</v>
      </c>
      <c r="AU126" s="27">
        <v>0</v>
      </c>
      <c r="AV126" s="2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11">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28">
        <v>0</v>
      </c>
      <c r="AS127" s="27">
        <v>0</v>
      </c>
      <c r="AT127" s="27">
        <v>0</v>
      </c>
      <c r="AU127" s="27">
        <v>0</v>
      </c>
      <c r="AV127" s="2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11">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28">
        <v>0</v>
      </c>
      <c r="AS128" s="27">
        <v>0</v>
      </c>
      <c r="AT128" s="27">
        <v>0</v>
      </c>
      <c r="AU128" s="27">
        <v>0</v>
      </c>
      <c r="AV128" s="2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11">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28">
        <v>0</v>
      </c>
      <c r="AS129" s="27">
        <v>0</v>
      </c>
      <c r="AT129" s="27">
        <v>0</v>
      </c>
      <c r="AU129" s="27">
        <v>0</v>
      </c>
      <c r="AV129" s="2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11">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28">
        <v>0</v>
      </c>
      <c r="AS130" s="27">
        <v>0</v>
      </c>
      <c r="AT130" s="27">
        <v>0</v>
      </c>
      <c r="AU130" s="27">
        <v>0</v>
      </c>
      <c r="AV130" s="2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11">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28">
        <v>0</v>
      </c>
      <c r="AS131" s="27">
        <v>0</v>
      </c>
      <c r="AT131" s="27">
        <v>0</v>
      </c>
      <c r="AU131" s="27">
        <v>0</v>
      </c>
      <c r="AV131" s="2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11">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28">
        <v>0</v>
      </c>
      <c r="AS132" s="27">
        <v>0</v>
      </c>
      <c r="AT132" s="27">
        <v>0</v>
      </c>
      <c r="AU132" s="27">
        <v>0</v>
      </c>
      <c r="AV132" s="2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11">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28">
        <v>0</v>
      </c>
      <c r="AS133" s="27">
        <v>0</v>
      </c>
      <c r="AT133" s="27">
        <v>0</v>
      </c>
      <c r="AU133" s="27">
        <v>0</v>
      </c>
      <c r="AV133" s="2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11">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28">
        <v>0</v>
      </c>
      <c r="AS134" s="27">
        <v>0</v>
      </c>
      <c r="AT134" s="27">
        <v>0</v>
      </c>
      <c r="AU134" s="27">
        <v>0</v>
      </c>
      <c r="AV134" s="2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11">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28">
        <v>0</v>
      </c>
      <c r="AS135" s="27">
        <v>0</v>
      </c>
      <c r="AT135" s="27">
        <v>0</v>
      </c>
      <c r="AU135" s="27">
        <v>0</v>
      </c>
      <c r="AV135" s="2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11">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28">
        <v>0</v>
      </c>
      <c r="AS136" s="27">
        <v>0</v>
      </c>
      <c r="AT136" s="27">
        <v>0</v>
      </c>
      <c r="AU136" s="27">
        <v>0</v>
      </c>
      <c r="AV136" s="2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11">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28">
        <v>0</v>
      </c>
      <c r="AS137" s="27">
        <v>0</v>
      </c>
      <c r="AT137" s="27">
        <v>0</v>
      </c>
      <c r="AU137" s="27">
        <v>0</v>
      </c>
      <c r="AV137" s="2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11">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28">
        <v>0</v>
      </c>
      <c r="AS138" s="27">
        <v>0</v>
      </c>
      <c r="AT138" s="27">
        <v>0</v>
      </c>
      <c r="AU138" s="27">
        <v>0</v>
      </c>
      <c r="AV138" s="2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11">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28">
        <v>0</v>
      </c>
      <c r="AS139" s="27">
        <v>0</v>
      </c>
      <c r="AT139" s="27">
        <v>0</v>
      </c>
      <c r="AU139" s="27">
        <v>0</v>
      </c>
      <c r="AV139" s="2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11">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28">
        <v>0</v>
      </c>
      <c r="AS140" s="27">
        <v>0</v>
      </c>
      <c r="AT140" s="27">
        <v>0</v>
      </c>
      <c r="AU140" s="27">
        <v>0</v>
      </c>
      <c r="AV140" s="2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11">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28">
        <v>0</v>
      </c>
      <c r="AS141" s="27">
        <v>0</v>
      </c>
      <c r="AT141" s="27">
        <v>0</v>
      </c>
      <c r="AU141" s="27">
        <v>0</v>
      </c>
      <c r="AV141" s="2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11">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28">
        <v>0</v>
      </c>
      <c r="AS142" s="27">
        <v>0</v>
      </c>
      <c r="AT142" s="27">
        <v>0</v>
      </c>
      <c r="AU142" s="27">
        <v>0</v>
      </c>
      <c r="AV142" s="2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11">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28">
        <v>0</v>
      </c>
      <c r="AS143" s="27">
        <v>0</v>
      </c>
      <c r="AT143" s="27">
        <v>0</v>
      </c>
      <c r="AU143" s="27">
        <v>0</v>
      </c>
      <c r="AV143" s="2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11">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28">
        <v>0</v>
      </c>
      <c r="AS144" s="27">
        <v>0</v>
      </c>
      <c r="AT144" s="27">
        <v>0</v>
      </c>
      <c r="AU144" s="27">
        <v>0</v>
      </c>
      <c r="AV144" s="2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11">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28">
        <v>0</v>
      </c>
      <c r="AS145" s="27">
        <v>0</v>
      </c>
      <c r="AT145" s="27">
        <v>0</v>
      </c>
      <c r="AU145" s="27">
        <v>0</v>
      </c>
      <c r="AV145" s="2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11">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28">
        <v>0</v>
      </c>
      <c r="AS146" s="27">
        <v>0</v>
      </c>
      <c r="AT146" s="27">
        <v>0</v>
      </c>
      <c r="AU146" s="27">
        <v>0</v>
      </c>
      <c r="AV146" s="2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11">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28">
        <v>0</v>
      </c>
      <c r="AS147" s="27">
        <v>0</v>
      </c>
      <c r="AT147" s="27">
        <v>0</v>
      </c>
      <c r="AU147" s="27">
        <v>0</v>
      </c>
      <c r="AV147" s="2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11">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28">
        <v>0</v>
      </c>
      <c r="AS148" s="27">
        <v>0</v>
      </c>
      <c r="AT148" s="27">
        <v>0</v>
      </c>
      <c r="AU148" s="27">
        <v>0</v>
      </c>
      <c r="AV148" s="2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11">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28">
        <v>0</v>
      </c>
      <c r="AS149" s="27">
        <v>0</v>
      </c>
      <c r="AT149" s="27">
        <v>0</v>
      </c>
      <c r="AU149" s="27">
        <v>0</v>
      </c>
      <c r="AV149" s="2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11">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28">
        <v>0</v>
      </c>
      <c r="AS150" s="27">
        <v>0</v>
      </c>
      <c r="AT150" s="27">
        <v>0</v>
      </c>
      <c r="AU150" s="27">
        <v>0</v>
      </c>
      <c r="AV150" s="2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11">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28">
        <v>0</v>
      </c>
      <c r="AS151" s="27">
        <v>0</v>
      </c>
      <c r="AT151" s="27">
        <v>0</v>
      </c>
      <c r="AU151" s="27">
        <v>0</v>
      </c>
      <c r="AV151" s="2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11">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28">
        <v>0</v>
      </c>
      <c r="AS152" s="27">
        <v>0</v>
      </c>
      <c r="AT152" s="27">
        <v>0</v>
      </c>
      <c r="AU152" s="27">
        <v>0</v>
      </c>
      <c r="AV152" s="2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11">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28">
        <v>0</v>
      </c>
      <c r="AS153" s="27">
        <v>0</v>
      </c>
      <c r="AT153" s="27">
        <v>0</v>
      </c>
      <c r="AU153" s="27">
        <v>0</v>
      </c>
      <c r="AV153" s="2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11">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28">
        <v>0</v>
      </c>
      <c r="AS154" s="27">
        <v>0</v>
      </c>
      <c r="AT154" s="27">
        <v>0</v>
      </c>
      <c r="AU154" s="27">
        <v>0</v>
      </c>
      <c r="AV154" s="2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11">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28">
        <v>0</v>
      </c>
      <c r="AS155" s="27">
        <v>0</v>
      </c>
      <c r="AT155" s="27">
        <v>0</v>
      </c>
      <c r="AU155" s="27">
        <v>0</v>
      </c>
      <c r="AV155" s="2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11">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28">
        <v>0</v>
      </c>
      <c r="AS156" s="27">
        <v>0</v>
      </c>
      <c r="AT156" s="27">
        <v>0</v>
      </c>
      <c r="AU156" s="27">
        <v>0</v>
      </c>
      <c r="AV156" s="2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11">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28">
        <v>0</v>
      </c>
      <c r="AS157" s="27">
        <v>0</v>
      </c>
      <c r="AT157" s="27">
        <v>0</v>
      </c>
      <c r="AU157" s="27">
        <v>0</v>
      </c>
      <c r="AV157" s="2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11">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28">
        <v>0</v>
      </c>
      <c r="AS158" s="27">
        <v>0</v>
      </c>
      <c r="AT158" s="27">
        <v>0</v>
      </c>
      <c r="AU158" s="27">
        <v>0</v>
      </c>
      <c r="AV158" s="2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11">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28">
        <v>0</v>
      </c>
      <c r="AS159" s="27">
        <v>0</v>
      </c>
      <c r="AT159" s="27">
        <v>0</v>
      </c>
      <c r="AU159" s="27">
        <v>0</v>
      </c>
      <c r="AV159" s="2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11">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28">
        <v>0</v>
      </c>
      <c r="AS160" s="27">
        <v>0</v>
      </c>
      <c r="AT160" s="27">
        <v>0</v>
      </c>
      <c r="AU160" s="27">
        <v>0</v>
      </c>
      <c r="AV160" s="2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11">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28">
        <v>0</v>
      </c>
      <c r="AS161" s="27">
        <v>0</v>
      </c>
      <c r="AT161" s="27">
        <v>0</v>
      </c>
      <c r="AU161" s="27">
        <v>0</v>
      </c>
      <c r="AV161" s="2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11">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28">
        <v>0</v>
      </c>
      <c r="AS162" s="27">
        <v>0</v>
      </c>
      <c r="AT162" s="27">
        <v>0</v>
      </c>
      <c r="AU162" s="27">
        <v>0</v>
      </c>
      <c r="AV162" s="2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11">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28">
        <v>0</v>
      </c>
      <c r="AS163" s="27">
        <v>0</v>
      </c>
      <c r="AT163" s="27">
        <v>0</v>
      </c>
      <c r="AU163" s="27">
        <v>0</v>
      </c>
      <c r="AV163" s="2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11">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28">
        <v>0</v>
      </c>
      <c r="AS164" s="27">
        <v>0</v>
      </c>
      <c r="AT164" s="27">
        <v>0</v>
      </c>
      <c r="AU164" s="27">
        <v>0</v>
      </c>
      <c r="AV164" s="2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11">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28">
        <v>0</v>
      </c>
      <c r="AS165" s="27">
        <v>0</v>
      </c>
      <c r="AT165" s="27">
        <v>0</v>
      </c>
      <c r="AU165" s="27">
        <v>0</v>
      </c>
      <c r="AV165" s="2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11">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28">
        <v>0</v>
      </c>
      <c r="AS166" s="27">
        <v>0</v>
      </c>
      <c r="AT166" s="27">
        <v>0</v>
      </c>
      <c r="AU166" s="27">
        <v>0</v>
      </c>
      <c r="AV166" s="2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11">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28">
        <v>0</v>
      </c>
      <c r="AS167" s="27">
        <v>0</v>
      </c>
      <c r="AT167" s="27">
        <v>0</v>
      </c>
      <c r="AU167" s="27">
        <v>0</v>
      </c>
      <c r="AV167" s="2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11">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28">
        <v>0</v>
      </c>
      <c r="AS168" s="27">
        <v>0</v>
      </c>
      <c r="AT168" s="27">
        <v>0</v>
      </c>
      <c r="AU168" s="27">
        <v>0</v>
      </c>
      <c r="AV168" s="2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11">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28">
        <v>0</v>
      </c>
      <c r="AS169" s="27">
        <v>0</v>
      </c>
      <c r="AT169" s="27">
        <v>0</v>
      </c>
      <c r="AU169" s="27">
        <v>0</v>
      </c>
      <c r="AV169" s="2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11">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28">
        <v>0</v>
      </c>
      <c r="AS170" s="27">
        <v>0</v>
      </c>
      <c r="AT170" s="27">
        <v>0</v>
      </c>
      <c r="AU170" s="27">
        <v>0</v>
      </c>
      <c r="AV170" s="2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11">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28">
        <v>0</v>
      </c>
      <c r="AS171" s="27">
        <v>0</v>
      </c>
      <c r="AT171" s="27">
        <v>0</v>
      </c>
      <c r="AU171" s="27">
        <v>0</v>
      </c>
      <c r="AV171" s="2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11">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28">
        <v>0</v>
      </c>
      <c r="AS172" s="27">
        <v>0</v>
      </c>
      <c r="AT172" s="27">
        <v>0</v>
      </c>
      <c r="AU172" s="27">
        <v>0</v>
      </c>
      <c r="AV172" s="2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11">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28">
        <v>0</v>
      </c>
      <c r="AS173" s="27">
        <v>0</v>
      </c>
      <c r="AT173" s="27">
        <v>0</v>
      </c>
      <c r="AU173" s="27">
        <v>0</v>
      </c>
      <c r="AV173" s="2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11">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28">
        <v>0</v>
      </c>
      <c r="AS174" s="27">
        <v>0</v>
      </c>
      <c r="AT174" s="27">
        <v>0</v>
      </c>
      <c r="AU174" s="27">
        <v>0</v>
      </c>
      <c r="AV174" s="2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11">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28">
        <v>0</v>
      </c>
      <c r="AS175" s="27">
        <v>0</v>
      </c>
      <c r="AT175" s="27">
        <v>0</v>
      </c>
      <c r="AU175" s="27">
        <v>0</v>
      </c>
      <c r="AV175" s="2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11">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28">
        <v>0</v>
      </c>
      <c r="AS176" s="27">
        <v>0</v>
      </c>
      <c r="AT176" s="27">
        <v>0</v>
      </c>
      <c r="AU176" s="27">
        <v>0</v>
      </c>
      <c r="AV176" s="2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11">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28">
        <v>0</v>
      </c>
      <c r="AS177" s="27">
        <v>0</v>
      </c>
      <c r="AT177" s="27">
        <v>0</v>
      </c>
      <c r="AU177" s="27">
        <v>0</v>
      </c>
      <c r="AV177" s="2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11">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28">
        <v>0</v>
      </c>
      <c r="AS178" s="27">
        <v>0</v>
      </c>
      <c r="AT178" s="27">
        <v>0</v>
      </c>
      <c r="AU178" s="27">
        <v>0</v>
      </c>
      <c r="AV178" s="2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11">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28">
        <v>0</v>
      </c>
      <c r="AS179" s="27">
        <v>0</v>
      </c>
      <c r="AT179" s="27">
        <v>0</v>
      </c>
      <c r="AU179" s="27">
        <v>0</v>
      </c>
      <c r="AV179" s="2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11">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28">
        <v>0</v>
      </c>
      <c r="AS180" s="27">
        <v>0</v>
      </c>
      <c r="AT180" s="27">
        <v>0</v>
      </c>
      <c r="AU180" s="27">
        <v>0</v>
      </c>
      <c r="AV180" s="2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11">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28">
        <v>0</v>
      </c>
      <c r="AS181" s="27">
        <v>0</v>
      </c>
      <c r="AT181" s="27">
        <v>0</v>
      </c>
      <c r="AU181" s="27">
        <v>0</v>
      </c>
      <c r="AV181" s="2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11">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28">
        <v>0</v>
      </c>
      <c r="AS182" s="27">
        <v>0</v>
      </c>
      <c r="AT182" s="27">
        <v>0</v>
      </c>
      <c r="AU182" s="27">
        <v>0</v>
      </c>
      <c r="AV182" s="2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11">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28">
        <v>0</v>
      </c>
      <c r="AS183" s="27">
        <v>0</v>
      </c>
      <c r="AT183" s="27">
        <v>0</v>
      </c>
      <c r="AU183" s="27">
        <v>0</v>
      </c>
      <c r="AV183" s="2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11">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28">
        <v>0</v>
      </c>
      <c r="AS184" s="27">
        <v>0</v>
      </c>
      <c r="AT184" s="27">
        <v>0</v>
      </c>
      <c r="AU184" s="27">
        <v>0</v>
      </c>
      <c r="AV184" s="2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11">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28">
        <v>0</v>
      </c>
      <c r="AS185" s="27">
        <v>0</v>
      </c>
      <c r="AT185" s="27">
        <v>0</v>
      </c>
      <c r="AU185" s="27">
        <v>0</v>
      </c>
      <c r="AV185" s="2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11">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28">
        <v>0</v>
      </c>
      <c r="AS186" s="27">
        <v>0</v>
      </c>
      <c r="AT186" s="27">
        <v>0</v>
      </c>
      <c r="AU186" s="27">
        <v>0</v>
      </c>
      <c r="AV186" s="2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11">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28">
        <v>0</v>
      </c>
      <c r="AS187" s="27">
        <v>0</v>
      </c>
      <c r="AT187" s="27">
        <v>0</v>
      </c>
      <c r="AU187" s="27">
        <v>0</v>
      </c>
      <c r="AV187" s="2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11">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28">
        <v>0</v>
      </c>
      <c r="AS188" s="27">
        <v>0</v>
      </c>
      <c r="AT188" s="27">
        <v>0</v>
      </c>
      <c r="AU188" s="27">
        <v>0</v>
      </c>
      <c r="AV188" s="2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11">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28">
        <v>0</v>
      </c>
      <c r="AS189" s="27">
        <v>0</v>
      </c>
      <c r="AT189" s="27">
        <v>0</v>
      </c>
      <c r="AU189" s="27">
        <v>0</v>
      </c>
      <c r="AV189" s="2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11">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28">
        <v>0</v>
      </c>
      <c r="AS190" s="27">
        <v>0</v>
      </c>
      <c r="AT190" s="27">
        <v>0</v>
      </c>
      <c r="AU190" s="27">
        <v>0</v>
      </c>
      <c r="AV190" s="2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11">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28">
        <v>0</v>
      </c>
      <c r="AS191" s="27">
        <v>0</v>
      </c>
      <c r="AT191" s="27">
        <v>0</v>
      </c>
      <c r="AU191" s="27">
        <v>0</v>
      </c>
      <c r="AV191" s="2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11">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28" t="s">
        <v>1021</v>
      </c>
      <c r="AS192" s="27">
        <v>0</v>
      </c>
      <c r="AT192" s="27">
        <v>0</v>
      </c>
      <c r="AU192" s="27">
        <v>0</v>
      </c>
      <c r="AV192" s="2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11">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28">
        <v>0</v>
      </c>
      <c r="AS193" s="27">
        <v>0</v>
      </c>
      <c r="AT193" s="27">
        <v>0</v>
      </c>
      <c r="AU193" s="27">
        <v>0</v>
      </c>
      <c r="AV193" s="2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11">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28">
        <v>0</v>
      </c>
      <c r="AS194" s="27">
        <v>0</v>
      </c>
      <c r="AT194" s="27">
        <v>0</v>
      </c>
      <c r="AU194" s="27">
        <v>0</v>
      </c>
      <c r="AV194" s="2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11">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28">
        <v>0</v>
      </c>
      <c r="AS195" s="27">
        <v>0</v>
      </c>
      <c r="AT195" s="27">
        <v>0</v>
      </c>
      <c r="AU195" s="27">
        <v>0</v>
      </c>
      <c r="AV195" s="2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11">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28">
        <v>0</v>
      </c>
      <c r="AS196" s="27">
        <v>0</v>
      </c>
      <c r="AT196" s="27">
        <v>0</v>
      </c>
      <c r="AU196" s="27">
        <v>0</v>
      </c>
      <c r="AV196" s="2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11">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28">
        <v>0</v>
      </c>
      <c r="AS197" s="27">
        <v>0</v>
      </c>
      <c r="AT197" s="27">
        <v>0</v>
      </c>
      <c r="AU197" s="27">
        <v>0</v>
      </c>
      <c r="AV197" s="2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11">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28">
        <v>0</v>
      </c>
      <c r="AS198" s="27">
        <v>0</v>
      </c>
      <c r="AT198" s="27">
        <v>0</v>
      </c>
      <c r="AU198" s="27">
        <v>0</v>
      </c>
      <c r="AV198" s="2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11">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28">
        <v>0</v>
      </c>
      <c r="AS199" s="27">
        <v>0</v>
      </c>
      <c r="AT199" s="27">
        <v>0</v>
      </c>
      <c r="AU199" s="27">
        <v>0</v>
      </c>
      <c r="AV199" s="2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11">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28">
        <v>0</v>
      </c>
      <c r="AS200" s="27">
        <v>0</v>
      </c>
      <c r="AT200" s="27">
        <v>0</v>
      </c>
      <c r="AU200" s="27">
        <v>0</v>
      </c>
      <c r="AV200" s="2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11">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28">
        <v>0</v>
      </c>
      <c r="AS201" s="27">
        <v>0</v>
      </c>
      <c r="AT201" s="27">
        <v>0</v>
      </c>
      <c r="AU201" s="27">
        <v>0</v>
      </c>
      <c r="AV201" s="2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11">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28">
        <v>0</v>
      </c>
      <c r="AS202" s="27">
        <v>0</v>
      </c>
      <c r="AT202" s="27">
        <v>0</v>
      </c>
      <c r="AU202" s="27">
        <v>0</v>
      </c>
      <c r="AV202" s="2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11">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28" t="s">
        <v>1095</v>
      </c>
      <c r="AS203" s="27">
        <v>0</v>
      </c>
      <c r="AT203" s="27">
        <v>0</v>
      </c>
      <c r="AU203" s="27">
        <v>0</v>
      </c>
      <c r="AV203" s="2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11">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28">
        <v>0</v>
      </c>
      <c r="AS204" s="27">
        <v>0</v>
      </c>
      <c r="AT204" s="27">
        <v>0</v>
      </c>
      <c r="AU204" s="27">
        <v>0</v>
      </c>
      <c r="AV204" s="2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6">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28">
        <v>0</v>
      </c>
      <c r="AS205" s="27">
        <v>0</v>
      </c>
      <c r="AT205" s="27">
        <v>0</v>
      </c>
      <c r="AU205" s="27">
        <v>0</v>
      </c>
      <c r="AV205" s="2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6">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28">
        <v>0</v>
      </c>
      <c r="AS206" s="27">
        <v>0</v>
      </c>
      <c r="AT206" s="27">
        <v>0</v>
      </c>
      <c r="AU206" s="27">
        <v>0</v>
      </c>
      <c r="AV206" s="2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11">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28">
        <v>0</v>
      </c>
      <c r="AS207" s="27">
        <v>0</v>
      </c>
      <c r="AT207" s="27">
        <v>0</v>
      </c>
      <c r="AU207" s="27">
        <v>0</v>
      </c>
      <c r="AV207" s="2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11">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28">
        <v>0</v>
      </c>
      <c r="AS208" s="27">
        <v>0</v>
      </c>
      <c r="AT208" s="27">
        <v>0</v>
      </c>
      <c r="AU208" s="27">
        <v>0</v>
      </c>
      <c r="AV208" s="2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6">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28">
        <v>0</v>
      </c>
      <c r="AS209" s="27">
        <v>0</v>
      </c>
      <c r="AT209" s="27">
        <v>0</v>
      </c>
      <c r="AU209" s="27">
        <v>0</v>
      </c>
      <c r="AV209" s="2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6">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28">
        <v>0</v>
      </c>
      <c r="AS210" s="27">
        <v>0</v>
      </c>
      <c r="AT210" s="27">
        <v>0</v>
      </c>
      <c r="AU210" s="27">
        <v>0</v>
      </c>
      <c r="AV210" s="2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6">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28">
        <v>0</v>
      </c>
      <c r="AS211" s="27">
        <v>0</v>
      </c>
      <c r="AT211" s="27">
        <v>0</v>
      </c>
      <c r="AU211" s="27">
        <v>0</v>
      </c>
      <c r="AV211" s="2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6">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28">
        <v>0</v>
      </c>
      <c r="AS212" s="27">
        <v>0</v>
      </c>
      <c r="AT212" s="27">
        <v>0</v>
      </c>
      <c r="AU212" s="27">
        <v>0</v>
      </c>
      <c r="AV212" s="2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6">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28">
        <v>0</v>
      </c>
      <c r="AS213" s="27">
        <v>0</v>
      </c>
      <c r="AT213" s="27">
        <v>0</v>
      </c>
      <c r="AU213" s="27">
        <v>0</v>
      </c>
      <c r="AV213" s="2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6">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28">
        <v>0</v>
      </c>
      <c r="AS214" s="27">
        <v>0</v>
      </c>
      <c r="AT214" s="27">
        <v>0</v>
      </c>
      <c r="AU214" s="27">
        <v>0</v>
      </c>
      <c r="AV214" s="2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11">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78" si="400">$AC215/$AB215</f>
        <v>4.5635805911879532E-2</v>
      </c>
      <c r="AJ215" s="6">
        <f t="shared" ref="AJ215:AJ278" si="401">$AD215/$AB215</f>
        <v>1.1503067484662576E-2</v>
      </c>
      <c r="AK215" s="6">
        <f t="shared" ref="AK215:AK278" si="402">$AE215/$AB215</f>
        <v>3.1999442275515898E-2</v>
      </c>
      <c r="AL215" s="6">
        <f t="shared" ref="AL215:AL278" si="403">$AF215/$AB215</f>
        <v>0.12529280535415505</v>
      </c>
      <c r="AM215" s="6">
        <f t="shared" ref="AM215:AM278" si="404">$AG215/$AB215</f>
        <v>1.5184049079754602E-2</v>
      </c>
      <c r="AN215" s="6">
        <f t="shared" ref="AN215:AN278" si="405">$AH215/$AB215</f>
        <v>1.6907417735638595</v>
      </c>
      <c r="AO215" s="7">
        <v>5</v>
      </c>
      <c r="AP215" s="7">
        <v>2</v>
      </c>
      <c r="AQ215" s="7">
        <v>0</v>
      </c>
      <c r="AR215" s="28">
        <v>0</v>
      </c>
      <c r="AS215" s="27">
        <v>0</v>
      </c>
      <c r="AT215" s="27">
        <v>0</v>
      </c>
      <c r="AU215" s="27">
        <v>0</v>
      </c>
      <c r="AV215" s="2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6">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28">
        <v>0</v>
      </c>
      <c r="AS216" s="27">
        <v>0</v>
      </c>
      <c r="AT216" s="27">
        <v>0</v>
      </c>
      <c r="AU216" s="27">
        <v>0</v>
      </c>
      <c r="AV216" s="2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6">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28">
        <v>0</v>
      </c>
      <c r="AS217" s="27">
        <v>0</v>
      </c>
      <c r="AT217" s="27">
        <v>0</v>
      </c>
      <c r="AU217" s="27">
        <v>0</v>
      </c>
      <c r="AV217" s="2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6">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28">
        <v>0</v>
      </c>
      <c r="AS218" s="27">
        <v>0</v>
      </c>
      <c r="AT218" s="27">
        <v>0</v>
      </c>
      <c r="AU218" s="27">
        <v>0</v>
      </c>
      <c r="AV218" s="2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6">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28">
        <v>0</v>
      </c>
      <c r="AS219" s="27">
        <v>0</v>
      </c>
      <c r="AT219" s="27">
        <v>0</v>
      </c>
      <c r="AU219" s="27">
        <v>0</v>
      </c>
      <c r="AV219" s="2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6">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28">
        <v>0</v>
      </c>
      <c r="AS220" s="27">
        <v>0</v>
      </c>
      <c r="AT220" s="27">
        <v>0</v>
      </c>
      <c r="AU220" s="27">
        <v>0</v>
      </c>
      <c r="AV220" s="2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6">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28">
        <v>0</v>
      </c>
      <c r="AS221" s="27">
        <v>0</v>
      </c>
      <c r="AT221" s="27">
        <v>0</v>
      </c>
      <c r="AU221" s="27">
        <v>0</v>
      </c>
      <c r="AV221" s="2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6">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1188</v>
      </c>
      <c r="AA222" s="10" t="s">
        <v>1189</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28">
        <v>0</v>
      </c>
      <c r="AS222" s="27">
        <v>0</v>
      </c>
      <c r="AT222" s="27">
        <v>0</v>
      </c>
      <c r="AU222" s="27">
        <v>0</v>
      </c>
      <c r="AV222" s="2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6">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1196</v>
      </c>
      <c r="AA223" s="10" t="s">
        <v>1194</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28">
        <v>0</v>
      </c>
      <c r="AS223" s="27">
        <v>0</v>
      </c>
      <c r="AT223" s="27">
        <v>0</v>
      </c>
      <c r="AU223" s="27">
        <v>0</v>
      </c>
      <c r="AV223" s="2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1195</v>
      </c>
      <c r="BM223" s="6">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1197</v>
      </c>
      <c r="AA224" s="10" t="s">
        <v>1200</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28">
        <v>0</v>
      </c>
      <c r="AS224" s="27">
        <v>0</v>
      </c>
      <c r="AT224" s="27">
        <v>0</v>
      </c>
      <c r="AU224" s="27">
        <v>0</v>
      </c>
      <c r="AV224" s="2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1201</v>
      </c>
      <c r="BM224" s="6">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1204</v>
      </c>
      <c r="AA225" s="10" t="s">
        <v>1205</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28">
        <v>0</v>
      </c>
      <c r="AS225" s="27">
        <v>0</v>
      </c>
      <c r="AT225" s="27">
        <v>0</v>
      </c>
      <c r="AU225" s="27">
        <v>0</v>
      </c>
      <c r="AV225" s="2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1203</v>
      </c>
      <c r="BM225" s="6">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1206</v>
      </c>
      <c r="AA226" s="10" t="s">
        <v>1210</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28">
        <v>0</v>
      </c>
      <c r="AS226" s="27">
        <v>0</v>
      </c>
      <c r="AT226" s="27">
        <v>0</v>
      </c>
      <c r="AU226" s="27">
        <v>0</v>
      </c>
      <c r="AV226" s="2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1201</v>
      </c>
      <c r="BM226" s="6">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1212</v>
      </c>
      <c r="AA227" s="10" t="s">
        <v>1211</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28">
        <v>0</v>
      </c>
      <c r="AS227" s="27">
        <v>0</v>
      </c>
      <c r="AT227" s="27">
        <v>0</v>
      </c>
      <c r="AU227" s="27">
        <v>0</v>
      </c>
      <c r="AV227" s="2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1201</v>
      </c>
      <c r="BM227" s="6">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1213</v>
      </c>
      <c r="AA228" s="10" t="s">
        <v>1214</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28">
        <v>0</v>
      </c>
      <c r="AS228" s="27">
        <v>0</v>
      </c>
      <c r="AT228" s="27">
        <v>0</v>
      </c>
      <c r="AU228" s="27">
        <v>0</v>
      </c>
      <c r="AV228" s="2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1215</v>
      </c>
      <c r="BM228" s="6">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1221</v>
      </c>
      <c r="AA229" s="10" t="s">
        <v>1225</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28">
        <v>0</v>
      </c>
      <c r="AS229" s="27">
        <v>0</v>
      </c>
      <c r="AT229" s="27">
        <v>0</v>
      </c>
      <c r="AU229" s="27">
        <v>0</v>
      </c>
      <c r="AV229" s="2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1215</v>
      </c>
      <c r="BM229" s="6">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1227</v>
      </c>
      <c r="AA230" s="10" t="s">
        <v>1226</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28">
        <v>0</v>
      </c>
      <c r="AS230" s="27">
        <v>0</v>
      </c>
      <c r="AT230" s="27">
        <v>0</v>
      </c>
      <c r="AU230" s="27">
        <v>0</v>
      </c>
      <c r="AV230" s="2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1215</v>
      </c>
      <c r="BM230" s="6">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1233</v>
      </c>
      <c r="AA231" s="10" t="s">
        <v>1232</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28">
        <v>0</v>
      </c>
      <c r="AS231" s="27">
        <v>0</v>
      </c>
      <c r="AT231" s="27">
        <v>0</v>
      </c>
      <c r="AU231" s="27">
        <v>0</v>
      </c>
      <c r="AV231" s="2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1228</v>
      </c>
      <c r="BM231" s="6">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1234</v>
      </c>
      <c r="AA232" s="10" t="s">
        <v>1236</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28">
        <v>0</v>
      </c>
      <c r="AS232" s="27">
        <v>0</v>
      </c>
      <c r="AT232" s="27">
        <v>0</v>
      </c>
      <c r="AU232" s="27">
        <v>0</v>
      </c>
      <c r="AV232" s="2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1228</v>
      </c>
      <c r="BM232" s="6">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1237</v>
      </c>
      <c r="AA233" s="10" t="s">
        <v>1239</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28">
        <v>0</v>
      </c>
      <c r="AS233" s="27">
        <v>0</v>
      </c>
      <c r="AT233" s="27">
        <v>0</v>
      </c>
      <c r="AU233" s="27">
        <v>0</v>
      </c>
      <c r="AV233" s="2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1228</v>
      </c>
      <c r="BM233" s="6">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1241</v>
      </c>
      <c r="AA234" s="10" t="s">
        <v>1240</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28" t="s">
        <v>1238</v>
      </c>
      <c r="AS234" s="27">
        <v>0</v>
      </c>
      <c r="AT234" s="27">
        <v>0</v>
      </c>
      <c r="AU234" s="27">
        <v>0</v>
      </c>
      <c r="AV234" s="2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1228</v>
      </c>
      <c r="BM234" s="6">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1244</v>
      </c>
      <c r="AA235" s="10" t="s">
        <v>1243</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28" t="s">
        <v>1242</v>
      </c>
      <c r="AS235" s="27">
        <v>0</v>
      </c>
      <c r="AT235" s="27">
        <v>0</v>
      </c>
      <c r="AU235" s="27">
        <v>0</v>
      </c>
      <c r="AV235" s="2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1260</v>
      </c>
      <c r="BM235" s="6">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1245</v>
      </c>
      <c r="AA236" s="10" t="s">
        <v>1248</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28">
        <v>0</v>
      </c>
      <c r="AS236" s="27">
        <v>0</v>
      </c>
      <c r="AT236" s="27">
        <v>0</v>
      </c>
      <c r="AU236" s="27">
        <v>0</v>
      </c>
      <c r="AV236" s="2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1260</v>
      </c>
      <c r="BM236" s="6">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1251</v>
      </c>
      <c r="AA237" s="10" t="s">
        <v>1250</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28">
        <v>0</v>
      </c>
      <c r="AS237" s="27">
        <v>0</v>
      </c>
      <c r="AT237" s="27">
        <v>0</v>
      </c>
      <c r="AU237" s="27">
        <v>0</v>
      </c>
      <c r="AV237" s="2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6">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1258</v>
      </c>
      <c r="AA238" s="10" t="s">
        <v>1257</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28">
        <v>0</v>
      </c>
      <c r="AS238" s="27">
        <v>0</v>
      </c>
      <c r="AT238" s="27">
        <v>0</v>
      </c>
      <c r="AU238" s="27">
        <v>0</v>
      </c>
      <c r="AV238" s="2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6">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1262</v>
      </c>
      <c r="AA239" s="10" t="s">
        <v>1261</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28" t="s">
        <v>1259</v>
      </c>
      <c r="AS239" s="27">
        <v>0</v>
      </c>
      <c r="AT239" s="27">
        <v>0</v>
      </c>
      <c r="AU239" s="27">
        <v>0</v>
      </c>
      <c r="AV239" s="2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6">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1267</v>
      </c>
      <c r="AA240" s="10" t="s">
        <v>1266</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7">
        <v>5</v>
      </c>
      <c r="AP240" s="7">
        <v>1</v>
      </c>
      <c r="AQ240" s="7">
        <v>0</v>
      </c>
      <c r="AR240" s="28" t="s">
        <v>1264</v>
      </c>
      <c r="AS240" s="27">
        <v>0</v>
      </c>
      <c r="AT240" s="27">
        <v>0</v>
      </c>
      <c r="AU240" s="27">
        <v>0</v>
      </c>
      <c r="AV240" s="2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6">
        <v>1</v>
      </c>
    </row>
    <row r="241" spans="1:65" ht="30" customHeight="1" x14ac:dyDescent="0.3">
      <c r="A241" s="3" t="s">
        <v>19</v>
      </c>
      <c r="B241" s="3">
        <v>12</v>
      </c>
      <c r="C241" s="8">
        <v>44450</v>
      </c>
      <c r="D241" s="9">
        <v>0.76041666666666663</v>
      </c>
      <c r="E241" s="4">
        <v>92</v>
      </c>
      <c r="F241" s="3">
        <v>5</v>
      </c>
      <c r="G241" s="3">
        <v>3</v>
      </c>
      <c r="H241" s="3">
        <v>15</v>
      </c>
      <c r="I241" s="3">
        <v>0.25</v>
      </c>
      <c r="J241" s="9">
        <v>0.26597222222222222</v>
      </c>
      <c r="K241" s="3">
        <v>145.6</v>
      </c>
      <c r="L241" s="11">
        <f t="shared" ref="L241" si="455">K241-K240</f>
        <v>0.19999999999998863</v>
      </c>
      <c r="M241" s="5">
        <f t="shared" ref="M241" si="456">AB240</f>
        <v>1581.5</v>
      </c>
      <c r="N241" s="11">
        <v>30.5</v>
      </c>
      <c r="O241" s="11">
        <v>32.25</v>
      </c>
      <c r="P241" s="11">
        <v>10.875</v>
      </c>
      <c r="Q241" s="11">
        <v>11.125</v>
      </c>
      <c r="R241" s="11">
        <v>20.125</v>
      </c>
      <c r="S241" s="11">
        <v>20.375</v>
      </c>
      <c r="T241" s="11">
        <v>15</v>
      </c>
      <c r="U241" s="11">
        <v>16</v>
      </c>
      <c r="V241" s="11">
        <v>15</v>
      </c>
      <c r="W241" s="11">
        <v>15</v>
      </c>
      <c r="X241" s="11">
        <v>7</v>
      </c>
      <c r="Y241" s="11">
        <v>7</v>
      </c>
      <c r="Z241" s="3" t="s">
        <v>1273</v>
      </c>
      <c r="AA241" s="10" t="s">
        <v>1272</v>
      </c>
      <c r="AB241" s="5">
        <f>240+80+5.75+0+240+640+187+380+75+242</f>
        <v>2089.75</v>
      </c>
      <c r="AC241" s="6">
        <f>2+5+0+2+0+9+17+5+22</f>
        <v>62</v>
      </c>
      <c r="AD241" s="6">
        <f>1+3.5+0+0+1+0+1+9+5+3</f>
        <v>23.5</v>
      </c>
      <c r="AE241" s="6">
        <f>8+6+0+0+8+8+0+9+1+3</f>
        <v>43</v>
      </c>
      <c r="AF241" s="6">
        <f>46+2+1.15+0+46+152+27+48+8+13</f>
        <v>343.15</v>
      </c>
      <c r="AG241" s="6">
        <f>2+0+0+0+2+0+3+3+1+14</f>
        <v>25</v>
      </c>
      <c r="AH241" s="6">
        <f>630+190+460+55+630+160+20+880+8+11</f>
        <v>3044</v>
      </c>
      <c r="AI241" s="6">
        <f t="shared" si="400"/>
        <v>2.9668620648402918E-2</v>
      </c>
      <c r="AJ241" s="6">
        <f t="shared" si="401"/>
        <v>1.1245364278023686E-2</v>
      </c>
      <c r="AK241" s="6">
        <f t="shared" si="402"/>
        <v>2.0576623998085894E-2</v>
      </c>
      <c r="AL241" s="6">
        <f t="shared" si="403"/>
        <v>0.16420624476612034</v>
      </c>
      <c r="AM241" s="6">
        <f t="shared" si="404"/>
        <v>1.1963153487259242E-2</v>
      </c>
      <c r="AN241" s="6">
        <f t="shared" si="405"/>
        <v>1.4566335686086853</v>
      </c>
      <c r="AO241" s="7">
        <v>5</v>
      </c>
      <c r="AP241" s="7">
        <v>1</v>
      </c>
      <c r="AQ241" s="7">
        <v>0</v>
      </c>
      <c r="AR241" s="28" t="s">
        <v>1270</v>
      </c>
      <c r="AS241" s="27">
        <v>0</v>
      </c>
      <c r="AT241" s="27">
        <v>0</v>
      </c>
      <c r="AU241" s="27">
        <v>0</v>
      </c>
      <c r="AV241" s="27">
        <v>0</v>
      </c>
      <c r="AW241" s="7">
        <v>31</v>
      </c>
      <c r="AX241" s="7">
        <v>1</v>
      </c>
      <c r="AY241" s="5">
        <v>5.75</v>
      </c>
      <c r="AZ241" s="7">
        <v>0</v>
      </c>
      <c r="BA241" s="7">
        <v>0</v>
      </c>
      <c r="BB241" s="7">
        <v>0</v>
      </c>
      <c r="BC241" s="7">
        <v>1</v>
      </c>
      <c r="BD241" s="7">
        <v>1</v>
      </c>
      <c r="BE241" s="7">
        <v>0</v>
      </c>
      <c r="BF241" s="7">
        <v>0</v>
      </c>
      <c r="BG241" s="7">
        <v>0</v>
      </c>
      <c r="BH241" s="7">
        <v>0</v>
      </c>
      <c r="BI241" s="7">
        <v>0</v>
      </c>
      <c r="BJ241" s="7">
        <v>1</v>
      </c>
      <c r="BK241" s="11">
        <v>2</v>
      </c>
      <c r="BL241" s="7" t="s">
        <v>1129</v>
      </c>
      <c r="BM241" s="6">
        <v>1</v>
      </c>
    </row>
    <row r="242" spans="1:65" ht="30" customHeight="1" x14ac:dyDescent="0.3">
      <c r="A242" s="3" t="s">
        <v>23</v>
      </c>
      <c r="B242" s="3">
        <v>13</v>
      </c>
      <c r="C242" s="8">
        <v>44451</v>
      </c>
      <c r="D242" s="9">
        <v>0.2986111111111111</v>
      </c>
      <c r="E242" s="4">
        <v>72</v>
      </c>
      <c r="F242" s="3">
        <v>0</v>
      </c>
      <c r="G242" s="3">
        <v>0</v>
      </c>
      <c r="H242" s="3">
        <v>0</v>
      </c>
      <c r="I242" s="3">
        <v>0</v>
      </c>
      <c r="J242" s="9">
        <v>0.30902777777777779</v>
      </c>
      <c r="K242" s="3">
        <v>145.4</v>
      </c>
      <c r="L242" s="11">
        <f t="shared" ref="L242" si="457">K242-K241</f>
        <v>-0.19999999999998863</v>
      </c>
      <c r="M242" s="5">
        <f t="shared" ref="M242" si="458">AB241</f>
        <v>2089.75</v>
      </c>
      <c r="N242" s="11">
        <v>30.625</v>
      </c>
      <c r="O242" s="11">
        <v>32.625</v>
      </c>
      <c r="P242" s="11">
        <v>11</v>
      </c>
      <c r="Q242" s="11">
        <v>11</v>
      </c>
      <c r="R242" s="11">
        <v>20.25</v>
      </c>
      <c r="S242" s="11">
        <v>20.125</v>
      </c>
      <c r="T242" s="11">
        <v>15</v>
      </c>
      <c r="U242" s="11">
        <v>16</v>
      </c>
      <c r="V242" s="11">
        <v>17</v>
      </c>
      <c r="W242" s="11">
        <v>17</v>
      </c>
      <c r="X242" s="11">
        <v>7</v>
      </c>
      <c r="Y242" s="11">
        <v>7</v>
      </c>
      <c r="Z242" s="3" t="s">
        <v>1274</v>
      </c>
      <c r="AA242" s="10" t="s">
        <v>1276</v>
      </c>
      <c r="AB242" s="5">
        <f>420+480+280+579+51</f>
        <v>1810</v>
      </c>
      <c r="AC242" s="6">
        <f>16+0+14+11+5</f>
        <v>46</v>
      </c>
      <c r="AD242" s="6">
        <f>4+0+2+2+3</f>
        <v>11</v>
      </c>
      <c r="AE242" s="6">
        <f>10+6+0+18+1</f>
        <v>35</v>
      </c>
      <c r="AF242" s="6">
        <f>62+114+40+102+0.4</f>
        <v>318.39999999999998</v>
      </c>
      <c r="AG242" s="6">
        <f>2+0+4+8+0</f>
        <v>14</v>
      </c>
      <c r="AH242" s="6">
        <f>640+120+30+1731+43</f>
        <v>2564</v>
      </c>
      <c r="AI242" s="6">
        <f t="shared" si="400"/>
        <v>2.541436464088398E-2</v>
      </c>
      <c r="AJ242" s="6">
        <f t="shared" si="401"/>
        <v>6.0773480662983425E-3</v>
      </c>
      <c r="AK242" s="6">
        <f t="shared" si="402"/>
        <v>1.9337016574585635E-2</v>
      </c>
      <c r="AL242" s="6">
        <f t="shared" si="403"/>
        <v>0.17591160220994473</v>
      </c>
      <c r="AM242" s="6">
        <f t="shared" si="404"/>
        <v>7.7348066298342545E-3</v>
      </c>
      <c r="AN242" s="6">
        <f t="shared" si="405"/>
        <v>1.4165745856353591</v>
      </c>
      <c r="AO242" s="7">
        <v>4</v>
      </c>
      <c r="AP242" s="7">
        <v>1</v>
      </c>
      <c r="AQ242" s="7">
        <v>0</v>
      </c>
      <c r="AR242" s="27">
        <v>0</v>
      </c>
      <c r="AS242" s="27">
        <v>0</v>
      </c>
      <c r="AT242" s="27">
        <v>0</v>
      </c>
      <c r="AU242" s="27">
        <v>0</v>
      </c>
      <c r="AV242" s="27">
        <v>0</v>
      </c>
      <c r="AW242" s="7">
        <v>31</v>
      </c>
      <c r="AX242" s="7">
        <v>1</v>
      </c>
      <c r="AY242" s="5">
        <v>6.5</v>
      </c>
      <c r="AZ242" s="7">
        <v>0</v>
      </c>
      <c r="BA242" s="7">
        <v>0</v>
      </c>
      <c r="BB242" s="7">
        <v>0</v>
      </c>
      <c r="BC242" s="7">
        <v>1</v>
      </c>
      <c r="BD242" s="7">
        <v>1</v>
      </c>
      <c r="BE242" s="7">
        <v>0</v>
      </c>
      <c r="BF242" s="7">
        <v>0</v>
      </c>
      <c r="BG242" s="7">
        <v>0</v>
      </c>
      <c r="BH242" s="7">
        <v>0</v>
      </c>
      <c r="BI242" s="7">
        <v>0</v>
      </c>
      <c r="BJ242" s="7">
        <v>1</v>
      </c>
      <c r="BK242" s="11">
        <v>2</v>
      </c>
      <c r="BL242" s="7" t="s">
        <v>1129</v>
      </c>
      <c r="BM242" s="6">
        <v>1</v>
      </c>
    </row>
    <row r="243" spans="1:65" ht="30" customHeight="1" x14ac:dyDescent="0.3">
      <c r="A243" s="3" t="s">
        <v>15</v>
      </c>
      <c r="B243" s="3">
        <v>14</v>
      </c>
      <c r="C243" s="8">
        <v>44452</v>
      </c>
      <c r="D243" s="9">
        <v>0.63541666666666663</v>
      </c>
      <c r="E243" s="4">
        <v>100</v>
      </c>
      <c r="F243" s="3">
        <v>0</v>
      </c>
      <c r="G243" s="3">
        <v>0</v>
      </c>
      <c r="H243" s="3">
        <v>0</v>
      </c>
      <c r="I243" s="3">
        <v>0.5</v>
      </c>
      <c r="J243" s="9">
        <v>0.34236111111111112</v>
      </c>
      <c r="K243" s="3">
        <v>147.19999999999999</v>
      </c>
      <c r="L243" s="11">
        <f t="shared" ref="L243" si="459">K243-K242</f>
        <v>1.7999999999999829</v>
      </c>
      <c r="M243" s="5">
        <f t="shared" ref="M243" si="460">AB242</f>
        <v>1810</v>
      </c>
      <c r="N243" s="11">
        <v>31</v>
      </c>
      <c r="O243" s="11">
        <v>32.5</v>
      </c>
      <c r="P243" s="11">
        <v>10.75</v>
      </c>
      <c r="Q243" s="11">
        <v>11</v>
      </c>
      <c r="R243" s="11">
        <v>20.375</v>
      </c>
      <c r="S243" s="11">
        <v>20.375</v>
      </c>
      <c r="T243" s="11">
        <v>17</v>
      </c>
      <c r="U243" s="11">
        <v>16</v>
      </c>
      <c r="V243" s="11">
        <v>17</v>
      </c>
      <c r="W243" s="11">
        <v>15</v>
      </c>
      <c r="X243" s="11">
        <v>7</v>
      </c>
      <c r="Y243" s="11">
        <v>7</v>
      </c>
      <c r="Z243" s="3" t="s">
        <v>1280</v>
      </c>
      <c r="AA243" s="10" t="s">
        <v>1282</v>
      </c>
      <c r="AB243" s="5">
        <f>315+230+60+240+300+80+6+0+220</f>
        <v>1451</v>
      </c>
      <c r="AC243" s="6">
        <f>12+1+4+0+12+5+0+0+4.5</f>
        <v>38.5</v>
      </c>
      <c r="AD243" s="6">
        <f>3+1+3+0+2+3.5+0+0+2.5</f>
        <v>15</v>
      </c>
      <c r="AE243" s="6">
        <f>8+8+5+3+4+6+0+0+7</f>
        <v>41</v>
      </c>
      <c r="AF243" s="6">
        <f>47+46+2+57+40+2+1+0+39</f>
        <v>234</v>
      </c>
      <c r="AG243" s="6">
        <f>1.5+2+0+0+2+0+0+0+1</f>
        <v>6.5</v>
      </c>
      <c r="AH243" s="6">
        <f>480+400+143+60+720+190+460+55+280</f>
        <v>2788</v>
      </c>
      <c r="AI243" s="6">
        <f t="shared" si="400"/>
        <v>2.653342522398346E-2</v>
      </c>
      <c r="AJ243" s="6">
        <f t="shared" si="401"/>
        <v>1.0337698139214336E-2</v>
      </c>
      <c r="AK243" s="6">
        <f t="shared" si="402"/>
        <v>2.8256374913852515E-2</v>
      </c>
      <c r="AL243" s="6">
        <f t="shared" si="403"/>
        <v>0.16126809097174363</v>
      </c>
      <c r="AM243" s="6">
        <f t="shared" si="404"/>
        <v>4.4796691936595454E-3</v>
      </c>
      <c r="AN243" s="6">
        <f t="shared" si="405"/>
        <v>1.9214334941419711</v>
      </c>
      <c r="AO243" s="7">
        <v>5</v>
      </c>
      <c r="AP243" s="7">
        <v>1</v>
      </c>
      <c r="AQ243" s="7">
        <v>0</v>
      </c>
      <c r="AR243" s="28" t="s">
        <v>1279</v>
      </c>
      <c r="AS243" s="27" t="s">
        <v>1278</v>
      </c>
      <c r="AT243" s="27">
        <v>0</v>
      </c>
      <c r="AU243" s="27">
        <f>20+10+3+5+10</f>
        <v>48</v>
      </c>
      <c r="AV243" s="27">
        <v>0</v>
      </c>
      <c r="AW243" s="7">
        <v>31</v>
      </c>
      <c r="AX243" s="7">
        <v>1</v>
      </c>
      <c r="AY243" s="5">
        <v>5</v>
      </c>
      <c r="AZ243" s="7">
        <v>0</v>
      </c>
      <c r="BA243" s="7">
        <v>0</v>
      </c>
      <c r="BB243" s="7">
        <v>0</v>
      </c>
      <c r="BC243" s="7">
        <v>1</v>
      </c>
      <c r="BD243" s="7">
        <v>1</v>
      </c>
      <c r="BE243" s="7">
        <v>0</v>
      </c>
      <c r="BF243" s="7">
        <v>0</v>
      </c>
      <c r="BG243" s="7">
        <v>0</v>
      </c>
      <c r="BH243" s="7">
        <v>0</v>
      </c>
      <c r="BI243" s="7">
        <v>0</v>
      </c>
      <c r="BJ243" s="7">
        <v>1</v>
      </c>
      <c r="BK243" s="11">
        <v>1</v>
      </c>
      <c r="BL243" s="7" t="s">
        <v>1129</v>
      </c>
      <c r="BM243" s="6">
        <v>1</v>
      </c>
    </row>
    <row r="244" spans="1:65" ht="30" customHeight="1" x14ac:dyDescent="0.3">
      <c r="A244" s="3" t="s">
        <v>16</v>
      </c>
      <c r="B244" s="3">
        <v>15</v>
      </c>
      <c r="C244" s="8">
        <v>44453</v>
      </c>
      <c r="D244" s="9">
        <v>0.5625</v>
      </c>
      <c r="E244" s="4">
        <v>90</v>
      </c>
      <c r="F244" s="3">
        <v>7</v>
      </c>
      <c r="G244" s="3">
        <v>3</v>
      </c>
      <c r="H244" s="3">
        <v>21</v>
      </c>
      <c r="I244" s="3">
        <v>0.5</v>
      </c>
      <c r="J244" s="9">
        <v>0.3347222222222222</v>
      </c>
      <c r="K244" s="3">
        <v>145.80000000000001</v>
      </c>
      <c r="L244" s="11">
        <f t="shared" ref="L244" si="461">K244-K243</f>
        <v>-1.3999999999999773</v>
      </c>
      <c r="M244" s="5">
        <f t="shared" ref="M244" si="462">AB243</f>
        <v>1451</v>
      </c>
      <c r="N244" s="11">
        <v>30.5</v>
      </c>
      <c r="O244" s="11">
        <v>32.75</v>
      </c>
      <c r="P244" s="11">
        <v>10.875</v>
      </c>
      <c r="Q244" s="11">
        <v>10.875</v>
      </c>
      <c r="R244" s="11">
        <v>19.625</v>
      </c>
      <c r="S244" s="11">
        <v>20.125</v>
      </c>
      <c r="T244" s="11">
        <v>17</v>
      </c>
      <c r="U244" s="11">
        <v>17</v>
      </c>
      <c r="V244" s="11">
        <v>17</v>
      </c>
      <c r="W244" s="11">
        <v>17</v>
      </c>
      <c r="X244" s="11">
        <v>7</v>
      </c>
      <c r="Y244" s="11">
        <v>7</v>
      </c>
      <c r="Z244" s="3" t="s">
        <v>1285</v>
      </c>
      <c r="AA244" s="10" t="s">
        <v>1284</v>
      </c>
      <c r="AB244" s="5">
        <f>520+120+0+10+13+400+240+230+220+230</f>
        <v>1983</v>
      </c>
      <c r="AC244" s="6">
        <f>36+8+0+0+1+24+0+1+5+1</f>
        <v>76</v>
      </c>
      <c r="AD244" s="6">
        <f>10+5+0+0+1+13+0+1+3+1</f>
        <v>34</v>
      </c>
      <c r="AE244" s="6">
        <f>40+9+0+0+0+8+3+8+7+8</f>
        <v>83</v>
      </c>
      <c r="AF244" s="6">
        <f>10+3+0+2+1+45+57+46+39+46</f>
        <v>249</v>
      </c>
      <c r="AG244" s="6">
        <f>4+0+0+0+0+3+0+2+1+2</f>
        <v>12</v>
      </c>
      <c r="AH244" s="6">
        <f>700+285+110+800+1+133+60+400+280+400</f>
        <v>3169</v>
      </c>
      <c r="AI244" s="6">
        <f t="shared" si="400"/>
        <v>3.8325769036812909E-2</v>
      </c>
      <c r="AJ244" s="6">
        <f t="shared" si="401"/>
        <v>1.7145738779626829E-2</v>
      </c>
      <c r="AK244" s="6">
        <f t="shared" si="402"/>
        <v>4.1855774079677256E-2</v>
      </c>
      <c r="AL244" s="6">
        <f t="shared" si="403"/>
        <v>0.12556732223903178</v>
      </c>
      <c r="AM244" s="6">
        <f t="shared" si="404"/>
        <v>6.0514372163388806E-3</v>
      </c>
      <c r="AN244" s="6">
        <f t="shared" si="405"/>
        <v>1.5980837115481594</v>
      </c>
      <c r="AO244" s="7">
        <v>5</v>
      </c>
      <c r="AP244" s="7">
        <v>1</v>
      </c>
      <c r="AQ244" s="7">
        <v>0</v>
      </c>
      <c r="AR244" s="28" t="s">
        <v>1283</v>
      </c>
      <c r="AS244" s="27">
        <v>0</v>
      </c>
      <c r="AT244" s="27">
        <v>0</v>
      </c>
      <c r="AU244" s="27">
        <v>0</v>
      </c>
      <c r="AV244" s="27">
        <v>0</v>
      </c>
      <c r="AW244" s="7">
        <v>31</v>
      </c>
      <c r="AX244" s="7">
        <v>1</v>
      </c>
      <c r="AY244" s="5">
        <v>6.5</v>
      </c>
      <c r="AZ244" s="7">
        <v>0</v>
      </c>
      <c r="BA244" s="7">
        <v>0</v>
      </c>
      <c r="BB244" s="7">
        <v>0</v>
      </c>
      <c r="BC244" s="7">
        <v>1</v>
      </c>
      <c r="BD244" s="7">
        <v>1</v>
      </c>
      <c r="BE244" s="7">
        <v>0</v>
      </c>
      <c r="BF244" s="7">
        <v>0</v>
      </c>
      <c r="BG244" s="7">
        <v>0</v>
      </c>
      <c r="BH244" s="7">
        <v>0</v>
      </c>
      <c r="BI244" s="7">
        <v>0</v>
      </c>
      <c r="BJ244" s="7">
        <v>1</v>
      </c>
      <c r="BK244" s="11">
        <v>1</v>
      </c>
      <c r="BL244" s="7" t="s">
        <v>1129</v>
      </c>
      <c r="BM244" s="6">
        <v>1</v>
      </c>
    </row>
    <row r="245" spans="1:65" ht="30" customHeight="1" x14ac:dyDescent="0.3">
      <c r="A245" s="3" t="s">
        <v>17</v>
      </c>
      <c r="B245" s="3">
        <v>16</v>
      </c>
      <c r="C245" s="8">
        <v>44454</v>
      </c>
      <c r="D245" s="9">
        <v>0.27083333333333331</v>
      </c>
      <c r="E245" s="4">
        <v>61</v>
      </c>
      <c r="F245" s="3">
        <v>0</v>
      </c>
      <c r="G245" s="3">
        <v>0</v>
      </c>
      <c r="H245" s="3">
        <v>0</v>
      </c>
      <c r="I245" s="3">
        <v>0</v>
      </c>
      <c r="J245" s="9">
        <v>0.30694444444444441</v>
      </c>
      <c r="K245" s="3">
        <v>142.80000000000001</v>
      </c>
      <c r="L245" s="11">
        <f t="shared" ref="L245" si="463">K245-K244</f>
        <v>-3</v>
      </c>
      <c r="M245" s="5">
        <f t="shared" ref="M245" si="464">AB244</f>
        <v>1983</v>
      </c>
      <c r="N245" s="11">
        <v>30.5</v>
      </c>
      <c r="O245" s="11">
        <v>32.75</v>
      </c>
      <c r="P245" s="11">
        <v>10.875</v>
      </c>
      <c r="Q245" s="11">
        <v>10.875</v>
      </c>
      <c r="R245" s="11">
        <v>19.75</v>
      </c>
      <c r="S245" s="11">
        <v>20.25</v>
      </c>
      <c r="T245" s="11">
        <v>15</v>
      </c>
      <c r="U245" s="11">
        <v>15</v>
      </c>
      <c r="V245" s="11">
        <v>16</v>
      </c>
      <c r="W245" s="11">
        <v>15</v>
      </c>
      <c r="X245" s="11">
        <v>7</v>
      </c>
      <c r="Y245" s="11">
        <v>7</v>
      </c>
      <c r="Z245" s="3" t="s">
        <v>1286</v>
      </c>
      <c r="AA245" s="10" t="s">
        <v>1287</v>
      </c>
      <c r="AB245" s="5">
        <f>460+120+760+240+720+630+360</f>
        <v>3290</v>
      </c>
      <c r="AC245" s="6">
        <f>2+7.5+34+2+0+31.5+14.4</f>
        <v>91.4</v>
      </c>
      <c r="AD245" s="6">
        <f>1+5.25+18+0.5+0+4.5+2.4</f>
        <v>31.65</v>
      </c>
      <c r="AE245" s="6">
        <f>1+5.25+18+0.5+0+4.5+2.4</f>
        <v>31.65</v>
      </c>
      <c r="AF245" s="6">
        <f>92+3+96+46+171+90+48</f>
        <v>546</v>
      </c>
      <c r="AG245" s="6">
        <f>4+0+6+2+0+9+2.4</f>
        <v>23.4</v>
      </c>
      <c r="AH245" s="6">
        <f>800+285+1760+630+180+67.5+864</f>
        <v>4586.5</v>
      </c>
      <c r="AI245" s="6">
        <f t="shared" si="400"/>
        <v>2.7781155015197571E-2</v>
      </c>
      <c r="AJ245" s="6">
        <f t="shared" si="401"/>
        <v>9.6200607902735564E-3</v>
      </c>
      <c r="AK245" s="6">
        <f t="shared" si="402"/>
        <v>9.6200607902735564E-3</v>
      </c>
      <c r="AL245" s="6">
        <f t="shared" si="403"/>
        <v>0.16595744680851063</v>
      </c>
      <c r="AM245" s="6">
        <f t="shared" si="404"/>
        <v>7.112462006079027E-3</v>
      </c>
      <c r="AN245" s="6">
        <f t="shared" si="405"/>
        <v>1.3940729483282674</v>
      </c>
      <c r="AO245" s="7">
        <v>5</v>
      </c>
      <c r="AP245" s="7">
        <v>1</v>
      </c>
      <c r="AQ245" s="7">
        <v>0</v>
      </c>
      <c r="AR245" s="27">
        <v>0</v>
      </c>
      <c r="AS245" s="27">
        <v>0</v>
      </c>
      <c r="AT245" s="27">
        <v>0</v>
      </c>
      <c r="AU245" s="27">
        <v>0</v>
      </c>
      <c r="AV245" s="27">
        <v>0</v>
      </c>
      <c r="AW245" s="7">
        <v>31</v>
      </c>
      <c r="AX245" s="7">
        <v>1</v>
      </c>
      <c r="AY245" s="5">
        <v>6</v>
      </c>
      <c r="AZ245" s="7">
        <v>0</v>
      </c>
      <c r="BA245" s="7">
        <v>0</v>
      </c>
      <c r="BB245" s="7">
        <v>0</v>
      </c>
      <c r="BC245" s="7">
        <v>1</v>
      </c>
      <c r="BD245" s="7">
        <v>1</v>
      </c>
      <c r="BE245" s="7">
        <v>0</v>
      </c>
      <c r="BF245" s="7">
        <v>0</v>
      </c>
      <c r="BG245" s="7">
        <v>0</v>
      </c>
      <c r="BH245" s="7">
        <v>0</v>
      </c>
      <c r="BI245" s="7">
        <v>0</v>
      </c>
      <c r="BJ245" s="7">
        <v>1</v>
      </c>
      <c r="BK245" s="11">
        <v>1</v>
      </c>
      <c r="BL245" s="7" t="s">
        <v>1129</v>
      </c>
      <c r="BM245" s="6">
        <v>1</v>
      </c>
    </row>
    <row r="246" spans="1:65" ht="30" customHeight="1" x14ac:dyDescent="0.3">
      <c r="A246" s="3" t="s">
        <v>18</v>
      </c>
      <c r="B246" s="3">
        <v>17</v>
      </c>
      <c r="C246" s="8">
        <v>44455</v>
      </c>
      <c r="D246" s="9">
        <v>0.25</v>
      </c>
      <c r="E246" s="4">
        <v>61</v>
      </c>
      <c r="F246" s="3">
        <v>0</v>
      </c>
      <c r="G246" s="3">
        <v>0</v>
      </c>
      <c r="H246" s="3">
        <v>0</v>
      </c>
      <c r="I246" s="3">
        <v>0</v>
      </c>
      <c r="J246" s="9">
        <v>0.40625</v>
      </c>
      <c r="K246" s="3">
        <v>149.80000000000001</v>
      </c>
      <c r="L246" s="11">
        <f t="shared" ref="L246" si="465">K246-K245</f>
        <v>7</v>
      </c>
      <c r="M246" s="5">
        <f t="shared" ref="M246" si="466">AB245</f>
        <v>3290</v>
      </c>
      <c r="N246" s="11">
        <v>30.625</v>
      </c>
      <c r="O246" s="11">
        <v>32.5</v>
      </c>
      <c r="P246" s="11">
        <v>11</v>
      </c>
      <c r="Q246" s="11">
        <v>10.875</v>
      </c>
      <c r="R246" s="11">
        <v>20.125</v>
      </c>
      <c r="S246" s="11">
        <v>20.375</v>
      </c>
      <c r="T246" s="11">
        <v>15</v>
      </c>
      <c r="U246" s="11">
        <v>14</v>
      </c>
      <c r="V246" s="11">
        <v>15</v>
      </c>
      <c r="W246" s="11">
        <v>15</v>
      </c>
      <c r="X246" s="11">
        <v>7</v>
      </c>
      <c r="Y246" s="11">
        <v>7</v>
      </c>
      <c r="Z246" s="3" t="s">
        <v>1289</v>
      </c>
      <c r="AA246" s="10" t="s">
        <v>1288</v>
      </c>
      <c r="AB246" s="5">
        <f>460+120+480+640+220+150+220+80+270</f>
        <v>2640</v>
      </c>
      <c r="AC246" s="6">
        <f>2+7.5+19.2+0+4.5+9+4.5+5+10.8</f>
        <v>62.5</v>
      </c>
      <c r="AD246" s="6">
        <f>1+5.25+3.2+0+2.5+5+2.5+3.5+1.8</f>
        <v>24.75</v>
      </c>
      <c r="AE246" s="6">
        <f>16+9+6.4+8+7+2+7+6+3.6</f>
        <v>65</v>
      </c>
      <c r="AF246" s="6">
        <f>92+3+64+152+39+17+39+2+36</f>
        <v>444</v>
      </c>
      <c r="AG246" s="6">
        <f>4+0+3.2+0+1+1+1+0+1.8</f>
        <v>12</v>
      </c>
      <c r="AH246" s="6">
        <f>800+285+1152+160+280+50+280+190+684</f>
        <v>3881</v>
      </c>
      <c r="AI246" s="6">
        <f t="shared" si="400"/>
        <v>2.3674242424242424E-2</v>
      </c>
      <c r="AJ246" s="6">
        <f t="shared" si="401"/>
        <v>9.3749999999999997E-3</v>
      </c>
      <c r="AK246" s="6">
        <f t="shared" si="402"/>
        <v>2.462121212121212E-2</v>
      </c>
      <c r="AL246" s="6">
        <f t="shared" si="403"/>
        <v>0.16818181818181818</v>
      </c>
      <c r="AM246" s="6">
        <f t="shared" si="404"/>
        <v>4.5454545454545452E-3</v>
      </c>
      <c r="AN246" s="6">
        <f t="shared" si="405"/>
        <v>1.4700757575757575</v>
      </c>
      <c r="AO246" s="7">
        <v>5</v>
      </c>
      <c r="AP246" s="7">
        <v>2</v>
      </c>
      <c r="AQ246" s="7">
        <v>0</v>
      </c>
      <c r="AR246" s="27">
        <v>0</v>
      </c>
      <c r="AS246" s="27">
        <v>0</v>
      </c>
      <c r="AT246" s="27">
        <v>0</v>
      </c>
      <c r="AU246" s="27">
        <v>0</v>
      </c>
      <c r="AV246" s="27">
        <v>0</v>
      </c>
      <c r="AW246" s="7">
        <v>31</v>
      </c>
      <c r="AX246" s="7">
        <v>1</v>
      </c>
      <c r="AY246" s="5">
        <v>5.5</v>
      </c>
      <c r="AZ246" s="7">
        <v>0</v>
      </c>
      <c r="BA246" s="7">
        <v>0</v>
      </c>
      <c r="BB246" s="7">
        <v>0</v>
      </c>
      <c r="BC246" s="7">
        <v>1</v>
      </c>
      <c r="BD246" s="7">
        <v>1</v>
      </c>
      <c r="BE246" s="7">
        <v>0</v>
      </c>
      <c r="BF246" s="7">
        <v>0</v>
      </c>
      <c r="BG246" s="7">
        <v>0</v>
      </c>
      <c r="BH246" s="7">
        <v>0</v>
      </c>
      <c r="BI246" s="7">
        <v>0</v>
      </c>
      <c r="BJ246" s="7">
        <v>1</v>
      </c>
      <c r="BK246" s="11">
        <v>3.5</v>
      </c>
      <c r="BL246" s="7" t="s">
        <v>1129</v>
      </c>
      <c r="BM246" s="6">
        <v>1</v>
      </c>
    </row>
    <row r="247" spans="1:65" ht="30" customHeight="1" x14ac:dyDescent="0.3">
      <c r="A247" s="3" t="s">
        <v>137</v>
      </c>
      <c r="B247" s="3">
        <v>18</v>
      </c>
      <c r="C247" s="8">
        <v>44456</v>
      </c>
      <c r="D247" s="9">
        <v>0.40625</v>
      </c>
      <c r="E247" s="4">
        <v>68</v>
      </c>
      <c r="F247" s="3">
        <v>0</v>
      </c>
      <c r="G247" s="3">
        <v>0</v>
      </c>
      <c r="H247" s="3">
        <v>0</v>
      </c>
      <c r="I247" s="3">
        <v>0.75</v>
      </c>
      <c r="J247" s="9">
        <v>0.3</v>
      </c>
      <c r="K247" s="3">
        <v>145.6</v>
      </c>
      <c r="L247" s="11">
        <f t="shared" ref="L247" si="467">K247-K246</f>
        <v>-4.2000000000000171</v>
      </c>
      <c r="M247" s="5">
        <f t="shared" ref="M247" si="468">AB246</f>
        <v>2640</v>
      </c>
      <c r="N247" s="11">
        <v>31.25</v>
      </c>
      <c r="O247" s="11">
        <v>33</v>
      </c>
      <c r="P247" s="11">
        <v>11</v>
      </c>
      <c r="Q247" s="11">
        <v>11.125</v>
      </c>
      <c r="R247" s="11">
        <v>19.5</v>
      </c>
      <c r="S247" s="11">
        <v>20</v>
      </c>
      <c r="T247" s="11">
        <v>14</v>
      </c>
      <c r="U247" s="11">
        <v>14</v>
      </c>
      <c r="V247" s="11">
        <v>17</v>
      </c>
      <c r="W247" s="11">
        <v>16</v>
      </c>
      <c r="X247" s="11">
        <v>7</v>
      </c>
      <c r="Y247" s="11">
        <v>7</v>
      </c>
      <c r="Z247" s="3" t="s">
        <v>1291</v>
      </c>
      <c r="AA247" s="10" t="s">
        <v>1297</v>
      </c>
      <c r="AB247" s="5">
        <f>440+180+7+0+240+19+400+110+240+380+200</f>
        <v>2216</v>
      </c>
      <c r="AC247" s="6">
        <f>9+11+0+0+17+0+0+0+17+17+9</f>
        <v>80</v>
      </c>
      <c r="AD247" s="6">
        <f>5+8+0+0+3+0+0+0+3+9+4</f>
        <v>32</v>
      </c>
      <c r="AE247" s="6">
        <f>14+14+0+0+4.5+2+5+12+5+9+9</f>
        <v>74.5</v>
      </c>
      <c r="AF247" s="6">
        <f>78+5+1+0+20+3+95+15+20+48+20</f>
        <v>305</v>
      </c>
      <c r="AG247" s="6">
        <f>2+0+0+0+3+1+0+0+3+3+2</f>
        <v>14</v>
      </c>
      <c r="AH247" s="6">
        <f>560+428+533+55+390+8+100+60+390+880+80</f>
        <v>3484</v>
      </c>
      <c r="AI247" s="6">
        <f t="shared" si="400"/>
        <v>3.6101083032490974E-2</v>
      </c>
      <c r="AJ247" s="6">
        <f t="shared" si="401"/>
        <v>1.444043321299639E-2</v>
      </c>
      <c r="AK247" s="6">
        <f t="shared" si="402"/>
        <v>3.3619133574007219E-2</v>
      </c>
      <c r="AL247" s="6">
        <f t="shared" si="403"/>
        <v>0.13763537906137185</v>
      </c>
      <c r="AM247" s="6">
        <f t="shared" si="404"/>
        <v>6.3176895306859202E-3</v>
      </c>
      <c r="AN247" s="6">
        <f t="shared" si="405"/>
        <v>1.5722021660649819</v>
      </c>
      <c r="AO247" s="7">
        <v>5</v>
      </c>
      <c r="AP247" s="7">
        <v>1</v>
      </c>
      <c r="AQ247" s="7">
        <v>0</v>
      </c>
      <c r="AR247" s="27" t="s">
        <v>1294</v>
      </c>
      <c r="AS247" s="27" t="s">
        <v>1293</v>
      </c>
      <c r="AT247" s="27">
        <v>0</v>
      </c>
      <c r="AU247" s="27">
        <f>10-10</f>
        <v>0</v>
      </c>
      <c r="AV247" s="27">
        <v>0</v>
      </c>
      <c r="AW247" s="7">
        <v>31</v>
      </c>
      <c r="AX247" s="7">
        <v>1</v>
      </c>
      <c r="AY247" s="5">
        <v>8.25</v>
      </c>
      <c r="AZ247" s="7">
        <v>0</v>
      </c>
      <c r="BA247" s="7">
        <v>1</v>
      </c>
      <c r="BB247" s="7">
        <v>0</v>
      </c>
      <c r="BC247" s="7">
        <v>1</v>
      </c>
      <c r="BD247" s="7">
        <v>1</v>
      </c>
      <c r="BE247" s="7">
        <v>0</v>
      </c>
      <c r="BF247" s="7">
        <v>0</v>
      </c>
      <c r="BG247" s="7">
        <v>0</v>
      </c>
      <c r="BH247" s="7">
        <v>0</v>
      </c>
      <c r="BI247" s="7">
        <v>0</v>
      </c>
      <c r="BJ247" s="7">
        <v>1</v>
      </c>
      <c r="BK247" s="11">
        <v>0</v>
      </c>
      <c r="BL247" s="3">
        <v>0</v>
      </c>
      <c r="BM247" s="6">
        <v>1</v>
      </c>
    </row>
    <row r="248" spans="1:65" ht="30" customHeight="1" x14ac:dyDescent="0.3">
      <c r="A248" s="3" t="s">
        <v>19</v>
      </c>
      <c r="B248" s="3">
        <v>19</v>
      </c>
      <c r="C248" s="8">
        <v>44457</v>
      </c>
      <c r="D248" s="9">
        <v>0.75</v>
      </c>
      <c r="E248" s="4">
        <v>79</v>
      </c>
      <c r="F248" s="3">
        <v>5</v>
      </c>
      <c r="G248" s="3">
        <v>3</v>
      </c>
      <c r="H248" s="3">
        <v>15</v>
      </c>
      <c r="I248" s="3">
        <v>0.4</v>
      </c>
      <c r="J248" s="9">
        <v>0.2638888888888889</v>
      </c>
      <c r="K248" s="3">
        <v>144.6</v>
      </c>
      <c r="L248" s="11">
        <f t="shared" ref="L248" si="469">K248-K247</f>
        <v>-1</v>
      </c>
      <c r="M248" s="5">
        <f t="shared" ref="M248" si="470">AB247</f>
        <v>2216</v>
      </c>
      <c r="N248" s="11">
        <v>30.5</v>
      </c>
      <c r="O248" s="11">
        <v>32.25</v>
      </c>
      <c r="P248" s="11">
        <v>10.875</v>
      </c>
      <c r="Q248" s="11">
        <v>10.875</v>
      </c>
      <c r="R248" s="11">
        <v>20.125</v>
      </c>
      <c r="S248" s="11">
        <v>20.125</v>
      </c>
      <c r="T248" s="11">
        <v>15</v>
      </c>
      <c r="U248" s="11">
        <v>15</v>
      </c>
      <c r="V248" s="11">
        <v>16</v>
      </c>
      <c r="W248" s="11">
        <v>15</v>
      </c>
      <c r="X248" s="11">
        <v>7</v>
      </c>
      <c r="Y248" s="11">
        <v>7</v>
      </c>
      <c r="Z248" s="3" t="s">
        <v>1300</v>
      </c>
      <c r="AA248" s="10" t="s">
        <v>1301</v>
      </c>
      <c r="AB248" s="5">
        <f>110+520+320+200+320+240+220+8+0+80</f>
        <v>2018</v>
      </c>
      <c r="AC248" s="6">
        <f>0+5+22+9+0+10+5+0+0+5</f>
        <v>56</v>
      </c>
      <c r="AD248" s="6">
        <f>0+0+4+4+0+2+3+0+0+3.5</f>
        <v>16.5</v>
      </c>
      <c r="AE248" s="6">
        <f>12+22+6+9+4+3+7+0+0+6</f>
        <v>69</v>
      </c>
      <c r="AF248" s="6">
        <f>15+96+26+20+76+32+39+2+0+2</f>
        <v>308</v>
      </c>
      <c r="AG248" s="6">
        <f>0+6+4+2+0+1.6+1+0+0+0</f>
        <v>14.6</v>
      </c>
      <c r="AH248" s="6">
        <f>60+760+520+80+80+576+280+640+55+190</f>
        <v>3241</v>
      </c>
      <c r="AI248" s="6">
        <f t="shared" si="400"/>
        <v>2.7750247770069375E-2</v>
      </c>
      <c r="AJ248" s="6">
        <f t="shared" si="401"/>
        <v>8.1764122893954409E-3</v>
      </c>
      <c r="AK248" s="6">
        <f t="shared" si="402"/>
        <v>3.4192269573835483E-2</v>
      </c>
      <c r="AL248" s="6">
        <f t="shared" si="403"/>
        <v>0.15262636273538158</v>
      </c>
      <c r="AM248" s="6">
        <f t="shared" si="404"/>
        <v>7.2348860257680867E-3</v>
      </c>
      <c r="AN248" s="6">
        <f t="shared" si="405"/>
        <v>1.606045589692765</v>
      </c>
      <c r="AO248" s="7">
        <v>5</v>
      </c>
      <c r="AP248" s="7">
        <v>1</v>
      </c>
      <c r="AQ248" s="7">
        <v>0</v>
      </c>
      <c r="AR248" s="28" t="s">
        <v>1299</v>
      </c>
      <c r="AS248" s="27">
        <v>0</v>
      </c>
      <c r="AT248" s="27">
        <v>0</v>
      </c>
      <c r="AU248" s="27">
        <v>0</v>
      </c>
      <c r="AV248" s="27">
        <v>0</v>
      </c>
      <c r="AW248" s="7">
        <v>31</v>
      </c>
      <c r="AX248" s="7">
        <v>1</v>
      </c>
      <c r="AY248" s="5">
        <v>6</v>
      </c>
      <c r="AZ248" s="7">
        <v>0</v>
      </c>
      <c r="BA248" s="7">
        <v>1</v>
      </c>
      <c r="BB248" s="7">
        <v>0</v>
      </c>
      <c r="BC248" s="7">
        <v>1</v>
      </c>
      <c r="BD248" s="7">
        <v>1</v>
      </c>
      <c r="BE248" s="7">
        <v>0</v>
      </c>
      <c r="BF248" s="7">
        <v>0</v>
      </c>
      <c r="BG248" s="7">
        <v>0</v>
      </c>
      <c r="BH248" s="7">
        <v>0</v>
      </c>
      <c r="BI248" s="7">
        <v>0</v>
      </c>
      <c r="BJ248" s="7">
        <v>1</v>
      </c>
      <c r="BK248" s="11">
        <v>0</v>
      </c>
      <c r="BL248" s="7">
        <v>0</v>
      </c>
      <c r="BM248" s="6">
        <v>1</v>
      </c>
    </row>
    <row r="249" spans="1:65" ht="30" customHeight="1" x14ac:dyDescent="0.3">
      <c r="A249" s="3" t="s">
        <v>23</v>
      </c>
      <c r="B249" s="3">
        <v>20</v>
      </c>
      <c r="C249" s="8">
        <v>44458</v>
      </c>
      <c r="D249" s="9">
        <v>0.29166666666666669</v>
      </c>
      <c r="E249" s="4">
        <v>56</v>
      </c>
      <c r="F249" s="3">
        <v>0</v>
      </c>
      <c r="G249" s="3">
        <v>0</v>
      </c>
      <c r="H249" s="3">
        <v>0</v>
      </c>
      <c r="I249" s="3">
        <v>0</v>
      </c>
      <c r="J249" s="9">
        <v>0.27916666666666667</v>
      </c>
      <c r="K249" s="3">
        <v>144.19999999999999</v>
      </c>
      <c r="L249" s="11">
        <f t="shared" ref="L249" si="471">K249-K248</f>
        <v>-0.40000000000000568</v>
      </c>
      <c r="M249" s="5">
        <f t="shared" ref="M249" si="472">AB248</f>
        <v>2018</v>
      </c>
      <c r="N249" s="11">
        <v>30.875</v>
      </c>
      <c r="O249" s="11">
        <v>32.625</v>
      </c>
      <c r="P249" s="11">
        <v>10.75</v>
      </c>
      <c r="Q249" s="11">
        <v>10.875</v>
      </c>
      <c r="R249" s="11">
        <v>20.125</v>
      </c>
      <c r="S249" s="11">
        <v>20.375</v>
      </c>
      <c r="T249" s="11">
        <v>15</v>
      </c>
      <c r="U249" s="11">
        <v>15</v>
      </c>
      <c r="V249" s="11">
        <v>17</v>
      </c>
      <c r="W249" s="11">
        <v>15</v>
      </c>
      <c r="X249" s="11">
        <v>7</v>
      </c>
      <c r="Y249" s="11">
        <v>7</v>
      </c>
      <c r="Z249" s="3" t="s">
        <v>1302</v>
      </c>
      <c r="AA249" s="10" t="s">
        <v>1306</v>
      </c>
      <c r="AB249" s="5">
        <f>200+38+440+120+0+16+110+240+98+110+260+70</f>
        <v>1702</v>
      </c>
      <c r="AC249" s="6">
        <f>9+1+9+8+0+0+0+0+4+1+3+5</f>
        <v>40</v>
      </c>
      <c r="AD249" s="6">
        <f>4+0+5+5+0+0+0+0+0+1+0+3</f>
        <v>18</v>
      </c>
      <c r="AE249" s="6">
        <f>9+4+14+9+0+0+12+3+2+1+11+4</f>
        <v>69</v>
      </c>
      <c r="AF249" s="6">
        <f>20+7+78+3+0+3+15+57+15+24+48+1</f>
        <v>271</v>
      </c>
      <c r="AG249" s="6">
        <f>2+2+2+0+0+0+0+0+2+0+3+0</f>
        <v>11</v>
      </c>
      <c r="AH249" s="6">
        <f>80+16+560+285+110+1280+60+60+248+150+380+250</f>
        <v>3479</v>
      </c>
      <c r="AI249" s="6">
        <f t="shared" si="400"/>
        <v>2.3501762632197415E-2</v>
      </c>
      <c r="AJ249" s="6">
        <f t="shared" si="401"/>
        <v>1.0575793184488837E-2</v>
      </c>
      <c r="AK249" s="6">
        <f t="shared" si="402"/>
        <v>4.0540540540540543E-2</v>
      </c>
      <c r="AL249" s="6">
        <f t="shared" si="403"/>
        <v>0.1592244418331375</v>
      </c>
      <c r="AM249" s="6">
        <f t="shared" si="404"/>
        <v>6.4629847238542888E-3</v>
      </c>
      <c r="AN249" s="6">
        <f t="shared" si="405"/>
        <v>2.0440658049353702</v>
      </c>
      <c r="AO249" s="7">
        <v>5</v>
      </c>
      <c r="AP249" s="7">
        <v>2</v>
      </c>
      <c r="AQ249" s="7">
        <v>0</v>
      </c>
      <c r="AR249" s="28">
        <v>0</v>
      </c>
      <c r="AS249" s="27">
        <v>0</v>
      </c>
      <c r="AT249" s="27">
        <v>0</v>
      </c>
      <c r="AU249" s="27">
        <v>0</v>
      </c>
      <c r="AV249" s="27">
        <v>0</v>
      </c>
      <c r="AW249" s="7">
        <v>31</v>
      </c>
      <c r="AX249" s="7">
        <v>1</v>
      </c>
      <c r="AY249" s="5">
        <v>7.75</v>
      </c>
      <c r="AZ249" s="7">
        <v>0</v>
      </c>
      <c r="BA249" s="7">
        <v>1</v>
      </c>
      <c r="BB249" s="7">
        <v>0</v>
      </c>
      <c r="BC249" s="7">
        <v>1</v>
      </c>
      <c r="BD249" s="7">
        <v>1</v>
      </c>
      <c r="BE249" s="7">
        <v>0</v>
      </c>
      <c r="BF249" s="7">
        <v>0</v>
      </c>
      <c r="BG249" s="7">
        <v>0</v>
      </c>
      <c r="BH249" s="7">
        <v>0</v>
      </c>
      <c r="BI249" s="7">
        <v>0</v>
      </c>
      <c r="BJ249" s="7">
        <v>1</v>
      </c>
      <c r="BK249" s="11">
        <v>0</v>
      </c>
      <c r="BL249" s="7">
        <v>0</v>
      </c>
      <c r="BM249" s="6">
        <v>1</v>
      </c>
    </row>
    <row r="250" spans="1:65" ht="30" customHeight="1" x14ac:dyDescent="0.3">
      <c r="A250" s="3" t="s">
        <v>15</v>
      </c>
      <c r="B250" s="3">
        <v>21</v>
      </c>
      <c r="C250" s="8">
        <v>44459</v>
      </c>
      <c r="D250" s="9">
        <v>0.65972222222222221</v>
      </c>
      <c r="E250" s="4">
        <v>93</v>
      </c>
      <c r="F250" s="3">
        <v>0</v>
      </c>
      <c r="G250" s="3">
        <v>0</v>
      </c>
      <c r="H250" s="3">
        <v>0</v>
      </c>
      <c r="I250" s="3">
        <v>0.4</v>
      </c>
      <c r="J250" s="9">
        <v>0.27013888888888887</v>
      </c>
      <c r="K250" s="3">
        <v>143.19999999999999</v>
      </c>
      <c r="L250" s="11">
        <f t="shared" ref="L250" si="473">K250-K249</f>
        <v>-1</v>
      </c>
      <c r="M250" s="5">
        <f t="shared" ref="M250" si="474">AB249</f>
        <v>1702</v>
      </c>
      <c r="N250" s="11">
        <v>30.5</v>
      </c>
      <c r="O250" s="11">
        <v>32.375</v>
      </c>
      <c r="P250" s="11">
        <v>10.875</v>
      </c>
      <c r="Q250" s="11">
        <v>10.875</v>
      </c>
      <c r="R250" s="11">
        <v>20.375</v>
      </c>
      <c r="S250" s="11">
        <v>20</v>
      </c>
      <c r="T250" s="11">
        <v>16</v>
      </c>
      <c r="U250" s="11">
        <v>17</v>
      </c>
      <c r="V250" s="11">
        <v>17</v>
      </c>
      <c r="W250" s="11">
        <v>15</v>
      </c>
      <c r="X250" s="11">
        <v>7</v>
      </c>
      <c r="Y250" s="11">
        <v>7</v>
      </c>
      <c r="Z250" s="3" t="s">
        <v>1310</v>
      </c>
      <c r="AA250" s="10" t="s">
        <v>1309</v>
      </c>
      <c r="AB250" s="12">
        <f>220+120+220+520+16+0+400+520+240+210+6</f>
        <v>2472</v>
      </c>
      <c r="AC250" s="6">
        <f>4.5+7.5+2+36+0+0+0+10+0+15+0</f>
        <v>75</v>
      </c>
      <c r="AD250" s="6">
        <f>2.5+5+1+10+0+0+0+1+0+4.5+0</f>
        <v>24</v>
      </c>
      <c r="AE250" s="6">
        <f>7+9+2+40+0+0+5+26+3+18+0</f>
        <v>110</v>
      </c>
      <c r="AF250" s="6">
        <f>39+3+48+10+3+0+95+88+57+0+1.2</f>
        <v>344.2</v>
      </c>
      <c r="AG250" s="6">
        <f>1+0+0+4+0+0+0+10+0+0+0</f>
        <v>15</v>
      </c>
      <c r="AH250" s="6">
        <f>280+285+300+700+1280+110+100+700+60+210+480</f>
        <v>4505</v>
      </c>
      <c r="AI250" s="6">
        <f t="shared" si="400"/>
        <v>3.0339805825242719E-2</v>
      </c>
      <c r="AJ250" s="6">
        <f t="shared" si="401"/>
        <v>9.7087378640776691E-3</v>
      </c>
      <c r="AK250" s="6">
        <f t="shared" si="402"/>
        <v>4.4498381877022652E-2</v>
      </c>
      <c r="AL250" s="6">
        <f t="shared" si="403"/>
        <v>0.13923948220064725</v>
      </c>
      <c r="AM250" s="6">
        <f t="shared" si="404"/>
        <v>6.0679611650485436E-3</v>
      </c>
      <c r="AN250" s="6">
        <f t="shared" si="405"/>
        <v>1.8224110032362459</v>
      </c>
      <c r="AO250" s="7">
        <v>5</v>
      </c>
      <c r="AP250" s="7">
        <v>3</v>
      </c>
      <c r="AQ250" s="7">
        <v>0</v>
      </c>
      <c r="AR250" s="28" t="s">
        <v>1308</v>
      </c>
      <c r="AS250" s="28">
        <f>10+10</f>
        <v>20</v>
      </c>
      <c r="AT250" s="27">
        <v>0</v>
      </c>
      <c r="AU250" s="27">
        <v>0</v>
      </c>
      <c r="AV250" s="27">
        <v>0</v>
      </c>
      <c r="AW250" s="7">
        <v>31</v>
      </c>
      <c r="AX250" s="7">
        <v>1</v>
      </c>
      <c r="AY250" s="5">
        <v>5</v>
      </c>
      <c r="AZ250" s="7">
        <v>0</v>
      </c>
      <c r="BA250" s="7">
        <v>0</v>
      </c>
      <c r="BB250" s="7">
        <v>0</v>
      </c>
      <c r="BC250" s="7">
        <v>1</v>
      </c>
      <c r="BD250" s="7">
        <v>1</v>
      </c>
      <c r="BE250" s="7">
        <v>0</v>
      </c>
      <c r="BF250" s="7">
        <v>0</v>
      </c>
      <c r="BG250" s="7">
        <v>0</v>
      </c>
      <c r="BH250" s="7">
        <v>0</v>
      </c>
      <c r="BI250" s="7">
        <v>0</v>
      </c>
      <c r="BJ250" s="7">
        <v>1</v>
      </c>
      <c r="BK250" s="11">
        <v>3</v>
      </c>
      <c r="BL250" s="7" t="s">
        <v>1305</v>
      </c>
      <c r="BM250" s="6">
        <v>1</v>
      </c>
    </row>
    <row r="251" spans="1:65" ht="30" customHeight="1" x14ac:dyDescent="0.3">
      <c r="A251" s="3" t="s">
        <v>16</v>
      </c>
      <c r="B251" s="3">
        <v>22</v>
      </c>
      <c r="C251" s="8">
        <v>44460</v>
      </c>
      <c r="D251" s="9">
        <v>0.66666666666666663</v>
      </c>
      <c r="E251" s="4">
        <v>100</v>
      </c>
      <c r="F251" s="3">
        <v>5</v>
      </c>
      <c r="G251" s="3">
        <v>3</v>
      </c>
      <c r="H251" s="3">
        <v>15</v>
      </c>
      <c r="I251" s="3">
        <v>0.5</v>
      </c>
      <c r="J251" s="9">
        <v>0.25208333333333333</v>
      </c>
      <c r="K251" s="3">
        <v>143.80000000000001</v>
      </c>
      <c r="L251" s="11">
        <f t="shared" ref="L251" si="475">K251-K250</f>
        <v>0.60000000000002274</v>
      </c>
      <c r="M251" s="5">
        <f t="shared" ref="M251" si="476">AB250</f>
        <v>2472</v>
      </c>
      <c r="N251" s="11">
        <v>31.5</v>
      </c>
      <c r="O251" s="11">
        <v>32.5</v>
      </c>
      <c r="P251" s="11">
        <v>10.875</v>
      </c>
      <c r="Q251" s="11">
        <v>11</v>
      </c>
      <c r="R251" s="11">
        <v>20</v>
      </c>
      <c r="S251" s="11">
        <v>20.375</v>
      </c>
      <c r="T251" s="11">
        <v>15</v>
      </c>
      <c r="U251" s="11">
        <v>15</v>
      </c>
      <c r="V251" s="11">
        <v>17</v>
      </c>
      <c r="W251" s="11">
        <v>17</v>
      </c>
      <c r="X251" s="11">
        <v>7</v>
      </c>
      <c r="Y251" s="11">
        <v>7</v>
      </c>
      <c r="Z251" s="3" t="s">
        <v>1311</v>
      </c>
      <c r="AA251" s="10" t="s">
        <v>1312</v>
      </c>
      <c r="AB251" s="5">
        <f>780+280+180+0+20+160</f>
        <v>1420</v>
      </c>
      <c r="AC251" s="6">
        <f>15+20+11+0+0+0</f>
        <v>46</v>
      </c>
      <c r="AD251" s="6">
        <f>2+6+8+0+0+0</f>
        <v>16</v>
      </c>
      <c r="AE251" s="6">
        <f>39+24+14+0+0+2</f>
        <v>79</v>
      </c>
      <c r="AF251" s="6">
        <f>132+0+5+0+4+38</f>
        <v>179</v>
      </c>
      <c r="AG251" s="6">
        <f>15+0+0+0+0+0</f>
        <v>15</v>
      </c>
      <c r="AH251" s="6">
        <f>1050+280+428+110+1600+40</f>
        <v>3508</v>
      </c>
      <c r="AI251" s="6">
        <f t="shared" si="400"/>
        <v>3.2394366197183097E-2</v>
      </c>
      <c r="AJ251" s="6">
        <f t="shared" si="401"/>
        <v>1.1267605633802818E-2</v>
      </c>
      <c r="AK251" s="6">
        <f t="shared" si="402"/>
        <v>5.5633802816901411E-2</v>
      </c>
      <c r="AL251" s="6">
        <f t="shared" si="403"/>
        <v>0.12605633802816901</v>
      </c>
      <c r="AM251" s="6">
        <f t="shared" si="404"/>
        <v>1.0563380281690141E-2</v>
      </c>
      <c r="AN251" s="6">
        <f t="shared" si="405"/>
        <v>2.4704225352112674</v>
      </c>
      <c r="AO251" s="7">
        <v>5</v>
      </c>
      <c r="AP251" s="7">
        <v>1</v>
      </c>
      <c r="AQ251" s="7">
        <v>0</v>
      </c>
      <c r="AR251" s="28" t="s">
        <v>1313</v>
      </c>
      <c r="AS251" s="28">
        <f>15+10-9</f>
        <v>16</v>
      </c>
      <c r="AT251" s="27">
        <v>0</v>
      </c>
      <c r="AU251" s="27">
        <v>0</v>
      </c>
      <c r="AV251" s="27">
        <v>0</v>
      </c>
      <c r="AW251" s="7">
        <v>31</v>
      </c>
      <c r="AX251" s="7">
        <v>1</v>
      </c>
      <c r="AY251" s="5">
        <v>7.25</v>
      </c>
      <c r="AZ251" s="7">
        <v>0</v>
      </c>
      <c r="BA251" s="7">
        <v>0</v>
      </c>
      <c r="BB251" s="7">
        <v>0</v>
      </c>
      <c r="BC251" s="7">
        <v>1</v>
      </c>
      <c r="BD251" s="7">
        <v>1</v>
      </c>
      <c r="BE251" s="7">
        <v>0</v>
      </c>
      <c r="BF251" s="7">
        <v>0</v>
      </c>
      <c r="BG251" s="7">
        <v>0</v>
      </c>
      <c r="BH251" s="7">
        <v>0</v>
      </c>
      <c r="BI251" s="7">
        <v>0</v>
      </c>
      <c r="BJ251" s="7">
        <v>1</v>
      </c>
      <c r="BK251" s="11">
        <v>1</v>
      </c>
      <c r="BL251" s="7" t="s">
        <v>1305</v>
      </c>
      <c r="BM251" s="6">
        <v>1</v>
      </c>
    </row>
    <row r="252" spans="1:65" ht="30" customHeight="1" x14ac:dyDescent="0.3">
      <c r="A252" s="3" t="s">
        <v>17</v>
      </c>
      <c r="B252" s="3">
        <v>23</v>
      </c>
      <c r="C252" s="8">
        <v>44461</v>
      </c>
      <c r="D252" s="9">
        <v>0.27430555555555552</v>
      </c>
      <c r="E252" s="4">
        <v>73</v>
      </c>
      <c r="F252" s="3">
        <v>0</v>
      </c>
      <c r="G252" s="3">
        <v>0</v>
      </c>
      <c r="H252" s="3">
        <v>0</v>
      </c>
      <c r="I252" s="3">
        <v>0</v>
      </c>
      <c r="J252" s="9">
        <v>0.27777777777777779</v>
      </c>
      <c r="K252" s="3">
        <v>142.80000000000001</v>
      </c>
      <c r="L252" s="11">
        <f t="shared" ref="L252" si="477">K252-K251</f>
        <v>-1</v>
      </c>
      <c r="M252" s="5">
        <f t="shared" ref="M252" si="478">AB251</f>
        <v>1420</v>
      </c>
      <c r="N252" s="11">
        <v>30.5</v>
      </c>
      <c r="O252" s="11">
        <v>32.25</v>
      </c>
      <c r="P252" s="11">
        <v>10.75</v>
      </c>
      <c r="Q252" s="11">
        <v>10.875</v>
      </c>
      <c r="R252" s="11">
        <v>19.75</v>
      </c>
      <c r="S252" s="11">
        <v>20</v>
      </c>
      <c r="T252" s="11">
        <v>15</v>
      </c>
      <c r="U252" s="11">
        <v>15</v>
      </c>
      <c r="V252" s="11">
        <v>16</v>
      </c>
      <c r="W252" s="11">
        <v>15</v>
      </c>
      <c r="X252" s="11">
        <v>7</v>
      </c>
      <c r="Y252" s="11">
        <v>7</v>
      </c>
      <c r="Z252" s="3" t="s">
        <v>1323</v>
      </c>
      <c r="AA252" s="10" t="s">
        <v>1322</v>
      </c>
      <c r="AB252" s="5">
        <f>500+810+220+400+113+260+87+200+520+15+0</f>
        <v>3125</v>
      </c>
      <c r="AC252" s="6">
        <f>38+9+14+0+5+10+10+9+5+0+0</f>
        <v>100</v>
      </c>
      <c r="AD252" s="6">
        <f>9+0+9+0+3+6+6+5+0+0+0</f>
        <v>38</v>
      </c>
      <c r="AE252" s="6">
        <f>31+36+20+5+1+2+2+1+22+0+0</f>
        <v>120</v>
      </c>
      <c r="AF252" s="6">
        <f>12+153+4+95+18+38+38+27+96+3+0</f>
        <v>484</v>
      </c>
      <c r="AG252" s="6">
        <f>4+9+0+0+0+2+2+0+6+0+0</f>
        <v>23</v>
      </c>
      <c r="AH252" s="6">
        <f>527+1200+740+100+38+40+40+80+760+1200+110</f>
        <v>4835</v>
      </c>
      <c r="AI252" s="6">
        <f t="shared" si="400"/>
        <v>3.2000000000000001E-2</v>
      </c>
      <c r="AJ252" s="6">
        <f t="shared" si="401"/>
        <v>1.2160000000000001E-2</v>
      </c>
      <c r="AK252" s="6">
        <f t="shared" si="402"/>
        <v>3.8399999999999997E-2</v>
      </c>
      <c r="AL252" s="6">
        <f t="shared" si="403"/>
        <v>0.15487999999999999</v>
      </c>
      <c r="AM252" s="6">
        <f t="shared" si="404"/>
        <v>7.3600000000000002E-3</v>
      </c>
      <c r="AN252" s="6">
        <f t="shared" si="405"/>
        <v>1.5471999999999999</v>
      </c>
      <c r="AO252" s="7">
        <v>6</v>
      </c>
      <c r="AP252" s="7">
        <v>1</v>
      </c>
      <c r="AQ252" s="7">
        <v>0</v>
      </c>
      <c r="AR252" s="27">
        <v>0</v>
      </c>
      <c r="AS252" s="27">
        <v>0</v>
      </c>
      <c r="AT252" s="27">
        <v>0</v>
      </c>
      <c r="AU252" s="27">
        <v>0</v>
      </c>
      <c r="AV252" s="27">
        <v>0</v>
      </c>
      <c r="AW252" s="7">
        <v>31</v>
      </c>
      <c r="AX252" s="7">
        <v>1</v>
      </c>
      <c r="AY252" s="5">
        <v>6.5</v>
      </c>
      <c r="AZ252" s="7">
        <v>0</v>
      </c>
      <c r="BA252" s="7">
        <v>1</v>
      </c>
      <c r="BB252" s="7">
        <v>0</v>
      </c>
      <c r="BC252" s="7">
        <v>1</v>
      </c>
      <c r="BD252" s="7">
        <v>1</v>
      </c>
      <c r="BE252" s="7">
        <v>0</v>
      </c>
      <c r="BF252" s="7">
        <v>0</v>
      </c>
      <c r="BG252" s="7">
        <v>0</v>
      </c>
      <c r="BH252" s="7">
        <v>0</v>
      </c>
      <c r="BI252" s="7">
        <v>0</v>
      </c>
      <c r="BJ252" s="7">
        <v>1</v>
      </c>
      <c r="BK252" s="11">
        <v>0</v>
      </c>
      <c r="BL252" s="7">
        <v>0</v>
      </c>
      <c r="BM252" s="6">
        <v>1</v>
      </c>
    </row>
    <row r="253" spans="1:65" ht="30" customHeight="1" x14ac:dyDescent="0.3">
      <c r="A253" s="3" t="s">
        <v>18</v>
      </c>
      <c r="B253" s="3">
        <v>24</v>
      </c>
      <c r="C253" s="8">
        <v>44462</v>
      </c>
      <c r="D253" s="9">
        <v>0.72430555555555554</v>
      </c>
      <c r="E253" s="4">
        <v>84</v>
      </c>
      <c r="F253" s="3">
        <v>0</v>
      </c>
      <c r="G253" s="3">
        <v>0</v>
      </c>
      <c r="H253" s="3">
        <v>0</v>
      </c>
      <c r="I253" s="3">
        <v>0</v>
      </c>
      <c r="J253" s="9">
        <v>0.30555555555555552</v>
      </c>
      <c r="K253" s="3">
        <v>143.80000000000001</v>
      </c>
      <c r="L253" s="11">
        <f t="shared" ref="L253" si="479">K253-K252</f>
        <v>1</v>
      </c>
      <c r="M253" s="5">
        <f t="shared" ref="M253" si="480">AB252</f>
        <v>3125</v>
      </c>
      <c r="N253" s="11">
        <v>30.375</v>
      </c>
      <c r="O253" s="11">
        <v>32.125</v>
      </c>
      <c r="P253" s="11">
        <v>10.875</v>
      </c>
      <c r="Q253" s="11">
        <v>11</v>
      </c>
      <c r="R253" s="11">
        <v>20</v>
      </c>
      <c r="S253" s="11">
        <v>20</v>
      </c>
      <c r="T253" s="11">
        <v>15</v>
      </c>
      <c r="U253" s="11">
        <v>15</v>
      </c>
      <c r="V253" s="11">
        <v>15</v>
      </c>
      <c r="W253" s="11">
        <v>15</v>
      </c>
      <c r="X253" s="11">
        <v>7</v>
      </c>
      <c r="Y253" s="11">
        <v>7</v>
      </c>
      <c r="Z253" s="3" t="s">
        <v>1325</v>
      </c>
      <c r="AA253" s="10" t="s">
        <v>1324</v>
      </c>
      <c r="AB253" s="5">
        <f>360+334+270+260+220+160+113+100+130+100+10+0+140+260+17+0+86+87+101+75+130</f>
        <v>2953</v>
      </c>
      <c r="AC253" s="6">
        <f>21+25+3+3+14+0+5+5+5+5+0+0+7+3+0+0+4+2+5+3+5</f>
        <v>115</v>
      </c>
      <c r="AD253" s="6">
        <f>12+6+0+0+9+0+3+3+3+3+0+0+3+0+0+0+2+1+3+2+3</f>
        <v>53</v>
      </c>
      <c r="AE253" s="6">
        <f>29+21+12+11+20+2+1+1+1+1+0+0+2+11+0+0+1+1+1+1+1</f>
        <v>117</v>
      </c>
      <c r="AF253" s="6">
        <f>14+8+51+48+4+38+18+13+19+13+2+0+20+48+3+0+11+15+13+12+19</f>
        <v>369</v>
      </c>
      <c r="AG253" s="6">
        <f>5+3+3+3+0+0+0+0+1+0+0+0+3+3+0+0+1+0+0+0+1</f>
        <v>23</v>
      </c>
      <c r="AH253" s="6">
        <f>555+351+400+380+740+40+38+40+20+40+800+110+310+380+1320+55+43+37+40+25+20</f>
        <v>5744</v>
      </c>
      <c r="AI253" s="6">
        <f t="shared" si="400"/>
        <v>3.8943447341686421E-2</v>
      </c>
      <c r="AJ253" s="6">
        <f t="shared" si="401"/>
        <v>1.7947849644429394E-2</v>
      </c>
      <c r="AK253" s="6">
        <f t="shared" si="402"/>
        <v>3.9620724686759229E-2</v>
      </c>
      <c r="AL253" s="6">
        <f t="shared" si="403"/>
        <v>0.12495767016593295</v>
      </c>
      <c r="AM253" s="6">
        <f t="shared" si="404"/>
        <v>7.7886894683372844E-3</v>
      </c>
      <c r="AN253" s="6">
        <f t="shared" si="405"/>
        <v>1.9451405350491027</v>
      </c>
      <c r="AO253" s="7">
        <v>6</v>
      </c>
      <c r="AP253" s="7">
        <v>3</v>
      </c>
      <c r="AQ253" s="7">
        <v>0</v>
      </c>
      <c r="AR253" s="27">
        <v>0</v>
      </c>
      <c r="AS253" s="27">
        <v>0</v>
      </c>
      <c r="AT253" s="27">
        <v>0</v>
      </c>
      <c r="AU253" s="27">
        <v>0</v>
      </c>
      <c r="AV253" s="27">
        <v>0</v>
      </c>
      <c r="AW253" s="7">
        <v>31</v>
      </c>
      <c r="AX253" s="7">
        <v>1</v>
      </c>
      <c r="AY253" s="5">
        <v>6.5</v>
      </c>
      <c r="AZ253" s="7">
        <v>0</v>
      </c>
      <c r="BA253" s="7">
        <v>0</v>
      </c>
      <c r="BB253" s="7">
        <v>0</v>
      </c>
      <c r="BC253" s="7">
        <v>1</v>
      </c>
      <c r="BD253" s="7">
        <v>1</v>
      </c>
      <c r="BE253" s="7">
        <v>0</v>
      </c>
      <c r="BF253" s="7">
        <v>0</v>
      </c>
      <c r="BG253" s="7">
        <v>0</v>
      </c>
      <c r="BH253" s="7">
        <v>0</v>
      </c>
      <c r="BI253" s="7">
        <v>0</v>
      </c>
      <c r="BJ253" s="7">
        <v>1</v>
      </c>
      <c r="BK253" s="11">
        <v>3</v>
      </c>
      <c r="BL253" s="3" t="s">
        <v>1305</v>
      </c>
      <c r="BM253" s="6">
        <v>1</v>
      </c>
    </row>
    <row r="254" spans="1:65" ht="30" customHeight="1" x14ac:dyDescent="0.3">
      <c r="A254" s="3" t="s">
        <v>137</v>
      </c>
      <c r="B254" s="3">
        <v>25</v>
      </c>
      <c r="C254" s="8">
        <v>44463</v>
      </c>
      <c r="D254" s="9">
        <v>0.28888888888888892</v>
      </c>
      <c r="E254" s="4">
        <v>64</v>
      </c>
      <c r="F254" s="3">
        <v>0</v>
      </c>
      <c r="G254" s="3">
        <v>0</v>
      </c>
      <c r="H254" s="3">
        <v>0</v>
      </c>
      <c r="I254" s="3">
        <v>0</v>
      </c>
      <c r="J254" s="9">
        <v>0.29166666666666669</v>
      </c>
      <c r="K254" s="3">
        <v>144.4</v>
      </c>
      <c r="L254" s="11">
        <f t="shared" ref="L254" si="481">K254-K253</f>
        <v>0.59999999999999432</v>
      </c>
      <c r="M254" s="5">
        <f t="shared" ref="M254" si="482">AB253</f>
        <v>2953</v>
      </c>
      <c r="N254" s="11">
        <v>30.75</v>
      </c>
      <c r="O254" s="11">
        <v>32.125</v>
      </c>
      <c r="P254" s="11">
        <v>11</v>
      </c>
      <c r="Q254" s="11">
        <v>11</v>
      </c>
      <c r="R254" s="11">
        <v>20.25</v>
      </c>
      <c r="S254" s="11">
        <v>20.375</v>
      </c>
      <c r="T254" s="11">
        <v>15</v>
      </c>
      <c r="U254" s="11">
        <v>15</v>
      </c>
      <c r="V254" s="11">
        <v>17</v>
      </c>
      <c r="W254" s="11">
        <v>16</v>
      </c>
      <c r="X254" s="11">
        <v>7</v>
      </c>
      <c r="Y254" s="11">
        <v>7</v>
      </c>
      <c r="Z254" s="3" t="s">
        <v>1327</v>
      </c>
      <c r="AA254" s="10" t="s">
        <v>1326</v>
      </c>
      <c r="AB254" s="5">
        <f>260+110+17+0+260+78+50+130</f>
        <v>905</v>
      </c>
      <c r="AC254" s="6">
        <f>3+7+0+0+18+2+2+5</f>
        <v>37</v>
      </c>
      <c r="AD254" s="6">
        <f>0+5+0+0+5+1+1+3</f>
        <v>15</v>
      </c>
      <c r="AE254" s="6">
        <f>11+10+0+0+20+1+0+1</f>
        <v>43</v>
      </c>
      <c r="AF254" s="6">
        <f>48+2+3+0+5+14+7+19</f>
        <v>98</v>
      </c>
      <c r="AG254" s="6">
        <f>3+0+0+0+2+0+0+1</f>
        <v>6</v>
      </c>
      <c r="AH254" s="6">
        <f>380+370+1320+55+350+33+20+20</f>
        <v>2548</v>
      </c>
      <c r="AI254" s="6">
        <f t="shared" si="400"/>
        <v>4.0883977900552489E-2</v>
      </c>
      <c r="AJ254" s="6">
        <f t="shared" si="401"/>
        <v>1.6574585635359115E-2</v>
      </c>
      <c r="AK254" s="6">
        <f t="shared" si="402"/>
        <v>4.7513812154696133E-2</v>
      </c>
      <c r="AL254" s="6">
        <f t="shared" si="403"/>
        <v>0.10828729281767956</v>
      </c>
      <c r="AM254" s="6">
        <f t="shared" si="404"/>
        <v>6.6298342541436465E-3</v>
      </c>
      <c r="AN254" s="6">
        <f t="shared" si="405"/>
        <v>2.8154696132596686</v>
      </c>
      <c r="AO254" s="7">
        <v>6</v>
      </c>
      <c r="AP254" s="7">
        <v>1</v>
      </c>
      <c r="AQ254" s="7">
        <v>0</v>
      </c>
      <c r="AR254" s="27">
        <v>0</v>
      </c>
      <c r="AS254" s="27">
        <v>0</v>
      </c>
      <c r="AT254" s="27">
        <v>0</v>
      </c>
      <c r="AU254" s="27">
        <v>0</v>
      </c>
      <c r="AV254" s="27">
        <v>0</v>
      </c>
      <c r="AW254" s="7">
        <v>31</v>
      </c>
      <c r="AX254" s="7">
        <v>1</v>
      </c>
      <c r="AY254" s="5">
        <v>7</v>
      </c>
      <c r="AZ254" s="7">
        <v>0</v>
      </c>
      <c r="BA254" s="7">
        <v>1</v>
      </c>
      <c r="BB254" s="7">
        <v>0</v>
      </c>
      <c r="BC254" s="7">
        <v>1</v>
      </c>
      <c r="BD254" s="7">
        <v>1</v>
      </c>
      <c r="BE254" s="7">
        <v>0</v>
      </c>
      <c r="BF254" s="7">
        <v>0</v>
      </c>
      <c r="BG254" s="7">
        <v>0</v>
      </c>
      <c r="BH254" s="7">
        <v>0</v>
      </c>
      <c r="BI254" s="7">
        <v>0</v>
      </c>
      <c r="BJ254" s="7">
        <v>1</v>
      </c>
      <c r="BK254" s="11">
        <v>0</v>
      </c>
      <c r="BL254" s="7">
        <v>0</v>
      </c>
      <c r="BM254" s="6">
        <v>1</v>
      </c>
    </row>
    <row r="255" spans="1:65" ht="30" customHeight="1" x14ac:dyDescent="0.3">
      <c r="A255" s="3" t="s">
        <v>19</v>
      </c>
      <c r="B255" s="3">
        <v>26</v>
      </c>
      <c r="C255" s="8">
        <v>44464</v>
      </c>
      <c r="D255" s="9">
        <v>0.37291666666666662</v>
      </c>
      <c r="E255" s="4">
        <v>70</v>
      </c>
      <c r="F255" s="3">
        <v>0</v>
      </c>
      <c r="G255" s="3">
        <v>0</v>
      </c>
      <c r="H255" s="3">
        <v>0</v>
      </c>
      <c r="I255" s="3">
        <v>0</v>
      </c>
      <c r="J255" s="9">
        <v>0.32222222222222224</v>
      </c>
      <c r="K255" s="3">
        <v>140.19999999999999</v>
      </c>
      <c r="L255" s="11">
        <f t="shared" ref="L255" si="483">K255-K254</f>
        <v>-4.2000000000000171</v>
      </c>
      <c r="M255" s="5">
        <f t="shared" ref="M255" si="484">AB254</f>
        <v>905</v>
      </c>
      <c r="N255" s="11">
        <v>30.5</v>
      </c>
      <c r="O255" s="11">
        <v>32</v>
      </c>
      <c r="P255" s="11">
        <v>10.625</v>
      </c>
      <c r="Q255" s="11">
        <v>10.75</v>
      </c>
      <c r="R255" s="11">
        <v>20.5</v>
      </c>
      <c r="S255" s="11">
        <v>20.25</v>
      </c>
      <c r="T255" s="11">
        <v>15</v>
      </c>
      <c r="U255" s="11">
        <v>15</v>
      </c>
      <c r="V255" s="11">
        <v>16</v>
      </c>
      <c r="W255" s="11">
        <v>16</v>
      </c>
      <c r="X255" s="11">
        <v>7</v>
      </c>
      <c r="Y255" s="11">
        <v>7</v>
      </c>
      <c r="Z255" s="3" t="s">
        <v>1336</v>
      </c>
      <c r="AA255" s="10" t="s">
        <v>1338</v>
      </c>
      <c r="AB255" s="5">
        <f>270+350+300+250+140+95+70+90+90</f>
        <v>1655</v>
      </c>
      <c r="AC255" s="6">
        <f>13+13+7+12+8+0.3+0+0+0.5</f>
        <v>53.8</v>
      </c>
      <c r="AD255" s="6">
        <f>1.5+5+4.5+8+1+0+0+15+0</f>
        <v>35</v>
      </c>
      <c r="AE255" s="6">
        <f>5+15+12+3+2+1+1+1+0</f>
        <v>40</v>
      </c>
      <c r="AF255" s="6">
        <f>34+42+47+31+16+25+16+21+20</f>
        <v>252</v>
      </c>
      <c r="AG255" s="6">
        <f>2+3+0+0+0+4.4+1+13+0</f>
        <v>23.4</v>
      </c>
      <c r="AH255" s="6">
        <f>640+570+280+55+140+2+0+15+15</f>
        <v>1717</v>
      </c>
      <c r="AI255" s="6">
        <f t="shared" si="400"/>
        <v>3.2507552870090634E-2</v>
      </c>
      <c r="AJ255" s="6">
        <f t="shared" si="401"/>
        <v>2.1148036253776436E-2</v>
      </c>
      <c r="AK255" s="6">
        <f t="shared" si="402"/>
        <v>2.4169184290030211E-2</v>
      </c>
      <c r="AL255" s="6">
        <f t="shared" si="403"/>
        <v>0.15226586102719034</v>
      </c>
      <c r="AM255" s="6">
        <f t="shared" si="404"/>
        <v>1.4138972809667673E-2</v>
      </c>
      <c r="AN255" s="6">
        <f t="shared" si="405"/>
        <v>1.0374622356495469</v>
      </c>
      <c r="AO255" s="7">
        <v>4</v>
      </c>
      <c r="AP255" s="7">
        <v>0</v>
      </c>
      <c r="AQ255" s="7">
        <v>0</v>
      </c>
      <c r="AR255" s="27">
        <v>0</v>
      </c>
      <c r="AS255" s="27">
        <v>0</v>
      </c>
      <c r="AT255" s="27">
        <v>0</v>
      </c>
      <c r="AU255" s="27">
        <v>0</v>
      </c>
      <c r="AV255" s="27">
        <v>0</v>
      </c>
      <c r="AW255" s="7">
        <v>31</v>
      </c>
      <c r="AX255" s="7">
        <v>1</v>
      </c>
      <c r="AY255" s="5">
        <v>5</v>
      </c>
      <c r="AZ255" s="7">
        <v>0</v>
      </c>
      <c r="BA255" s="7">
        <v>1</v>
      </c>
      <c r="BB255" s="7">
        <v>0</v>
      </c>
      <c r="BC255" s="7">
        <v>1</v>
      </c>
      <c r="BD255" s="7">
        <v>1</v>
      </c>
      <c r="BE255" s="7">
        <v>0</v>
      </c>
      <c r="BF255" s="7">
        <v>0</v>
      </c>
      <c r="BG255" s="7">
        <v>0</v>
      </c>
      <c r="BH255" s="7">
        <v>0</v>
      </c>
      <c r="BI255" s="7">
        <v>0</v>
      </c>
      <c r="BJ255" s="7">
        <v>1</v>
      </c>
      <c r="BK255" s="11">
        <v>0</v>
      </c>
      <c r="BL255" s="7">
        <v>0</v>
      </c>
      <c r="BM255" s="6">
        <v>1</v>
      </c>
    </row>
    <row r="256" spans="1:65" ht="30" customHeight="1" x14ac:dyDescent="0.3">
      <c r="A256" s="3" t="s">
        <v>23</v>
      </c>
      <c r="B256" s="3">
        <v>27</v>
      </c>
      <c r="C256" s="8">
        <v>44465</v>
      </c>
      <c r="D256" s="9">
        <v>0.34513888888888888</v>
      </c>
      <c r="E256" s="4">
        <v>63</v>
      </c>
      <c r="F256" s="3">
        <v>0</v>
      </c>
      <c r="G256" s="3">
        <v>0</v>
      </c>
      <c r="H256" s="3">
        <v>0</v>
      </c>
      <c r="I256" s="3">
        <v>0</v>
      </c>
      <c r="J256" s="9">
        <v>0.3659722222222222</v>
      </c>
      <c r="K256" s="3">
        <v>142.19999999999999</v>
      </c>
      <c r="L256" s="11">
        <f t="shared" ref="L256" si="485">K256-K255</f>
        <v>2</v>
      </c>
      <c r="M256" s="5">
        <f t="shared" ref="M256" si="486">AB255</f>
        <v>1655</v>
      </c>
      <c r="N256" s="11">
        <v>30.375</v>
      </c>
      <c r="O256" s="11">
        <v>32.875</v>
      </c>
      <c r="P256" s="11">
        <v>10.5</v>
      </c>
      <c r="Q256" s="11">
        <v>10.5</v>
      </c>
      <c r="R256" s="11">
        <v>20.5</v>
      </c>
      <c r="S256" s="11">
        <v>20.25</v>
      </c>
      <c r="T256" s="11">
        <v>15</v>
      </c>
      <c r="U256" s="11">
        <v>15</v>
      </c>
      <c r="V256" s="11">
        <v>17</v>
      </c>
      <c r="W256" s="11">
        <v>15</v>
      </c>
      <c r="X256" s="11">
        <v>7</v>
      </c>
      <c r="Y256" s="11">
        <v>7</v>
      </c>
      <c r="Z256" s="3" t="s">
        <v>1340</v>
      </c>
      <c r="AA256" s="10" t="s">
        <v>1350</v>
      </c>
      <c r="AB256" s="5">
        <f>180+90+140+250+160+322+17+22+440+42+249+560</f>
        <v>2472</v>
      </c>
      <c r="AC256" s="6">
        <f>1+0+0+0+2+29+0+0+44+1+6+24</f>
        <v>107</v>
      </c>
      <c r="AD256" s="6">
        <f>0+15+0+0+0+4+0+0+24+0+3+14</f>
        <v>60</v>
      </c>
      <c r="AE256" s="6">
        <f>0+1+2+0+4+4+1+1+8+8+11+16</f>
        <v>56</v>
      </c>
      <c r="AF256" s="6">
        <f>40+21+32+66+30+17+3+5+8+0+38+72</f>
        <v>332</v>
      </c>
      <c r="AG256" s="6">
        <f>0+13+2+0+2+18+0+1.5+0+0+1.5+0</f>
        <v>38</v>
      </c>
      <c r="AH256" s="6">
        <f>30+15+0+100+440+14+27+6+1560+59+329+260</f>
        <v>2840</v>
      </c>
      <c r="AI256" s="6">
        <f t="shared" si="400"/>
        <v>4.3284789644012944E-2</v>
      </c>
      <c r="AJ256" s="6">
        <f t="shared" si="401"/>
        <v>2.4271844660194174E-2</v>
      </c>
      <c r="AK256" s="6">
        <f t="shared" si="402"/>
        <v>2.2653721682847898E-2</v>
      </c>
      <c r="AL256" s="6">
        <f t="shared" si="403"/>
        <v>0.13430420711974109</v>
      </c>
      <c r="AM256" s="6">
        <f t="shared" si="404"/>
        <v>1.5372168284789644E-2</v>
      </c>
      <c r="AN256" s="6">
        <f t="shared" si="405"/>
        <v>1.1488673139158576</v>
      </c>
      <c r="AO256" s="7">
        <v>4</v>
      </c>
      <c r="AP256" s="7">
        <v>0</v>
      </c>
      <c r="AQ256" s="7">
        <v>0</v>
      </c>
      <c r="AR256" s="27">
        <v>0</v>
      </c>
      <c r="AS256" s="27">
        <v>0</v>
      </c>
      <c r="AT256" s="27">
        <v>0</v>
      </c>
      <c r="AU256" s="27">
        <v>0</v>
      </c>
      <c r="AV256" s="27">
        <v>0</v>
      </c>
      <c r="AW256" s="7">
        <v>31</v>
      </c>
      <c r="AX256" s="7">
        <v>1</v>
      </c>
      <c r="AY256" s="5">
        <v>5</v>
      </c>
      <c r="AZ256" s="7">
        <v>0</v>
      </c>
      <c r="BA256" s="7">
        <v>1</v>
      </c>
      <c r="BB256" s="7">
        <v>0</v>
      </c>
      <c r="BC256" s="7">
        <v>1</v>
      </c>
      <c r="BD256" s="7">
        <v>1</v>
      </c>
      <c r="BE256" s="7">
        <v>0</v>
      </c>
      <c r="BF256" s="7">
        <v>0</v>
      </c>
      <c r="BG256" s="7">
        <v>0</v>
      </c>
      <c r="BH256" s="7">
        <v>0</v>
      </c>
      <c r="BI256" s="7">
        <v>0</v>
      </c>
      <c r="BJ256" s="7">
        <v>1</v>
      </c>
      <c r="BK256" s="11">
        <v>0</v>
      </c>
      <c r="BL256" s="7">
        <v>0</v>
      </c>
      <c r="BM256" s="6">
        <v>1</v>
      </c>
    </row>
    <row r="257" spans="1:65" ht="30" customHeight="1" x14ac:dyDescent="0.3">
      <c r="A257" s="3" t="s">
        <v>15</v>
      </c>
      <c r="B257" s="3">
        <v>0</v>
      </c>
      <c r="C257" s="8">
        <v>44466</v>
      </c>
      <c r="D257" s="9">
        <v>0.21527777777777779</v>
      </c>
      <c r="E257" s="4">
        <v>68</v>
      </c>
      <c r="F257" s="3">
        <v>0</v>
      </c>
      <c r="G257" s="3">
        <v>0</v>
      </c>
      <c r="H257" s="3">
        <v>0</v>
      </c>
      <c r="I257" s="3">
        <v>0</v>
      </c>
      <c r="J257" s="9">
        <v>0.63472222222222219</v>
      </c>
      <c r="K257" s="3">
        <v>142</v>
      </c>
      <c r="L257" s="11">
        <f t="shared" ref="L257" si="487">K257-K256</f>
        <v>-0.19999999999998863</v>
      </c>
      <c r="M257" s="5">
        <f t="shared" ref="M257" si="488">AB256</f>
        <v>2472</v>
      </c>
      <c r="N257" s="11">
        <v>30.875</v>
      </c>
      <c r="O257" s="11">
        <v>32.125</v>
      </c>
      <c r="P257" s="11">
        <v>10.75</v>
      </c>
      <c r="Q257" s="11">
        <v>10.875</v>
      </c>
      <c r="R257" s="11">
        <v>20</v>
      </c>
      <c r="S257" s="11">
        <v>19.75</v>
      </c>
      <c r="T257" s="11">
        <v>13</v>
      </c>
      <c r="U257" s="11">
        <v>14</v>
      </c>
      <c r="V257" s="11">
        <v>17</v>
      </c>
      <c r="W257" s="11">
        <v>15</v>
      </c>
      <c r="X257" s="11">
        <v>7</v>
      </c>
      <c r="Y257" s="11">
        <v>7</v>
      </c>
      <c r="Z257" s="3" t="s">
        <v>1347</v>
      </c>
      <c r="AA257" s="10" t="s">
        <v>1346</v>
      </c>
      <c r="AB257" s="5">
        <f>240+150+87+26+65+260+260+280+132</f>
        <v>1500</v>
      </c>
      <c r="AC257" s="6">
        <f>0+7+4+1+3+18+3+12+3</f>
        <v>51</v>
      </c>
      <c r="AD257" s="6">
        <f>0+4+2+0+2+5+0+7+2</f>
        <v>22</v>
      </c>
      <c r="AE257" s="6">
        <f>3+1+1+0+1+20+11+8+1</f>
        <v>46</v>
      </c>
      <c r="AF257" s="6">
        <f>57+20+11+5+10+5+48+36+24</f>
        <v>216</v>
      </c>
      <c r="AG257" s="6">
        <f>0+0+1+0+1+2+3+0+0</f>
        <v>7</v>
      </c>
      <c r="AH257" s="6">
        <f>60+60+43+11+10+350+380+130+79</f>
        <v>1123</v>
      </c>
      <c r="AI257" s="6">
        <f t="shared" si="400"/>
        <v>3.4000000000000002E-2</v>
      </c>
      <c r="AJ257" s="6">
        <f t="shared" si="401"/>
        <v>1.4666666666666666E-2</v>
      </c>
      <c r="AK257" s="6">
        <f t="shared" si="402"/>
        <v>3.0666666666666665E-2</v>
      </c>
      <c r="AL257" s="6">
        <f t="shared" si="403"/>
        <v>0.14399999999999999</v>
      </c>
      <c r="AM257" s="6">
        <f t="shared" si="404"/>
        <v>4.6666666666666671E-3</v>
      </c>
      <c r="AN257" s="6">
        <f t="shared" si="405"/>
        <v>0.7486666666666667</v>
      </c>
      <c r="AO257" s="7">
        <v>4</v>
      </c>
      <c r="AP257" s="7">
        <v>1</v>
      </c>
      <c r="AQ257" s="7">
        <v>1</v>
      </c>
      <c r="AR257" s="27">
        <v>0</v>
      </c>
      <c r="AS257" s="27">
        <v>0</v>
      </c>
      <c r="AT257" s="27">
        <v>0</v>
      </c>
      <c r="AU257" s="27">
        <v>0</v>
      </c>
      <c r="AV257" s="27">
        <v>0</v>
      </c>
      <c r="AW257" s="7">
        <v>0</v>
      </c>
      <c r="AX257" s="7">
        <v>1</v>
      </c>
      <c r="AY257" s="5">
        <v>2.75</v>
      </c>
      <c r="AZ257" s="7">
        <v>0</v>
      </c>
      <c r="BA257" s="7">
        <v>0</v>
      </c>
      <c r="BB257" s="7">
        <v>0</v>
      </c>
      <c r="BC257" s="7">
        <v>1</v>
      </c>
      <c r="BD257" s="7">
        <v>1</v>
      </c>
      <c r="BE257" s="7">
        <v>0</v>
      </c>
      <c r="BF257" s="7">
        <v>1</v>
      </c>
      <c r="BG257" s="7">
        <v>20</v>
      </c>
      <c r="BH257" s="7">
        <v>0</v>
      </c>
      <c r="BI257" s="7">
        <v>0</v>
      </c>
      <c r="BJ257" s="7">
        <v>1</v>
      </c>
      <c r="BK257" s="11">
        <v>1</v>
      </c>
      <c r="BL257" s="7" t="s">
        <v>1305</v>
      </c>
      <c r="BM257" s="6">
        <v>1</v>
      </c>
    </row>
    <row r="258" spans="1:65" ht="30" customHeight="1" x14ac:dyDescent="0.3">
      <c r="A258" s="3" t="s">
        <v>16</v>
      </c>
      <c r="B258" s="3">
        <v>1</v>
      </c>
      <c r="C258" s="8">
        <v>44467</v>
      </c>
      <c r="D258" s="9">
        <v>0.27777777777777779</v>
      </c>
      <c r="E258" s="4">
        <v>62</v>
      </c>
      <c r="F258" s="3">
        <v>0</v>
      </c>
      <c r="G258" s="3">
        <v>0</v>
      </c>
      <c r="H258" s="3">
        <v>0</v>
      </c>
      <c r="I258" s="3">
        <v>0</v>
      </c>
      <c r="J258" s="9">
        <v>0.40972222222222227</v>
      </c>
      <c r="K258" s="3">
        <v>142.19999999999999</v>
      </c>
      <c r="L258" s="11">
        <f t="shared" ref="L258" si="489">K258-K257</f>
        <v>0.19999999999998863</v>
      </c>
      <c r="M258" s="5">
        <f t="shared" ref="M258" si="490">AB257</f>
        <v>1500</v>
      </c>
      <c r="N258" s="11">
        <v>29.875</v>
      </c>
      <c r="O258" s="11">
        <v>32</v>
      </c>
      <c r="P258" s="11">
        <v>11.125</v>
      </c>
      <c r="Q258" s="11">
        <v>10.875</v>
      </c>
      <c r="R258" s="11">
        <v>20.125</v>
      </c>
      <c r="S258" s="11">
        <v>20.25</v>
      </c>
      <c r="T258" s="11">
        <v>15</v>
      </c>
      <c r="U258" s="11">
        <v>15</v>
      </c>
      <c r="V258" s="11">
        <v>15</v>
      </c>
      <c r="W258" s="11">
        <v>15</v>
      </c>
      <c r="X258" s="11">
        <v>7</v>
      </c>
      <c r="Y258" s="11">
        <v>7</v>
      </c>
      <c r="Z258" s="3" t="s">
        <v>1348</v>
      </c>
      <c r="AA258" s="10" t="s">
        <v>1349</v>
      </c>
      <c r="AB258" s="5">
        <f>9+240+400+320+320+46+300+9+240</f>
        <v>1884</v>
      </c>
      <c r="AC258" s="6">
        <f>0+14+0+18+0+2+16+0+14</f>
        <v>64</v>
      </c>
      <c r="AD258" s="6">
        <f>0+8+0+3+0+1+3+0+8</f>
        <v>23</v>
      </c>
      <c r="AE258" s="6">
        <f>1+19+0+4+0+1+4+1+19</f>
        <v>49</v>
      </c>
      <c r="AF258" s="6">
        <f>2+9+95+32+76+7+32+2+9</f>
        <v>264</v>
      </c>
      <c r="AG258" s="6">
        <f>1+3+0+2+0+1+2+1+3</f>
        <v>13</v>
      </c>
      <c r="AH258" s="6">
        <f>9+370+150+560+120+102+340+9+370</f>
        <v>2030</v>
      </c>
      <c r="AI258" s="6">
        <f t="shared" si="400"/>
        <v>3.3970276008492568E-2</v>
      </c>
      <c r="AJ258" s="6">
        <f t="shared" si="401"/>
        <v>1.2208067940552018E-2</v>
      </c>
      <c r="AK258" s="6">
        <f t="shared" si="402"/>
        <v>2.6008492569002124E-2</v>
      </c>
      <c r="AL258" s="6">
        <f t="shared" si="403"/>
        <v>0.14012738853503184</v>
      </c>
      <c r="AM258" s="6">
        <f t="shared" si="404"/>
        <v>6.9002123142250533E-3</v>
      </c>
      <c r="AN258" s="6">
        <f t="shared" si="405"/>
        <v>1.0774946921443738</v>
      </c>
      <c r="AO258" s="7">
        <v>6</v>
      </c>
      <c r="AP258" s="7">
        <v>1</v>
      </c>
      <c r="AQ258" s="7">
        <v>1</v>
      </c>
      <c r="AR258" s="27">
        <v>0</v>
      </c>
      <c r="AS258" s="27">
        <v>0</v>
      </c>
      <c r="AT258" s="27">
        <v>0</v>
      </c>
      <c r="AU258" s="27">
        <v>0</v>
      </c>
      <c r="AV258" s="27">
        <v>0</v>
      </c>
      <c r="AW258" s="7">
        <v>31</v>
      </c>
      <c r="AX258" s="7">
        <v>1</v>
      </c>
      <c r="AY258" s="5">
        <v>8</v>
      </c>
      <c r="AZ258" s="7">
        <v>0</v>
      </c>
      <c r="BA258" s="7">
        <v>1</v>
      </c>
      <c r="BB258" s="7">
        <v>0</v>
      </c>
      <c r="BC258" s="7">
        <v>1</v>
      </c>
      <c r="BD258" s="7">
        <v>1</v>
      </c>
      <c r="BE258" s="7">
        <v>0</v>
      </c>
      <c r="BF258" s="7">
        <v>0</v>
      </c>
      <c r="BG258" s="7">
        <v>0</v>
      </c>
      <c r="BH258" s="7">
        <v>0</v>
      </c>
      <c r="BI258" s="7">
        <v>0</v>
      </c>
      <c r="BJ258" s="7">
        <v>1</v>
      </c>
      <c r="BK258" s="11">
        <v>1</v>
      </c>
      <c r="BL258" s="7" t="s">
        <v>1305</v>
      </c>
      <c r="BM258" s="6">
        <v>1</v>
      </c>
    </row>
    <row r="259" spans="1:65" ht="30" customHeight="1" x14ac:dyDescent="0.3">
      <c r="A259" s="3" t="s">
        <v>17</v>
      </c>
      <c r="B259" s="3">
        <v>2</v>
      </c>
      <c r="C259" s="8">
        <v>44468</v>
      </c>
      <c r="D259" s="9">
        <v>0.30763888888888891</v>
      </c>
      <c r="E259" s="4">
        <v>61</v>
      </c>
      <c r="F259" s="3">
        <v>0</v>
      </c>
      <c r="G259" s="3">
        <v>0</v>
      </c>
      <c r="H259" s="3">
        <v>0</v>
      </c>
      <c r="I259" s="3">
        <v>0</v>
      </c>
      <c r="J259" s="9">
        <v>0.30833333333333335</v>
      </c>
      <c r="K259" s="3">
        <v>138.80000000000001</v>
      </c>
      <c r="L259" s="11">
        <f t="shared" ref="L259" si="491">K259-K258</f>
        <v>-3.3999999999999773</v>
      </c>
      <c r="M259" s="5">
        <f t="shared" ref="M259" si="492">AB258</f>
        <v>1884</v>
      </c>
      <c r="N259" s="11">
        <v>30.125</v>
      </c>
      <c r="O259" s="11">
        <v>31.875</v>
      </c>
      <c r="P259" s="11">
        <v>10.875</v>
      </c>
      <c r="Q259" s="11">
        <v>11</v>
      </c>
      <c r="R259" s="11">
        <v>19.875</v>
      </c>
      <c r="S259" s="11">
        <v>19.75</v>
      </c>
      <c r="T259" s="11">
        <v>15</v>
      </c>
      <c r="U259" s="11">
        <v>13</v>
      </c>
      <c r="V259" s="11">
        <v>16</v>
      </c>
      <c r="W259" s="11">
        <v>15</v>
      </c>
      <c r="X259" s="11">
        <v>7</v>
      </c>
      <c r="Y259" s="11">
        <v>7</v>
      </c>
      <c r="Z259" s="3" t="s">
        <v>1351</v>
      </c>
      <c r="AA259" s="10" t="s">
        <v>1353</v>
      </c>
      <c r="AB259" s="12">
        <f>110+880+80+100+43+150+0+0+290+110</f>
        <v>1763</v>
      </c>
      <c r="AC259" s="6">
        <f>0+0+0+5+2+8+0+0+4+7</f>
        <v>26</v>
      </c>
      <c r="AD259" s="6">
        <f>0+0+0+3+1+2+0+0+1+5</f>
        <v>12</v>
      </c>
      <c r="AE259" s="6">
        <f>12+0+1+1+1+2+0+0+9+10</f>
        <v>36</v>
      </c>
      <c r="AF259" s="6">
        <f>15+209+19+13+6+16+0+0+53+2</f>
        <v>333</v>
      </c>
      <c r="AG259" s="6">
        <f>0+0+0+0+0+1+0+0+2+0</f>
        <v>3</v>
      </c>
      <c r="AH259" s="6">
        <f>60+330+20+422+170+260+55+410+370</f>
        <v>2097</v>
      </c>
      <c r="AI259" s="6">
        <f t="shared" si="400"/>
        <v>1.4747589336358479E-2</v>
      </c>
      <c r="AJ259" s="6">
        <f t="shared" si="401"/>
        <v>6.8065796937039139E-3</v>
      </c>
      <c r="AK259" s="6">
        <f t="shared" si="402"/>
        <v>2.0419739081111742E-2</v>
      </c>
      <c r="AL259" s="6">
        <f t="shared" si="403"/>
        <v>0.18888258650028361</v>
      </c>
      <c r="AM259" s="6">
        <f t="shared" si="404"/>
        <v>1.7016449234259785E-3</v>
      </c>
      <c r="AN259" s="6">
        <f t="shared" si="405"/>
        <v>1.189449801474759</v>
      </c>
      <c r="AO259" s="7">
        <v>6</v>
      </c>
      <c r="AP259" s="7">
        <v>1</v>
      </c>
      <c r="AQ259" s="7">
        <v>1</v>
      </c>
      <c r="AR259" s="27">
        <v>0</v>
      </c>
      <c r="AS259" s="27">
        <v>0</v>
      </c>
      <c r="AT259" s="27">
        <v>0</v>
      </c>
      <c r="AU259" s="27">
        <v>0</v>
      </c>
      <c r="AV259" s="27">
        <v>0</v>
      </c>
      <c r="AW259" s="7">
        <v>31</v>
      </c>
      <c r="AX259" s="7">
        <v>1</v>
      </c>
      <c r="AY259" s="5">
        <v>9</v>
      </c>
      <c r="AZ259" s="7">
        <v>0</v>
      </c>
      <c r="BA259" s="7">
        <v>1</v>
      </c>
      <c r="BB259" s="7">
        <v>0</v>
      </c>
      <c r="BC259" s="7">
        <v>1</v>
      </c>
      <c r="BD259" s="7">
        <v>1</v>
      </c>
      <c r="BE259" s="7">
        <v>0</v>
      </c>
      <c r="BF259" s="7">
        <v>0</v>
      </c>
      <c r="BG259" s="7">
        <v>0</v>
      </c>
      <c r="BH259" s="7">
        <v>0</v>
      </c>
      <c r="BI259" s="7">
        <v>0</v>
      </c>
      <c r="BJ259" s="7">
        <v>0</v>
      </c>
      <c r="BK259" s="11">
        <v>0</v>
      </c>
      <c r="BL259" s="7">
        <v>0</v>
      </c>
      <c r="BM259" s="6">
        <v>1</v>
      </c>
    </row>
    <row r="260" spans="1:65" ht="30" customHeight="1" x14ac:dyDescent="0.3">
      <c r="A260" s="3" t="s">
        <v>18</v>
      </c>
      <c r="B260" s="3">
        <v>3</v>
      </c>
      <c r="C260" s="8">
        <v>44469</v>
      </c>
      <c r="D260" s="9">
        <v>0.7319444444444444</v>
      </c>
      <c r="E260" s="4">
        <v>90</v>
      </c>
      <c r="F260" s="3">
        <v>0</v>
      </c>
      <c r="G260" s="3">
        <v>0</v>
      </c>
      <c r="H260" s="3">
        <v>0</v>
      </c>
      <c r="I260" s="3">
        <v>0</v>
      </c>
      <c r="J260" s="9">
        <v>0.37291666666666662</v>
      </c>
      <c r="K260" s="3">
        <v>140.4</v>
      </c>
      <c r="L260" s="11">
        <f t="shared" ref="L260" si="493">K260-K259</f>
        <v>1.5999999999999943</v>
      </c>
      <c r="M260" s="5">
        <f t="shared" ref="M260" si="494">AB259</f>
        <v>1763</v>
      </c>
      <c r="N260" s="11">
        <v>28.5</v>
      </c>
      <c r="O260" s="11">
        <v>31</v>
      </c>
      <c r="P260" s="11">
        <v>10.625</v>
      </c>
      <c r="Q260" s="11">
        <v>10.75</v>
      </c>
      <c r="R260" s="11">
        <v>19.625</v>
      </c>
      <c r="S260" s="11">
        <v>19.75</v>
      </c>
      <c r="T260" s="11">
        <v>15</v>
      </c>
      <c r="U260" s="11">
        <v>13</v>
      </c>
      <c r="V260" s="11">
        <v>15</v>
      </c>
      <c r="W260" s="11">
        <v>15</v>
      </c>
      <c r="X260" s="11">
        <v>7</v>
      </c>
      <c r="Y260" s="11">
        <v>7</v>
      </c>
      <c r="Z260" s="3" t="s">
        <v>1352</v>
      </c>
      <c r="AA260" s="10" t="s">
        <v>1357</v>
      </c>
      <c r="AB260" s="5">
        <f>870+220+80+160+240+0+0</f>
        <v>1570</v>
      </c>
      <c r="AC260" s="6">
        <f>11+14+0+0+14+0+0</f>
        <v>39</v>
      </c>
      <c r="AD260" s="6">
        <f>2+9+0+0+8+0+0</f>
        <v>19</v>
      </c>
      <c r="AE260" s="6">
        <f>27+20+0+2+19+0+0</f>
        <v>68</v>
      </c>
      <c r="AF260" s="6">
        <f>159+4+19+38+9+0+0</f>
        <v>229</v>
      </c>
      <c r="AG260" s="6">
        <f>6+0+0+0+3+0+0</f>
        <v>9</v>
      </c>
      <c r="AH260" s="6">
        <f>1230+740+30+40+370+260+55</f>
        <v>2725</v>
      </c>
      <c r="AI260" s="6">
        <f t="shared" si="400"/>
        <v>2.4840764331210193E-2</v>
      </c>
      <c r="AJ260" s="6">
        <f t="shared" si="401"/>
        <v>1.2101910828025478E-2</v>
      </c>
      <c r="AK260" s="6">
        <f t="shared" si="402"/>
        <v>4.3312101910828023E-2</v>
      </c>
      <c r="AL260" s="6">
        <f t="shared" si="403"/>
        <v>0.14585987261146496</v>
      </c>
      <c r="AM260" s="6">
        <f t="shared" si="404"/>
        <v>5.7324840764331206E-3</v>
      </c>
      <c r="AN260" s="6">
        <f t="shared" si="405"/>
        <v>1.7356687898089171</v>
      </c>
      <c r="AO260" s="7">
        <v>6</v>
      </c>
      <c r="AP260" s="7">
        <v>3</v>
      </c>
      <c r="AQ260" s="7">
        <v>1</v>
      </c>
      <c r="AR260" s="27">
        <v>0</v>
      </c>
      <c r="AS260" s="27">
        <v>0</v>
      </c>
      <c r="AT260" s="27">
        <v>0</v>
      </c>
      <c r="AU260" s="27">
        <v>0</v>
      </c>
      <c r="AV260" s="27">
        <v>0</v>
      </c>
      <c r="AW260" s="7">
        <v>31</v>
      </c>
      <c r="AX260" s="7">
        <v>1</v>
      </c>
      <c r="AY260" s="5">
        <v>5.25</v>
      </c>
      <c r="AZ260" s="7">
        <v>0</v>
      </c>
      <c r="BA260" s="7">
        <v>0</v>
      </c>
      <c r="BB260" s="7">
        <v>0</v>
      </c>
      <c r="BC260" s="7">
        <v>1</v>
      </c>
      <c r="BD260" s="7">
        <v>1</v>
      </c>
      <c r="BE260" s="7">
        <v>0</v>
      </c>
      <c r="BF260" s="7">
        <v>1</v>
      </c>
      <c r="BG260" s="7">
        <v>15</v>
      </c>
      <c r="BH260" s="7">
        <v>0</v>
      </c>
      <c r="BI260" s="7">
        <v>1</v>
      </c>
      <c r="BJ260" s="7">
        <v>0</v>
      </c>
      <c r="BK260" s="11">
        <v>1</v>
      </c>
      <c r="BL260" s="7" t="s">
        <v>1305</v>
      </c>
      <c r="BM260" s="6">
        <v>1</v>
      </c>
    </row>
    <row r="261" spans="1:65" ht="30" customHeight="1" x14ac:dyDescent="0.3">
      <c r="A261" s="3" t="s">
        <v>137</v>
      </c>
      <c r="B261" s="3">
        <v>4</v>
      </c>
      <c r="C261" s="8">
        <v>44470</v>
      </c>
      <c r="D261" s="9">
        <v>0.60416666666666663</v>
      </c>
      <c r="E261" s="4">
        <v>96</v>
      </c>
      <c r="F261" s="3">
        <v>0</v>
      </c>
      <c r="G261" s="3">
        <v>0</v>
      </c>
      <c r="H261" s="3">
        <v>0</v>
      </c>
      <c r="I261" s="3">
        <v>0.5</v>
      </c>
      <c r="J261" s="9">
        <v>0.28958333333333336</v>
      </c>
      <c r="K261" s="3">
        <v>139.6</v>
      </c>
      <c r="L261" s="11">
        <f t="shared" ref="L261" si="495">K261-K260</f>
        <v>-0.80000000000001137</v>
      </c>
      <c r="M261" s="5">
        <f t="shared" ref="M261" si="496">AB260</f>
        <v>1570</v>
      </c>
      <c r="N261" s="11">
        <v>29.75</v>
      </c>
      <c r="O261" s="11">
        <v>31.5</v>
      </c>
      <c r="P261" s="11">
        <v>10.5</v>
      </c>
      <c r="Q261" s="11">
        <v>10.625</v>
      </c>
      <c r="R261" s="11">
        <v>19.75</v>
      </c>
      <c r="S261" s="11">
        <v>19.75</v>
      </c>
      <c r="T261" s="11">
        <v>13</v>
      </c>
      <c r="U261" s="11">
        <v>13</v>
      </c>
      <c r="V261" s="11">
        <v>15</v>
      </c>
      <c r="W261" s="11">
        <v>14</v>
      </c>
      <c r="X261" s="11">
        <v>7</v>
      </c>
      <c r="Y261" s="11">
        <v>7</v>
      </c>
      <c r="Z261" s="3" t="s">
        <v>1361</v>
      </c>
      <c r="AA261" s="10" t="s">
        <v>1359</v>
      </c>
      <c r="AB261" s="5">
        <f>580+110+0+0+240+390</f>
        <v>1320</v>
      </c>
      <c r="AC261" s="6">
        <f>7+7+0+0+0+15</f>
        <v>29</v>
      </c>
      <c r="AD261" s="6">
        <f>1+5+0+0+0+2</f>
        <v>8</v>
      </c>
      <c r="AE261" s="6">
        <f>18+10+0+0+3+6</f>
        <v>37</v>
      </c>
      <c r="AF261" s="6">
        <f>106+2+0+0+57+63</f>
        <v>228</v>
      </c>
      <c r="AG261" s="6">
        <f>4+0+0+0+0+6</f>
        <v>10</v>
      </c>
      <c r="AH261" s="6">
        <f>820+370+260+55+60+660</f>
        <v>2225</v>
      </c>
      <c r="AI261" s="6">
        <f t="shared" si="400"/>
        <v>2.1969696969696969E-2</v>
      </c>
      <c r="AJ261" s="6">
        <f t="shared" si="401"/>
        <v>6.0606060606060606E-3</v>
      </c>
      <c r="AK261" s="6">
        <f t="shared" si="402"/>
        <v>2.803030303030303E-2</v>
      </c>
      <c r="AL261" s="6">
        <f t="shared" si="403"/>
        <v>0.17272727272727273</v>
      </c>
      <c r="AM261" s="6">
        <f t="shared" si="404"/>
        <v>7.575757575757576E-3</v>
      </c>
      <c r="AN261" s="6">
        <f t="shared" si="405"/>
        <v>1.6856060606060606</v>
      </c>
      <c r="AO261" s="7">
        <v>6</v>
      </c>
      <c r="AP261" s="7">
        <v>3</v>
      </c>
      <c r="AQ261" s="7">
        <v>1</v>
      </c>
      <c r="AR261" s="27" t="s">
        <v>1360</v>
      </c>
      <c r="AS261" s="27">
        <v>0</v>
      </c>
      <c r="AT261" s="27">
        <v>0</v>
      </c>
      <c r="AU261" s="27">
        <v>0</v>
      </c>
      <c r="AV261" s="27">
        <v>0</v>
      </c>
      <c r="AW261" s="7">
        <v>31</v>
      </c>
      <c r="AX261" s="7">
        <v>1</v>
      </c>
      <c r="AY261" s="5">
        <v>7.5</v>
      </c>
      <c r="AZ261" s="7">
        <v>0</v>
      </c>
      <c r="BA261" s="7">
        <v>0</v>
      </c>
      <c r="BB261" s="7">
        <v>0</v>
      </c>
      <c r="BC261" s="7">
        <v>1</v>
      </c>
      <c r="BD261" s="7">
        <v>1</v>
      </c>
      <c r="BE261" s="7">
        <v>0</v>
      </c>
      <c r="BF261" s="7">
        <v>0</v>
      </c>
      <c r="BG261" s="7">
        <v>0</v>
      </c>
      <c r="BH261" s="7">
        <v>0</v>
      </c>
      <c r="BI261" s="7">
        <v>1</v>
      </c>
      <c r="BJ261" s="7">
        <v>0</v>
      </c>
      <c r="BK261" s="11">
        <v>1.67</v>
      </c>
      <c r="BL261" s="7" t="s">
        <v>1305</v>
      </c>
      <c r="BM261" s="6">
        <v>1</v>
      </c>
    </row>
    <row r="262" spans="1:65" ht="30" customHeight="1" x14ac:dyDescent="0.3">
      <c r="A262" s="3" t="s">
        <v>19</v>
      </c>
      <c r="B262" s="3">
        <v>5</v>
      </c>
      <c r="C262" s="8">
        <v>44471</v>
      </c>
      <c r="D262" s="9">
        <v>0.27083333333333331</v>
      </c>
      <c r="E262" s="4">
        <v>63</v>
      </c>
      <c r="F262" s="3">
        <v>0</v>
      </c>
      <c r="G262" s="3">
        <v>0</v>
      </c>
      <c r="H262" s="3">
        <v>0</v>
      </c>
      <c r="I262" s="3">
        <v>0</v>
      </c>
      <c r="J262" s="9">
        <v>0.27083333333333331</v>
      </c>
      <c r="K262" s="3">
        <v>140.19999999999999</v>
      </c>
      <c r="L262" s="11">
        <f t="shared" ref="L262" si="497">K262-K261</f>
        <v>0.59999999999999432</v>
      </c>
      <c r="M262" s="5">
        <f t="shared" ref="M262" si="498">AB261</f>
        <v>1320</v>
      </c>
      <c r="N262" s="11">
        <v>30</v>
      </c>
      <c r="O262" s="11">
        <v>31.625</v>
      </c>
      <c r="P262" s="11">
        <v>10.875</v>
      </c>
      <c r="Q262" s="11">
        <v>10.875</v>
      </c>
      <c r="R262" s="11">
        <v>19.75</v>
      </c>
      <c r="S262" s="11">
        <v>20</v>
      </c>
      <c r="T262" s="11">
        <v>15</v>
      </c>
      <c r="U262" s="11">
        <v>14</v>
      </c>
      <c r="V262" s="11">
        <v>16</v>
      </c>
      <c r="W262" s="11">
        <v>15</v>
      </c>
      <c r="X262" s="11">
        <v>7</v>
      </c>
      <c r="Y262" s="11">
        <v>7</v>
      </c>
      <c r="Z262" s="3" t="s">
        <v>1364</v>
      </c>
      <c r="AA262" s="10" t="s">
        <v>1365</v>
      </c>
      <c r="AB262" s="5">
        <f>290+90+725+204+130+480+290+90</f>
        <v>2299</v>
      </c>
      <c r="AC262" s="6">
        <f>4+6+15+20+5+0+4+6</f>
        <v>60</v>
      </c>
      <c r="AD262" s="6">
        <f>1+4+3+13+1+0+1+4</f>
        <v>27</v>
      </c>
      <c r="AE262" s="6">
        <f>9+7+28+4+2+6+9+7</f>
        <v>72</v>
      </c>
      <c r="AF262" s="6">
        <f>53+2+116+2+21+114+53+2</f>
        <v>363</v>
      </c>
      <c r="AG262" s="6">
        <f>2+0+9+0+2+0+2+0</f>
        <v>15</v>
      </c>
      <c r="AH262" s="6">
        <f>410+210+2278+172+220+120+410+210</f>
        <v>4030</v>
      </c>
      <c r="AI262" s="6">
        <f t="shared" si="400"/>
        <v>2.6098303610265331E-2</v>
      </c>
      <c r="AJ262" s="6">
        <f t="shared" si="401"/>
        <v>1.17442366246194E-2</v>
      </c>
      <c r="AK262" s="6">
        <f t="shared" si="402"/>
        <v>3.1317964332318399E-2</v>
      </c>
      <c r="AL262" s="6">
        <f t="shared" si="403"/>
        <v>0.15789473684210525</v>
      </c>
      <c r="AM262" s="6">
        <f t="shared" si="404"/>
        <v>6.5245759025663328E-3</v>
      </c>
      <c r="AN262" s="6">
        <f t="shared" si="405"/>
        <v>1.7529360591561549</v>
      </c>
      <c r="AO262" s="7">
        <v>6</v>
      </c>
      <c r="AP262" s="7">
        <v>4</v>
      </c>
      <c r="AQ262" s="7">
        <v>0</v>
      </c>
      <c r="AR262" s="27">
        <v>0</v>
      </c>
      <c r="AS262" s="27">
        <v>0</v>
      </c>
      <c r="AT262" s="27">
        <v>0</v>
      </c>
      <c r="AU262" s="27">
        <v>0</v>
      </c>
      <c r="AV262" s="27">
        <v>0</v>
      </c>
      <c r="AW262" s="7">
        <v>31</v>
      </c>
      <c r="AX262" s="7">
        <v>1</v>
      </c>
      <c r="AY262" s="5">
        <v>6</v>
      </c>
      <c r="AZ262" s="7">
        <v>0</v>
      </c>
      <c r="BA262" s="7">
        <v>0</v>
      </c>
      <c r="BB262" s="7">
        <v>0</v>
      </c>
      <c r="BC262" s="7">
        <v>1</v>
      </c>
      <c r="BD262" s="7">
        <v>1</v>
      </c>
      <c r="BE262" s="7">
        <v>0</v>
      </c>
      <c r="BF262" s="7">
        <v>0</v>
      </c>
      <c r="BG262" s="7">
        <v>0</v>
      </c>
      <c r="BH262" s="7">
        <v>0</v>
      </c>
      <c r="BI262" s="7">
        <v>1</v>
      </c>
      <c r="BJ262" s="7">
        <v>0</v>
      </c>
      <c r="BK262" s="11">
        <v>2</v>
      </c>
      <c r="BL262" s="7" t="s">
        <v>1305</v>
      </c>
      <c r="BM262" s="6">
        <v>1</v>
      </c>
    </row>
    <row r="263" spans="1:65" ht="30" customHeight="1" x14ac:dyDescent="0.3">
      <c r="A263" s="3" t="s">
        <v>23</v>
      </c>
      <c r="B263" s="3">
        <v>6</v>
      </c>
      <c r="C263" s="8">
        <v>44472</v>
      </c>
      <c r="D263" s="9">
        <v>0.25208333333333333</v>
      </c>
      <c r="E263" s="4">
        <v>67</v>
      </c>
      <c r="F263" s="3">
        <v>0</v>
      </c>
      <c r="G263" s="3">
        <v>0</v>
      </c>
      <c r="H263" s="3">
        <v>0</v>
      </c>
      <c r="I263" s="3">
        <v>0</v>
      </c>
      <c r="J263" s="9">
        <v>0.29652777777777778</v>
      </c>
      <c r="K263" s="3">
        <v>140.4</v>
      </c>
      <c r="L263" s="11">
        <f t="shared" ref="L263" si="499">K263-K262</f>
        <v>0.20000000000001705</v>
      </c>
      <c r="M263" s="5">
        <f t="shared" ref="M263" si="500">AB262</f>
        <v>2299</v>
      </c>
      <c r="N263" s="11">
        <v>29.875</v>
      </c>
      <c r="O263" s="11">
        <v>31.5</v>
      </c>
      <c r="P263" s="11">
        <v>10.625</v>
      </c>
      <c r="Q263" s="11">
        <v>10.625</v>
      </c>
      <c r="R263" s="11">
        <v>19.75</v>
      </c>
      <c r="S263" s="11">
        <v>19.75</v>
      </c>
      <c r="T263" s="11">
        <v>15</v>
      </c>
      <c r="U263" s="11">
        <v>13</v>
      </c>
      <c r="V263" s="11">
        <v>15</v>
      </c>
      <c r="W263" s="11">
        <v>13</v>
      </c>
      <c r="X263" s="11">
        <v>7</v>
      </c>
      <c r="Y263" s="11">
        <v>7</v>
      </c>
      <c r="Z263" s="3" t="s">
        <v>1367</v>
      </c>
      <c r="AA263" s="10" t="s">
        <v>1368</v>
      </c>
      <c r="AB263" s="5">
        <f>290+90+290+90+127+7+179+109+330</f>
        <v>1512</v>
      </c>
      <c r="AC263" s="6">
        <f>4+6+4+6+7+0+15+5+1</f>
        <v>48</v>
      </c>
      <c r="AD263" s="6">
        <f>1+4+1+4+4+0+10+1+0</f>
        <v>25</v>
      </c>
      <c r="AE263" s="6">
        <f>9+7+9+7+11+0+10+3+11</f>
        <v>67</v>
      </c>
      <c r="AF263" s="6">
        <f>53+2+53+2+5+2+11+12+67</f>
        <v>207</v>
      </c>
      <c r="AG263" s="6">
        <f>2+0+2+0+1+0+0+2+3</f>
        <v>10</v>
      </c>
      <c r="AH263" s="6">
        <f>410+210+410+210+207+1+759+149+644</f>
        <v>3000</v>
      </c>
      <c r="AI263" s="6">
        <f t="shared" si="400"/>
        <v>3.1746031746031744E-2</v>
      </c>
      <c r="AJ263" s="6">
        <f t="shared" si="401"/>
        <v>1.6534391534391533E-2</v>
      </c>
      <c r="AK263" s="6">
        <f t="shared" si="402"/>
        <v>4.431216931216931E-2</v>
      </c>
      <c r="AL263" s="6">
        <f t="shared" si="403"/>
        <v>0.13690476190476192</v>
      </c>
      <c r="AM263" s="6">
        <f t="shared" si="404"/>
        <v>6.6137566137566134E-3</v>
      </c>
      <c r="AN263" s="6">
        <f t="shared" si="405"/>
        <v>1.9841269841269842</v>
      </c>
      <c r="AO263" s="7">
        <v>6</v>
      </c>
      <c r="AP263" s="7">
        <v>1</v>
      </c>
      <c r="AQ263" s="7">
        <v>0</v>
      </c>
      <c r="AR263" s="27">
        <v>0</v>
      </c>
      <c r="AS263" s="27">
        <v>0</v>
      </c>
      <c r="AT263" s="27">
        <v>0</v>
      </c>
      <c r="AU263" s="27">
        <v>0</v>
      </c>
      <c r="AV263" s="27">
        <v>0</v>
      </c>
      <c r="AW263" s="7">
        <v>31</v>
      </c>
      <c r="AX263" s="7">
        <v>1</v>
      </c>
      <c r="AY263" s="5">
        <v>6</v>
      </c>
      <c r="AZ263" s="7">
        <v>0</v>
      </c>
      <c r="BA263" s="7">
        <v>0</v>
      </c>
      <c r="BB263" s="7">
        <v>0</v>
      </c>
      <c r="BC263" s="7">
        <v>1</v>
      </c>
      <c r="BD263" s="7">
        <v>1</v>
      </c>
      <c r="BE263" s="7">
        <v>0</v>
      </c>
      <c r="BF263" s="7">
        <v>0</v>
      </c>
      <c r="BG263" s="7">
        <v>0</v>
      </c>
      <c r="BH263" s="7">
        <v>0</v>
      </c>
      <c r="BI263" s="7">
        <v>0</v>
      </c>
      <c r="BJ263" s="7">
        <v>0</v>
      </c>
      <c r="BK263" s="11">
        <v>2</v>
      </c>
      <c r="BL263" s="7" t="s">
        <v>1305</v>
      </c>
      <c r="BM263" s="6">
        <v>1</v>
      </c>
    </row>
    <row r="264" spans="1:65" ht="30" customHeight="1" x14ac:dyDescent="0.3">
      <c r="A264" s="3" t="s">
        <v>15</v>
      </c>
      <c r="B264" s="3">
        <v>7</v>
      </c>
      <c r="C264" s="8">
        <v>44473</v>
      </c>
      <c r="D264" s="9">
        <v>0.625</v>
      </c>
      <c r="E264" s="4">
        <v>97</v>
      </c>
      <c r="F264" s="3">
        <v>5</v>
      </c>
      <c r="G264" s="3">
        <v>3</v>
      </c>
      <c r="H264" s="3">
        <v>15</v>
      </c>
      <c r="I264" s="3">
        <v>0.25</v>
      </c>
      <c r="J264" s="9">
        <v>0.62152777777777779</v>
      </c>
      <c r="K264" s="3">
        <v>143.80000000000001</v>
      </c>
      <c r="L264" s="11">
        <f t="shared" ref="L264" si="501">K264-K263</f>
        <v>3.4000000000000057</v>
      </c>
      <c r="M264" s="5">
        <f t="shared" ref="M264" si="502">AB263</f>
        <v>1512</v>
      </c>
      <c r="N264" s="11">
        <v>29.5</v>
      </c>
      <c r="O264" s="11">
        <v>31</v>
      </c>
      <c r="P264" s="11">
        <v>10.75</v>
      </c>
      <c r="Q264" s="11">
        <v>10.625</v>
      </c>
      <c r="R264" s="11">
        <v>19.75</v>
      </c>
      <c r="S264" s="11">
        <v>19.75</v>
      </c>
      <c r="T264" s="11">
        <v>12</v>
      </c>
      <c r="U264" s="11">
        <v>12</v>
      </c>
      <c r="V264" s="11">
        <v>15</v>
      </c>
      <c r="W264" s="11">
        <v>14</v>
      </c>
      <c r="X264" s="11">
        <v>7</v>
      </c>
      <c r="Y264" s="11">
        <v>7</v>
      </c>
      <c r="Z264" s="3" t="s">
        <v>1370</v>
      </c>
      <c r="AA264" s="10" t="s">
        <v>1371</v>
      </c>
      <c r="AB264" s="5">
        <f>290+90+290+90+127+7+65+130+38+26+100+285+7+140+90</f>
        <v>1775</v>
      </c>
      <c r="AC264" s="6">
        <f>4+6+4+6+7+0+3+6+2+1+5+17+0+7+6</f>
        <v>74</v>
      </c>
      <c r="AD264" s="6">
        <f>1+4+1+4+4+0+2+3+1+0+3+9+0+5+4</f>
        <v>41</v>
      </c>
      <c r="AE264" s="6">
        <f>9+7+9+7+11+0+1+2+0+1+24+0+2+7</f>
        <v>80</v>
      </c>
      <c r="AF264" s="6">
        <f>53+2+53+2+5+2+10+17+6+5+13+11+2+18+2</f>
        <v>201</v>
      </c>
      <c r="AG264" s="6">
        <f>2+0+2+0+1+0+1+1+0+0+0+2+0+2+0</f>
        <v>11</v>
      </c>
      <c r="AH264" s="6">
        <f>410+210+410+210+207+1+10+65+13+11+40+465+1+90+210</f>
        <v>2353</v>
      </c>
      <c r="AI264" s="6">
        <f t="shared" si="400"/>
        <v>4.1690140845070424E-2</v>
      </c>
      <c r="AJ264" s="6">
        <f t="shared" si="401"/>
        <v>2.3098591549295774E-2</v>
      </c>
      <c r="AK264" s="6">
        <f t="shared" si="402"/>
        <v>4.507042253521127E-2</v>
      </c>
      <c r="AL264" s="6">
        <f t="shared" si="403"/>
        <v>0.1132394366197183</v>
      </c>
      <c r="AM264" s="6">
        <f t="shared" si="404"/>
        <v>6.1971830985915492E-3</v>
      </c>
      <c r="AN264" s="6">
        <f t="shared" si="405"/>
        <v>1.3256338028169015</v>
      </c>
      <c r="AO264" s="7">
        <v>6</v>
      </c>
      <c r="AP264" s="7">
        <v>3</v>
      </c>
      <c r="AQ264" s="7">
        <v>0</v>
      </c>
      <c r="AR264" s="28" t="s">
        <v>1369</v>
      </c>
      <c r="AS264" s="27">
        <v>0</v>
      </c>
      <c r="AT264" s="27">
        <v>-3</v>
      </c>
      <c r="AU264" s="27">
        <v>0</v>
      </c>
      <c r="AV264" s="27">
        <v>0</v>
      </c>
      <c r="AW264" s="7">
        <v>31</v>
      </c>
      <c r="AX264" s="7">
        <v>1</v>
      </c>
      <c r="AY264" s="5">
        <v>7.5</v>
      </c>
      <c r="AZ264" s="7">
        <v>0</v>
      </c>
      <c r="BA264" s="7">
        <v>0</v>
      </c>
      <c r="BB264" s="7">
        <v>0</v>
      </c>
      <c r="BC264" s="7">
        <v>1</v>
      </c>
      <c r="BD264" s="7">
        <v>1</v>
      </c>
      <c r="BE264" s="7">
        <v>0</v>
      </c>
      <c r="BF264" s="7">
        <v>0</v>
      </c>
      <c r="BG264" s="7">
        <v>0</v>
      </c>
      <c r="BH264" s="7">
        <v>0</v>
      </c>
      <c r="BI264" s="7">
        <v>1</v>
      </c>
      <c r="BJ264" s="7">
        <v>0</v>
      </c>
      <c r="BK264" s="11">
        <v>2</v>
      </c>
      <c r="BL264" s="7" t="s">
        <v>1305</v>
      </c>
      <c r="BM264" s="6">
        <v>1</v>
      </c>
    </row>
    <row r="265" spans="1:65" ht="30" customHeight="1" x14ac:dyDescent="0.3">
      <c r="A265" s="3" t="s">
        <v>16</v>
      </c>
      <c r="B265" s="3">
        <v>8</v>
      </c>
      <c r="C265" s="8">
        <v>44474</v>
      </c>
      <c r="D265" s="9">
        <v>0.5625</v>
      </c>
      <c r="E265" s="4">
        <v>68</v>
      </c>
      <c r="F265" s="3">
        <v>8</v>
      </c>
      <c r="G265" s="3">
        <v>3</v>
      </c>
      <c r="H265" s="3">
        <v>24</v>
      </c>
      <c r="I265" s="3">
        <v>0.25</v>
      </c>
      <c r="J265" s="9">
        <v>0.38541666666666669</v>
      </c>
      <c r="K265" s="3">
        <v>141</v>
      </c>
      <c r="L265" s="11">
        <f t="shared" ref="L265" si="503">K265-K264</f>
        <v>-2.8000000000000114</v>
      </c>
      <c r="M265" s="5">
        <f t="shared" ref="M265" si="504">AB264</f>
        <v>1775</v>
      </c>
      <c r="N265" s="11">
        <v>30.125</v>
      </c>
      <c r="O265" s="11">
        <v>31.875</v>
      </c>
      <c r="P265" s="11">
        <v>10.5</v>
      </c>
      <c r="Q265" s="11">
        <v>10.625</v>
      </c>
      <c r="R265" s="11">
        <v>19.75</v>
      </c>
      <c r="S265" s="11">
        <v>19.75</v>
      </c>
      <c r="T265" s="11">
        <v>16</v>
      </c>
      <c r="U265" s="11">
        <v>15</v>
      </c>
      <c r="V265" s="11">
        <v>15</v>
      </c>
      <c r="W265" s="11">
        <v>15</v>
      </c>
      <c r="X265" s="11">
        <v>7</v>
      </c>
      <c r="Y265" s="11">
        <v>7</v>
      </c>
      <c r="Z265" s="3" t="s">
        <v>1372</v>
      </c>
      <c r="AA265" s="10" t="s">
        <v>1375</v>
      </c>
      <c r="AB265" s="5">
        <f>540+180+780+360+240+0+0</f>
        <v>2100</v>
      </c>
      <c r="AC265" s="6">
        <f>6+12+8+0+14+0+0</f>
        <v>40</v>
      </c>
      <c r="AD265" s="6">
        <f>0+7+0+60+8+0+0</f>
        <v>75</v>
      </c>
      <c r="AE265" s="6">
        <f>24+14+33+4+19+0+0</f>
        <v>94</v>
      </c>
      <c r="AF265" s="6">
        <f>102+4+144+84+9+0+0</f>
        <v>343</v>
      </c>
      <c r="AG265" s="6">
        <f>6+0+9+52+3+0+0</f>
        <v>70</v>
      </c>
      <c r="AH265" s="6">
        <f>800+420+1140+60+370+260+55</f>
        <v>3105</v>
      </c>
      <c r="AI265" s="6">
        <f t="shared" si="400"/>
        <v>1.9047619047619049E-2</v>
      </c>
      <c r="AJ265" s="6">
        <f t="shared" si="401"/>
        <v>3.5714285714285712E-2</v>
      </c>
      <c r="AK265" s="6">
        <f t="shared" si="402"/>
        <v>4.476190476190476E-2</v>
      </c>
      <c r="AL265" s="6">
        <f t="shared" si="403"/>
        <v>0.16333333333333333</v>
      </c>
      <c r="AM265" s="6">
        <f t="shared" si="404"/>
        <v>3.3333333333333333E-2</v>
      </c>
      <c r="AN265" s="6">
        <f t="shared" si="405"/>
        <v>1.4785714285714286</v>
      </c>
      <c r="AO265" s="7">
        <v>6</v>
      </c>
      <c r="AP265" s="7">
        <v>1</v>
      </c>
      <c r="AQ265" s="7">
        <v>0</v>
      </c>
      <c r="AR265" s="27" t="s">
        <v>1379</v>
      </c>
      <c r="AS265" s="27">
        <v>0</v>
      </c>
      <c r="AT265" s="27">
        <v>0</v>
      </c>
      <c r="AU265" s="27">
        <v>0</v>
      </c>
      <c r="AV265" s="27">
        <v>0</v>
      </c>
      <c r="AW265" s="7">
        <v>31</v>
      </c>
      <c r="AX265" s="7">
        <v>1</v>
      </c>
      <c r="AY265" s="5">
        <v>7.5</v>
      </c>
      <c r="AZ265" s="7">
        <v>0</v>
      </c>
      <c r="BA265" s="7">
        <v>1</v>
      </c>
      <c r="BB265" s="7">
        <v>0</v>
      </c>
      <c r="BC265" s="7">
        <v>1</v>
      </c>
      <c r="BD265" s="7">
        <v>1</v>
      </c>
      <c r="BE265" s="7">
        <v>0</v>
      </c>
      <c r="BF265" s="7">
        <v>0</v>
      </c>
      <c r="BG265" s="7">
        <v>0</v>
      </c>
      <c r="BH265" s="7">
        <v>0</v>
      </c>
      <c r="BI265" s="7">
        <v>0</v>
      </c>
      <c r="BJ265" s="7">
        <v>0</v>
      </c>
      <c r="BK265" s="11">
        <v>2</v>
      </c>
      <c r="BL265" s="7" t="s">
        <v>1305</v>
      </c>
      <c r="BM265" s="6">
        <v>1</v>
      </c>
    </row>
    <row r="266" spans="1:65" ht="30" customHeight="1" x14ac:dyDescent="0.3">
      <c r="A266" s="3" t="s">
        <v>17</v>
      </c>
      <c r="B266" s="3">
        <v>9</v>
      </c>
      <c r="C266" s="8">
        <v>44475</v>
      </c>
      <c r="D266" s="9">
        <v>0.33333333333333331</v>
      </c>
      <c r="E266" s="4">
        <v>62</v>
      </c>
      <c r="F266" s="3">
        <v>0</v>
      </c>
      <c r="G266" s="3">
        <v>0</v>
      </c>
      <c r="H266" s="3">
        <v>0</v>
      </c>
      <c r="I266" s="3">
        <v>0</v>
      </c>
      <c r="J266" s="9">
        <v>0.35972222222222222</v>
      </c>
      <c r="K266" s="3">
        <v>141.19999999999999</v>
      </c>
      <c r="L266" s="11">
        <f t="shared" ref="L266:L267" si="505">K266-K265</f>
        <v>0.19999999999998863</v>
      </c>
      <c r="M266" s="5">
        <f t="shared" ref="M266:M267" si="506">AB265</f>
        <v>2100</v>
      </c>
      <c r="N266" s="11">
        <v>28.75</v>
      </c>
      <c r="O266" s="11">
        <v>29.75</v>
      </c>
      <c r="P266" s="11">
        <v>10.625</v>
      </c>
      <c r="Q266" s="11">
        <v>10.5</v>
      </c>
      <c r="R266" s="11">
        <v>19.625</v>
      </c>
      <c r="S266" s="11">
        <v>19.5</v>
      </c>
      <c r="T266" s="11">
        <v>13</v>
      </c>
      <c r="U266" s="11">
        <v>13</v>
      </c>
      <c r="V266" s="11">
        <v>16</v>
      </c>
      <c r="W266" s="11">
        <v>15</v>
      </c>
      <c r="X266" s="11">
        <v>7</v>
      </c>
      <c r="Y266" s="11">
        <v>7</v>
      </c>
      <c r="Z266" s="3" t="s">
        <v>1373</v>
      </c>
      <c r="AA266" s="10" t="s">
        <v>1376</v>
      </c>
      <c r="AB266" s="5">
        <f>520+240+480+270+70+80+20</f>
        <v>1680</v>
      </c>
      <c r="AC266" s="6">
        <f>5+14+0+3+5+5+2</f>
        <v>34</v>
      </c>
      <c r="AD266" s="6">
        <f>0+8+0+0+3+4+1</f>
        <v>16</v>
      </c>
      <c r="AE266" s="6">
        <f>22+19+6+12+4+6+2</f>
        <v>71</v>
      </c>
      <c r="AF266" s="6">
        <f>96+9+114+51+1+2+0</f>
        <v>273</v>
      </c>
      <c r="AG266" s="6">
        <f>6+3+0+3+0+0+0</f>
        <v>12</v>
      </c>
      <c r="AH266" s="6">
        <f>760+370+120+400+250+190+100</f>
        <v>2190</v>
      </c>
      <c r="AI266" s="6">
        <f t="shared" si="400"/>
        <v>2.0238095238095239E-2</v>
      </c>
      <c r="AJ266" s="6">
        <f t="shared" si="401"/>
        <v>9.5238095238095247E-3</v>
      </c>
      <c r="AK266" s="6">
        <f t="shared" si="402"/>
        <v>4.2261904761904764E-2</v>
      </c>
      <c r="AL266" s="6">
        <f t="shared" si="403"/>
        <v>0.16250000000000001</v>
      </c>
      <c r="AM266" s="6">
        <f t="shared" si="404"/>
        <v>7.1428571428571426E-3</v>
      </c>
      <c r="AN266" s="6">
        <f t="shared" si="405"/>
        <v>1.3035714285714286</v>
      </c>
      <c r="AO266" s="7">
        <v>7</v>
      </c>
      <c r="AP266" s="7">
        <v>1</v>
      </c>
      <c r="AQ266" s="7">
        <v>0</v>
      </c>
      <c r="AR266" s="27">
        <v>0</v>
      </c>
      <c r="AS266" s="27">
        <v>0</v>
      </c>
      <c r="AT266" s="27">
        <v>0</v>
      </c>
      <c r="AU266" s="27">
        <v>0</v>
      </c>
      <c r="AV266" s="27">
        <v>0</v>
      </c>
      <c r="AW266" s="7">
        <v>31</v>
      </c>
      <c r="AX266" s="7">
        <v>1</v>
      </c>
      <c r="AY266" s="5">
        <v>7</v>
      </c>
      <c r="AZ266" s="7">
        <v>0</v>
      </c>
      <c r="BA266" s="7">
        <v>0</v>
      </c>
      <c r="BB266" s="7">
        <v>0</v>
      </c>
      <c r="BC266" s="7">
        <v>1</v>
      </c>
      <c r="BD266" s="7">
        <v>1</v>
      </c>
      <c r="BE266" s="7">
        <v>0</v>
      </c>
      <c r="BF266" s="7">
        <v>0</v>
      </c>
      <c r="BG266" s="7">
        <v>0</v>
      </c>
      <c r="BH266" s="7">
        <v>0</v>
      </c>
      <c r="BI266" s="7">
        <v>0</v>
      </c>
      <c r="BJ266" s="7">
        <v>0</v>
      </c>
      <c r="BK266" s="11">
        <v>1</v>
      </c>
      <c r="BL266" s="7" t="s">
        <v>1305</v>
      </c>
      <c r="BM266" s="6">
        <v>1</v>
      </c>
    </row>
    <row r="267" spans="1:65" ht="30" customHeight="1" x14ac:dyDescent="0.3">
      <c r="A267" s="3" t="s">
        <v>18</v>
      </c>
      <c r="B267" s="3">
        <v>10</v>
      </c>
      <c r="C267" s="8">
        <v>44476</v>
      </c>
      <c r="D267" s="9">
        <v>0.25</v>
      </c>
      <c r="E267" s="4">
        <v>64</v>
      </c>
      <c r="F267" s="3">
        <v>0</v>
      </c>
      <c r="G267" s="3">
        <v>0</v>
      </c>
      <c r="H267" s="3">
        <v>0</v>
      </c>
      <c r="I267" s="3">
        <v>0</v>
      </c>
      <c r="J267" s="9">
        <v>0.30694444444444441</v>
      </c>
      <c r="K267" s="3">
        <v>141.80000000000001</v>
      </c>
      <c r="L267" s="11">
        <f t="shared" si="505"/>
        <v>0.60000000000002274</v>
      </c>
      <c r="M267" s="5">
        <f t="shared" si="506"/>
        <v>1680</v>
      </c>
      <c r="N267" s="11">
        <v>29.75</v>
      </c>
      <c r="O267" s="11">
        <v>30.875</v>
      </c>
      <c r="P267" s="11">
        <v>10.875</v>
      </c>
      <c r="Q267" s="11">
        <v>10.625</v>
      </c>
      <c r="R267" s="11">
        <v>19.875</v>
      </c>
      <c r="S267" s="11">
        <v>20.125</v>
      </c>
      <c r="T267" s="11">
        <v>13</v>
      </c>
      <c r="U267" s="11">
        <v>13</v>
      </c>
      <c r="V267" s="11">
        <v>16</v>
      </c>
      <c r="W267" s="11">
        <v>15</v>
      </c>
      <c r="X267" s="11">
        <v>7</v>
      </c>
      <c r="Y267" s="11">
        <v>7</v>
      </c>
      <c r="Z267" s="3" t="s">
        <v>1378</v>
      </c>
      <c r="AA267" s="10" t="s">
        <v>1387</v>
      </c>
      <c r="AB267" s="5">
        <f>540+240+0+0+160+180+330+210+70+135+140</f>
        <v>2005</v>
      </c>
      <c r="AC267" s="6">
        <f>6+14+0+0+0+5+17+12+2+0+7</f>
        <v>63</v>
      </c>
      <c r="AD267" s="6">
        <f>0+8+0+0+0+3+10+9+0+0+3</f>
        <v>33</v>
      </c>
      <c r="AE267" s="6">
        <f>24+19+0+0+0+8+10+24+3+0+2</f>
        <v>90</v>
      </c>
      <c r="AF267" s="6">
        <f>102+9+0+0+40+25+34+3+10+38+20</f>
        <v>281</v>
      </c>
      <c r="AG267" s="6">
        <f>6+3+0+0+0+4+1+0+1+0+3</f>
        <v>18</v>
      </c>
      <c r="AH267" s="6">
        <f>800+370+260+55+125+310+270+540+360+45+310</f>
        <v>3445</v>
      </c>
      <c r="AI267" s="6">
        <f t="shared" si="400"/>
        <v>3.1421446384039903E-2</v>
      </c>
      <c r="AJ267" s="6">
        <f t="shared" si="401"/>
        <v>1.6458852867830425E-2</v>
      </c>
      <c r="AK267" s="6">
        <f t="shared" si="402"/>
        <v>4.488778054862843E-2</v>
      </c>
      <c r="AL267" s="6">
        <f t="shared" si="403"/>
        <v>0.14014962593516209</v>
      </c>
      <c r="AM267" s="6">
        <f t="shared" si="404"/>
        <v>8.9775561097256863E-3</v>
      </c>
      <c r="AN267" s="6">
        <f t="shared" si="405"/>
        <v>1.7182044887780548</v>
      </c>
      <c r="AO267" s="7">
        <v>6</v>
      </c>
      <c r="AP267" s="7">
        <v>2</v>
      </c>
      <c r="AQ267" s="7">
        <v>0</v>
      </c>
      <c r="AR267" s="27">
        <v>0</v>
      </c>
      <c r="AS267" s="27">
        <v>0</v>
      </c>
      <c r="AT267" s="27">
        <v>0</v>
      </c>
      <c r="AU267" s="27">
        <v>0</v>
      </c>
      <c r="AV267" s="27">
        <v>0</v>
      </c>
      <c r="AW267" s="7">
        <v>31</v>
      </c>
      <c r="AX267" s="7">
        <v>1</v>
      </c>
      <c r="AY267" s="5">
        <v>2.5</v>
      </c>
      <c r="AZ267" s="7">
        <v>0</v>
      </c>
      <c r="BA267" s="7">
        <v>0</v>
      </c>
      <c r="BB267" s="7">
        <v>0</v>
      </c>
      <c r="BC267" s="7">
        <v>1</v>
      </c>
      <c r="BD267" s="7">
        <v>1</v>
      </c>
      <c r="BE267" s="7">
        <v>0</v>
      </c>
      <c r="BF267" s="7">
        <v>0</v>
      </c>
      <c r="BG267" s="7">
        <v>0</v>
      </c>
      <c r="BH267" s="7">
        <v>0</v>
      </c>
      <c r="BI267" s="7">
        <v>0</v>
      </c>
      <c r="BJ267" s="7">
        <v>0</v>
      </c>
      <c r="BK267" s="11">
        <v>2</v>
      </c>
      <c r="BL267" s="7" t="s">
        <v>1305</v>
      </c>
      <c r="BM267" s="6">
        <v>1</v>
      </c>
    </row>
    <row r="268" spans="1:65" ht="30" customHeight="1" x14ac:dyDescent="0.3">
      <c r="A268" s="3" t="s">
        <v>137</v>
      </c>
      <c r="B268" s="3">
        <v>11</v>
      </c>
      <c r="C268" s="8">
        <v>44477</v>
      </c>
      <c r="D268" s="9">
        <v>0.60069444444444442</v>
      </c>
      <c r="E268" s="4">
        <v>73</v>
      </c>
      <c r="F268" s="3">
        <v>0</v>
      </c>
      <c r="G268" s="3">
        <v>0</v>
      </c>
      <c r="H268" s="3">
        <v>0</v>
      </c>
      <c r="I268" s="3">
        <v>0.4</v>
      </c>
      <c r="J268" s="9">
        <v>0.65972222222222221</v>
      </c>
      <c r="K268" s="3">
        <v>144.19999999999999</v>
      </c>
      <c r="L268" s="11">
        <f t="shared" ref="L268" si="507">K268-K267</f>
        <v>2.3999999999999773</v>
      </c>
      <c r="M268" s="5">
        <f t="shared" ref="M268" si="508">AB267</f>
        <v>2005</v>
      </c>
      <c r="N268" s="11">
        <v>29.125</v>
      </c>
      <c r="O268" s="11">
        <v>31.125</v>
      </c>
      <c r="P268" s="11">
        <v>10.9375</v>
      </c>
      <c r="Q268" s="11">
        <v>10.75</v>
      </c>
      <c r="R268" s="11">
        <v>20.25</v>
      </c>
      <c r="S268" s="11">
        <v>20.25</v>
      </c>
      <c r="T268" s="11">
        <v>15</v>
      </c>
      <c r="U268" s="11">
        <v>13</v>
      </c>
      <c r="V268" s="11">
        <v>17</v>
      </c>
      <c r="W268" s="11">
        <v>15</v>
      </c>
      <c r="X268" s="11">
        <v>7</v>
      </c>
      <c r="Y268" s="11">
        <v>7</v>
      </c>
      <c r="Z268" s="3" t="s">
        <v>1381</v>
      </c>
      <c r="AA268" s="10" t="s">
        <v>1388</v>
      </c>
      <c r="AB268" s="5">
        <f>840+560+600+45+20</f>
        <v>2065</v>
      </c>
      <c r="AC268" s="6">
        <f>23+0+20+0+2</f>
        <v>45</v>
      </c>
      <c r="AD268" s="6">
        <f>12+0+3+0+1</f>
        <v>16</v>
      </c>
      <c r="AE268" s="6">
        <f>37+7+10+0+2</f>
        <v>56</v>
      </c>
      <c r="AF268" s="6">
        <f>117+133+90+13+0</f>
        <v>353</v>
      </c>
      <c r="AG268" s="6">
        <f>19+0+5+0+0</f>
        <v>24</v>
      </c>
      <c r="AH268" s="6">
        <f>1447+140+1050+15+100</f>
        <v>2752</v>
      </c>
      <c r="AI268" s="6">
        <f t="shared" si="400"/>
        <v>2.1791767554479417E-2</v>
      </c>
      <c r="AJ268" s="6">
        <f t="shared" si="401"/>
        <v>7.7481840193704601E-3</v>
      </c>
      <c r="AK268" s="6">
        <f t="shared" si="402"/>
        <v>2.7118644067796609E-2</v>
      </c>
      <c r="AL268" s="6">
        <f t="shared" si="403"/>
        <v>0.17094430992736079</v>
      </c>
      <c r="AM268" s="6">
        <f t="shared" si="404"/>
        <v>1.1622276029055689E-2</v>
      </c>
      <c r="AN268" s="6">
        <f t="shared" si="405"/>
        <v>1.3326876513317192</v>
      </c>
      <c r="AO268" s="7">
        <v>6</v>
      </c>
      <c r="AP268" s="7">
        <v>1</v>
      </c>
      <c r="AQ268" s="7">
        <v>0</v>
      </c>
      <c r="AR268" s="28" t="s">
        <v>1380</v>
      </c>
      <c r="AS268" s="27">
        <v>0</v>
      </c>
      <c r="AT268" s="27">
        <v>-10</v>
      </c>
      <c r="AU268" s="27">
        <v>0</v>
      </c>
      <c r="AV268" s="27">
        <v>0</v>
      </c>
      <c r="AW268" s="7">
        <v>1</v>
      </c>
      <c r="AX268" s="7">
        <v>1</v>
      </c>
      <c r="AY268" s="5">
        <f>5.5+0.75</f>
        <v>6.25</v>
      </c>
      <c r="AZ268" s="7">
        <v>0</v>
      </c>
      <c r="BA268" s="7">
        <v>0</v>
      </c>
      <c r="BB268" s="7">
        <v>0</v>
      </c>
      <c r="BC268" s="7">
        <v>1</v>
      </c>
      <c r="BD268" s="7">
        <v>1</v>
      </c>
      <c r="BE268" s="7">
        <v>0</v>
      </c>
      <c r="BF268" s="3">
        <v>2</v>
      </c>
      <c r="BG268" s="3">
        <f>15+30</f>
        <v>45</v>
      </c>
      <c r="BH268" s="7">
        <v>0</v>
      </c>
      <c r="BI268" s="7">
        <v>0</v>
      </c>
      <c r="BJ268" s="7">
        <v>0</v>
      </c>
      <c r="BK268" s="11">
        <v>1</v>
      </c>
      <c r="BL268" s="7" t="s">
        <v>1305</v>
      </c>
      <c r="BM268" s="6">
        <v>1</v>
      </c>
    </row>
    <row r="269" spans="1:65" ht="19.95" customHeight="1" x14ac:dyDescent="0.3">
      <c r="A269" s="3" t="s">
        <v>1382</v>
      </c>
      <c r="B269" s="3">
        <v>12</v>
      </c>
      <c r="C269" s="8">
        <v>44478</v>
      </c>
      <c r="D269" s="9">
        <v>0.33333333333333331</v>
      </c>
      <c r="E269" s="4">
        <v>60</v>
      </c>
      <c r="F269" s="3">
        <v>0</v>
      </c>
      <c r="G269" s="3">
        <v>0</v>
      </c>
      <c r="H269" s="3">
        <v>0</v>
      </c>
      <c r="I269" s="3">
        <v>0</v>
      </c>
      <c r="J269" s="9">
        <v>0.26874999999999999</v>
      </c>
      <c r="K269" s="3">
        <v>145.4</v>
      </c>
      <c r="L269" s="11">
        <f t="shared" ref="L269:L270" si="509">K269-K268</f>
        <v>1.2000000000000171</v>
      </c>
      <c r="M269" s="5">
        <f t="shared" ref="M269:M270" si="510">AB268</f>
        <v>2065</v>
      </c>
      <c r="N269" s="11">
        <v>29.5</v>
      </c>
      <c r="O269" s="11">
        <v>31.625</v>
      </c>
      <c r="P269" s="11">
        <v>10.625</v>
      </c>
      <c r="Q269" s="11">
        <v>10.875</v>
      </c>
      <c r="R269" s="11">
        <v>20</v>
      </c>
      <c r="S269" s="11">
        <v>20.25</v>
      </c>
      <c r="T269" s="11">
        <v>14</v>
      </c>
      <c r="U269" s="11">
        <v>11</v>
      </c>
      <c r="V269" s="11">
        <v>16</v>
      </c>
      <c r="W269" s="11">
        <v>14</v>
      </c>
      <c r="X269" s="11">
        <v>7</v>
      </c>
      <c r="Y269" s="11">
        <v>7</v>
      </c>
      <c r="Z269" s="3" t="s">
        <v>1383</v>
      </c>
      <c r="AA269" s="10" t="s">
        <v>1390</v>
      </c>
      <c r="AB269" s="5">
        <f>367+140+600+560+130</f>
        <v>1797</v>
      </c>
      <c r="AC269" s="6">
        <f>24+7+20+0+5</f>
        <v>56</v>
      </c>
      <c r="AD269" s="6">
        <f>7+5+3+0+1</f>
        <v>16</v>
      </c>
      <c r="AE269" s="6">
        <f>27+2+10+7+2</f>
        <v>48</v>
      </c>
      <c r="AF269" s="6">
        <f>11+18+90+133+21</f>
        <v>273</v>
      </c>
      <c r="AG269" s="6">
        <f>3+2+5+0+2</f>
        <v>12</v>
      </c>
      <c r="AH269" s="6">
        <f>468+90+1050+140+220</f>
        <v>1968</v>
      </c>
      <c r="AI269" s="6">
        <f t="shared" si="400"/>
        <v>3.1163049526989426E-2</v>
      </c>
      <c r="AJ269" s="6">
        <f t="shared" si="401"/>
        <v>8.9037284362826936E-3</v>
      </c>
      <c r="AK269" s="6">
        <f t="shared" si="402"/>
        <v>2.6711185308848081E-2</v>
      </c>
      <c r="AL269" s="6">
        <f t="shared" si="403"/>
        <v>0.15191986644407346</v>
      </c>
      <c r="AM269" s="6">
        <f t="shared" si="404"/>
        <v>6.6777963272120202E-3</v>
      </c>
      <c r="AN269" s="6">
        <f t="shared" si="405"/>
        <v>1.0951585976627713</v>
      </c>
      <c r="AO269" s="7">
        <v>4</v>
      </c>
      <c r="AP269" s="7">
        <v>0</v>
      </c>
      <c r="AQ269" s="7">
        <v>0</v>
      </c>
      <c r="AR269" s="27">
        <v>0</v>
      </c>
      <c r="AS269" s="27">
        <v>0</v>
      </c>
      <c r="AT269" s="27">
        <v>0</v>
      </c>
      <c r="AU269" s="27">
        <v>0</v>
      </c>
      <c r="AV269" s="27">
        <v>0</v>
      </c>
      <c r="AW269" s="7">
        <v>31</v>
      </c>
      <c r="AX269" s="7">
        <v>1</v>
      </c>
      <c r="AY269" s="5">
        <v>5</v>
      </c>
      <c r="AZ269" s="7">
        <v>0</v>
      </c>
      <c r="BA269" s="7">
        <v>0</v>
      </c>
      <c r="BB269" s="7">
        <v>0</v>
      </c>
      <c r="BC269" s="7">
        <v>1</v>
      </c>
      <c r="BD269" s="7">
        <v>1</v>
      </c>
      <c r="BE269" s="7">
        <v>0</v>
      </c>
      <c r="BF269" s="7">
        <v>0</v>
      </c>
      <c r="BG269" s="7">
        <v>0</v>
      </c>
      <c r="BH269" s="7">
        <v>0</v>
      </c>
      <c r="BI269" s="7">
        <v>0</v>
      </c>
      <c r="BJ269" s="7">
        <v>0</v>
      </c>
      <c r="BK269" s="11">
        <v>1</v>
      </c>
      <c r="BL269" s="7" t="s">
        <v>1305</v>
      </c>
      <c r="BM269" s="6">
        <v>0</v>
      </c>
    </row>
    <row r="270" spans="1:65" ht="19.95" customHeight="1" x14ac:dyDescent="0.3">
      <c r="A270" s="3" t="s">
        <v>23</v>
      </c>
      <c r="B270" s="3">
        <v>13</v>
      </c>
      <c r="C270" s="8">
        <v>44479</v>
      </c>
      <c r="D270" s="9">
        <v>0.33333333333333331</v>
      </c>
      <c r="E270" s="4">
        <v>55</v>
      </c>
      <c r="F270" s="3">
        <v>0</v>
      </c>
      <c r="G270" s="3">
        <v>0</v>
      </c>
      <c r="H270" s="3">
        <v>0</v>
      </c>
      <c r="I270" s="3">
        <v>0</v>
      </c>
      <c r="J270" s="9">
        <v>0.30069444444444443</v>
      </c>
      <c r="K270" s="3">
        <v>144.80000000000001</v>
      </c>
      <c r="L270" s="11">
        <f t="shared" si="509"/>
        <v>-0.59999999999999432</v>
      </c>
      <c r="M270" s="5">
        <f t="shared" si="510"/>
        <v>1797</v>
      </c>
      <c r="N270" s="11">
        <v>29.75</v>
      </c>
      <c r="O270" s="11">
        <v>31.5</v>
      </c>
      <c r="P270" s="11">
        <v>10.75</v>
      </c>
      <c r="Q270" s="11">
        <v>10.75</v>
      </c>
      <c r="R270" s="11">
        <v>20.75</v>
      </c>
      <c r="S270" s="11">
        <v>20.5</v>
      </c>
      <c r="T270" s="11">
        <v>16</v>
      </c>
      <c r="U270" s="11">
        <v>14</v>
      </c>
      <c r="V270" s="11">
        <v>17</v>
      </c>
      <c r="W270" s="11">
        <v>17</v>
      </c>
      <c r="X270" s="11">
        <v>7</v>
      </c>
      <c r="Y270" s="11">
        <v>7</v>
      </c>
      <c r="Z270" s="3" t="s">
        <v>1384</v>
      </c>
      <c r="AA270" s="10" t="s">
        <v>1391</v>
      </c>
      <c r="AB270" s="5">
        <f>734+280+120+675</f>
        <v>1809</v>
      </c>
      <c r="AC270" s="6">
        <f>48+14+4+23</f>
        <v>89</v>
      </c>
      <c r="AD270" s="6">
        <f>13+2+1+11</f>
        <v>27</v>
      </c>
      <c r="AE270" s="6">
        <f>55+4+2+36</f>
        <v>97</v>
      </c>
      <c r="AF270" s="6">
        <f>22+36+18+83</f>
        <v>159</v>
      </c>
      <c r="AG270" s="6">
        <f>7+4+1+2</f>
        <v>14</v>
      </c>
      <c r="AH270" s="6">
        <f>936+180+210+1575</f>
        <v>2901</v>
      </c>
      <c r="AI270" s="6">
        <f t="shared" si="400"/>
        <v>4.9198452183526808E-2</v>
      </c>
      <c r="AJ270" s="6">
        <f t="shared" si="401"/>
        <v>1.4925373134328358E-2</v>
      </c>
      <c r="AK270" s="6">
        <f t="shared" si="402"/>
        <v>5.3620784964068545E-2</v>
      </c>
      <c r="AL270" s="6">
        <f t="shared" si="403"/>
        <v>8.7893864013267001E-2</v>
      </c>
      <c r="AM270" s="6">
        <f t="shared" si="404"/>
        <v>7.7390823659480379E-3</v>
      </c>
      <c r="AN270" s="6">
        <f t="shared" si="405"/>
        <v>1.6036484245439468</v>
      </c>
      <c r="AO270" s="7">
        <v>5</v>
      </c>
      <c r="AP270" s="7">
        <v>2</v>
      </c>
      <c r="AQ270" s="7">
        <v>0</v>
      </c>
      <c r="AR270" s="27">
        <v>0</v>
      </c>
      <c r="AS270" s="27">
        <v>0</v>
      </c>
      <c r="AT270" s="27">
        <v>0</v>
      </c>
      <c r="AU270" s="27">
        <v>0</v>
      </c>
      <c r="AV270" s="27">
        <v>0</v>
      </c>
      <c r="AW270" s="7">
        <v>0</v>
      </c>
      <c r="AX270" s="7">
        <v>1</v>
      </c>
      <c r="AY270" s="5">
        <v>7.5</v>
      </c>
      <c r="AZ270" s="7">
        <v>0</v>
      </c>
      <c r="BA270" s="7">
        <v>0</v>
      </c>
      <c r="BB270" s="7">
        <v>0</v>
      </c>
      <c r="BC270" s="7">
        <v>1</v>
      </c>
      <c r="BD270" s="7">
        <v>1</v>
      </c>
      <c r="BE270" s="7">
        <v>0</v>
      </c>
      <c r="BF270" s="7">
        <v>0</v>
      </c>
      <c r="BG270" s="7">
        <v>0</v>
      </c>
      <c r="BH270" s="7">
        <v>0</v>
      </c>
      <c r="BI270" s="7">
        <v>0</v>
      </c>
      <c r="BJ270" s="7">
        <v>0</v>
      </c>
      <c r="BK270" s="11">
        <v>1</v>
      </c>
      <c r="BL270" s="7" t="s">
        <v>1305</v>
      </c>
      <c r="BM270" s="6">
        <v>1</v>
      </c>
    </row>
    <row r="271" spans="1:65" ht="19.95" customHeight="1" x14ac:dyDescent="0.3">
      <c r="A271" s="3" t="s">
        <v>15</v>
      </c>
      <c r="B271" s="3">
        <v>14</v>
      </c>
      <c r="C271" s="8">
        <v>44480</v>
      </c>
      <c r="D271" s="9">
        <v>0.625</v>
      </c>
      <c r="E271" s="4">
        <v>73</v>
      </c>
      <c r="F271" s="3">
        <v>8</v>
      </c>
      <c r="G271" s="3">
        <v>3</v>
      </c>
      <c r="H271" s="3">
        <v>24</v>
      </c>
      <c r="I271" s="3">
        <v>0.05</v>
      </c>
      <c r="J271" s="9">
        <v>0.30902777777777779</v>
      </c>
      <c r="K271" s="3">
        <v>143</v>
      </c>
      <c r="L271" s="11">
        <f t="shared" ref="L271" si="511">K271-K270</f>
        <v>-1.8000000000000114</v>
      </c>
      <c r="M271" s="5">
        <f t="shared" ref="M271" si="512">AB270</f>
        <v>1809</v>
      </c>
      <c r="N271" s="11">
        <v>30</v>
      </c>
      <c r="O271" s="11">
        <v>31.75</v>
      </c>
      <c r="P271" s="11">
        <v>11</v>
      </c>
      <c r="Q271" s="11">
        <v>10.875</v>
      </c>
      <c r="R271" s="11">
        <v>19.375</v>
      </c>
      <c r="S271" s="11">
        <v>20.125</v>
      </c>
      <c r="T271" s="11">
        <v>15</v>
      </c>
      <c r="U271" s="11">
        <v>14</v>
      </c>
      <c r="V271" s="11">
        <v>16</v>
      </c>
      <c r="W271" s="11">
        <v>14</v>
      </c>
      <c r="X271" s="11">
        <v>7</v>
      </c>
      <c r="Y271" s="11">
        <v>7</v>
      </c>
      <c r="Z271" s="3" t="s">
        <v>1393</v>
      </c>
      <c r="AA271" s="10" t="s">
        <v>1397</v>
      </c>
      <c r="AB271" s="5">
        <f>1125+260+50+200+180</f>
        <v>1815</v>
      </c>
      <c r="AC271" s="6">
        <f>38+3+4+2+14</f>
        <v>61</v>
      </c>
      <c r="AD271" s="6">
        <f>19+0+3+0+9</f>
        <v>31</v>
      </c>
      <c r="AE271" s="6">
        <f>60+11+1+8+14</f>
        <v>94</v>
      </c>
      <c r="AF271" s="6">
        <f>139+48+2+38+0</f>
        <v>227</v>
      </c>
      <c r="AG271" s="6">
        <f>4+3+0+4+0</f>
        <v>11</v>
      </c>
      <c r="AH271" s="6">
        <f>2625+380+85+400+340</f>
        <v>3830</v>
      </c>
      <c r="AI271" s="6">
        <f t="shared" si="400"/>
        <v>3.3608815426997243E-2</v>
      </c>
      <c r="AJ271" s="6">
        <f t="shared" si="401"/>
        <v>1.7079889807162536E-2</v>
      </c>
      <c r="AK271" s="6">
        <f t="shared" si="402"/>
        <v>5.1790633608815424E-2</v>
      </c>
      <c r="AL271" s="6">
        <f t="shared" si="403"/>
        <v>0.12506887052341598</v>
      </c>
      <c r="AM271" s="6">
        <f t="shared" si="404"/>
        <v>6.0606060606060606E-3</v>
      </c>
      <c r="AN271" s="6">
        <f t="shared" si="405"/>
        <v>2.1101928374655645</v>
      </c>
      <c r="AO271" s="7">
        <v>6</v>
      </c>
      <c r="AP271" s="7">
        <v>1</v>
      </c>
      <c r="AQ271" s="7">
        <v>0</v>
      </c>
      <c r="AR271" s="28" t="s">
        <v>1392</v>
      </c>
      <c r="AS271" s="27">
        <v>0</v>
      </c>
      <c r="AT271" s="27">
        <v>0</v>
      </c>
      <c r="AU271" s="27">
        <v>0</v>
      </c>
      <c r="AV271" s="27">
        <v>0</v>
      </c>
      <c r="AW271" s="7">
        <v>31</v>
      </c>
      <c r="AX271" s="7">
        <v>1</v>
      </c>
      <c r="AY271" s="5">
        <v>7.5</v>
      </c>
      <c r="AZ271" s="7">
        <v>0</v>
      </c>
      <c r="BA271" s="7">
        <v>0</v>
      </c>
      <c r="BB271" s="7">
        <v>0</v>
      </c>
      <c r="BC271" s="7">
        <v>1</v>
      </c>
      <c r="BD271" s="7">
        <v>1</v>
      </c>
      <c r="BE271" s="7">
        <v>0</v>
      </c>
      <c r="BF271" s="7">
        <v>1</v>
      </c>
      <c r="BG271" s="7">
        <v>20</v>
      </c>
      <c r="BH271" s="7">
        <v>0</v>
      </c>
      <c r="BI271" s="7">
        <v>0</v>
      </c>
      <c r="BJ271" s="7">
        <v>1</v>
      </c>
      <c r="BK271" s="11">
        <v>2.5</v>
      </c>
      <c r="BL271" s="7" t="s">
        <v>1305</v>
      </c>
      <c r="BM271" s="6">
        <v>1</v>
      </c>
    </row>
    <row r="272" spans="1:65" ht="19.95" customHeight="1" x14ac:dyDescent="0.3">
      <c r="A272" s="3" t="s">
        <v>16</v>
      </c>
      <c r="B272" s="3">
        <v>15</v>
      </c>
      <c r="C272" s="8">
        <v>44481</v>
      </c>
      <c r="D272" s="9">
        <v>0.125</v>
      </c>
      <c r="E272" s="4">
        <v>58</v>
      </c>
      <c r="F272" s="3">
        <v>0</v>
      </c>
      <c r="G272" s="3">
        <v>0</v>
      </c>
      <c r="H272" s="3">
        <v>0</v>
      </c>
      <c r="I272" s="3">
        <v>0</v>
      </c>
      <c r="J272" s="9">
        <v>0.37152777777777773</v>
      </c>
      <c r="K272" s="3">
        <v>143.4</v>
      </c>
      <c r="L272" s="11">
        <f t="shared" ref="L272:L275" si="513">K272-K271</f>
        <v>0.40000000000000568</v>
      </c>
      <c r="M272" s="5">
        <f t="shared" ref="M272:M275" si="514">AB271</f>
        <v>1815</v>
      </c>
      <c r="N272" s="11">
        <v>30.25</v>
      </c>
      <c r="O272" s="11">
        <v>32</v>
      </c>
      <c r="P272" s="11">
        <v>10.625</v>
      </c>
      <c r="Q272" s="11">
        <v>10.625</v>
      </c>
      <c r="R272" s="11">
        <v>20.25</v>
      </c>
      <c r="S272" s="11">
        <v>20.25</v>
      </c>
      <c r="T272" s="11">
        <v>15</v>
      </c>
      <c r="U272" s="11">
        <v>13</v>
      </c>
      <c r="V272" s="11">
        <v>15</v>
      </c>
      <c r="W272" s="11">
        <v>15</v>
      </c>
      <c r="X272" s="11">
        <v>7</v>
      </c>
      <c r="Y272" s="11">
        <v>7</v>
      </c>
      <c r="Z272" s="3" t="s">
        <v>1398</v>
      </c>
      <c r="AA272" s="10" t="s">
        <v>1403</v>
      </c>
      <c r="AB272" s="5">
        <f>105+600+360+260+150+200</f>
        <v>1675</v>
      </c>
      <c r="AC272" s="6">
        <f>4.5+6+28+2.5+12+12</f>
        <v>65</v>
      </c>
      <c r="AD272" s="6">
        <f>0+0+18+0+7.5+8</f>
        <v>33.5</v>
      </c>
      <c r="AE272" s="6">
        <f>0+24+28+11+3+16</f>
        <v>82</v>
      </c>
      <c r="AF272" s="6">
        <f>15+114+0+48+6+4</f>
        <v>187</v>
      </c>
      <c r="AG272" s="6">
        <f>0+12+0+3+0+0</f>
        <v>15</v>
      </c>
      <c r="AH272" s="6">
        <f>45+1200+680+380+255+560</f>
        <v>3120</v>
      </c>
      <c r="AI272" s="6">
        <f t="shared" si="400"/>
        <v>3.880597014925373E-2</v>
      </c>
      <c r="AJ272" s="6">
        <f t="shared" si="401"/>
        <v>0.02</v>
      </c>
      <c r="AK272" s="6">
        <f t="shared" si="402"/>
        <v>4.8955223880597018E-2</v>
      </c>
      <c r="AL272" s="6">
        <f t="shared" si="403"/>
        <v>0.11164179104477612</v>
      </c>
      <c r="AM272" s="6">
        <f t="shared" si="404"/>
        <v>8.9552238805970154E-3</v>
      </c>
      <c r="AN272" s="6">
        <f t="shared" si="405"/>
        <v>1.862686567164179</v>
      </c>
      <c r="AO272" s="7">
        <v>7</v>
      </c>
      <c r="AP272" s="7">
        <v>1</v>
      </c>
      <c r="AQ272" s="7">
        <v>0</v>
      </c>
      <c r="AR272" s="27">
        <v>0</v>
      </c>
      <c r="AS272" s="27">
        <v>0</v>
      </c>
      <c r="AT272" s="27">
        <v>0</v>
      </c>
      <c r="AU272" s="27">
        <v>0</v>
      </c>
      <c r="AV272" s="27">
        <v>0</v>
      </c>
      <c r="AW272" s="7">
        <v>31</v>
      </c>
      <c r="AX272" s="7">
        <v>1</v>
      </c>
      <c r="AY272" s="5">
        <v>6.5</v>
      </c>
      <c r="AZ272" s="7">
        <v>0</v>
      </c>
      <c r="BA272" s="7">
        <v>1</v>
      </c>
      <c r="BB272" s="7">
        <v>0</v>
      </c>
      <c r="BC272" s="7">
        <v>1</v>
      </c>
      <c r="BD272" s="7">
        <v>1</v>
      </c>
      <c r="BE272" s="7">
        <v>0</v>
      </c>
      <c r="BF272" s="7">
        <v>0</v>
      </c>
      <c r="BG272" s="7">
        <v>0</v>
      </c>
      <c r="BH272" s="7">
        <v>0</v>
      </c>
      <c r="BI272" s="7">
        <v>0</v>
      </c>
      <c r="BJ272" s="7">
        <v>0</v>
      </c>
      <c r="BK272" s="11">
        <v>0</v>
      </c>
      <c r="BL272" s="3">
        <v>0</v>
      </c>
      <c r="BM272" s="6">
        <v>1</v>
      </c>
    </row>
    <row r="273" spans="1:65" ht="19.95" customHeight="1" x14ac:dyDescent="0.3">
      <c r="A273" s="3" t="s">
        <v>17</v>
      </c>
      <c r="B273" s="3">
        <v>16</v>
      </c>
      <c r="C273" s="8">
        <v>44482</v>
      </c>
      <c r="D273" s="9">
        <v>0.20833333333333334</v>
      </c>
      <c r="E273" s="4">
        <v>45</v>
      </c>
      <c r="F273" s="3">
        <v>0</v>
      </c>
      <c r="G273" s="3">
        <v>0</v>
      </c>
      <c r="H273" s="3">
        <v>0</v>
      </c>
      <c r="I273" s="3">
        <v>0</v>
      </c>
      <c r="J273" s="9">
        <v>0.33263888888888887</v>
      </c>
      <c r="K273" s="3">
        <v>144.4</v>
      </c>
      <c r="L273" s="11">
        <f t="shared" si="513"/>
        <v>1</v>
      </c>
      <c r="M273" s="5">
        <f t="shared" si="514"/>
        <v>1675</v>
      </c>
      <c r="N273" s="11">
        <v>29.75</v>
      </c>
      <c r="O273" s="11">
        <v>31.625</v>
      </c>
      <c r="P273" s="11">
        <v>10.625</v>
      </c>
      <c r="Q273" s="11">
        <v>10.5</v>
      </c>
      <c r="R273" s="11">
        <v>20.125</v>
      </c>
      <c r="S273" s="11">
        <v>20.25</v>
      </c>
      <c r="T273" s="11">
        <v>14</v>
      </c>
      <c r="U273" s="11">
        <v>14</v>
      </c>
      <c r="V273" s="11">
        <v>15</v>
      </c>
      <c r="W273" s="11">
        <v>13</v>
      </c>
      <c r="X273" s="11">
        <v>7</v>
      </c>
      <c r="Y273" s="11">
        <v>7</v>
      </c>
      <c r="Z273" s="3" t="s">
        <v>1399</v>
      </c>
      <c r="AA273" s="10" t="s">
        <v>1405</v>
      </c>
      <c r="AB273" s="5">
        <f>520+200+200+200+100+38+26+425+280+240+130+140</f>
        <v>2499</v>
      </c>
      <c r="AC273" s="6">
        <f>10+16+12+2+5+2+1+18+12+8+5+7</f>
        <v>98</v>
      </c>
      <c r="AD273" s="6">
        <f>1+10+8+0+3+1+0+6+0+1+1+1</f>
        <v>32</v>
      </c>
      <c r="AE273" s="6">
        <f>26+4+16+8+1+0+0+15+0+4+2+2</f>
        <v>78</v>
      </c>
      <c r="AF273" s="6">
        <f>88+8+4+38+13+6+5+52+40+36+21+18</f>
        <v>329</v>
      </c>
      <c r="AG273" s="6">
        <f>10+0+0+4+0+0+0+4+0+2+2+2</f>
        <v>24</v>
      </c>
      <c r="AH273" s="6">
        <f>700+340+560+400+40+13+11+780+120+420+220+90</f>
        <v>3694</v>
      </c>
      <c r="AI273" s="6">
        <f t="shared" si="400"/>
        <v>3.9215686274509803E-2</v>
      </c>
      <c r="AJ273" s="6">
        <f t="shared" si="401"/>
        <v>1.2805122048819529E-2</v>
      </c>
      <c r="AK273" s="6">
        <f t="shared" si="402"/>
        <v>3.1212484993997598E-2</v>
      </c>
      <c r="AL273" s="6">
        <f t="shared" si="403"/>
        <v>0.13165266106442577</v>
      </c>
      <c r="AM273" s="6">
        <f t="shared" si="404"/>
        <v>9.6038415366146452E-3</v>
      </c>
      <c r="AN273" s="6">
        <f t="shared" si="405"/>
        <v>1.4781912765106042</v>
      </c>
      <c r="AO273" s="7">
        <v>7</v>
      </c>
      <c r="AP273" s="7">
        <v>1</v>
      </c>
      <c r="AQ273" s="7">
        <v>0</v>
      </c>
      <c r="AR273" s="27">
        <v>0</v>
      </c>
      <c r="AS273" s="27">
        <v>0</v>
      </c>
      <c r="AT273" s="27">
        <v>0</v>
      </c>
      <c r="AU273" s="27">
        <v>0</v>
      </c>
      <c r="AV273" s="27">
        <v>0</v>
      </c>
      <c r="AW273" s="7">
        <v>31</v>
      </c>
      <c r="AX273" s="7">
        <v>1</v>
      </c>
      <c r="AY273" s="5">
        <v>6.5</v>
      </c>
      <c r="AZ273" s="7">
        <v>0</v>
      </c>
      <c r="BA273" s="7">
        <v>1</v>
      </c>
      <c r="BB273" s="7">
        <v>0</v>
      </c>
      <c r="BC273" s="7">
        <v>1</v>
      </c>
      <c r="BD273" s="7">
        <v>1</v>
      </c>
      <c r="BE273" s="7">
        <v>0</v>
      </c>
      <c r="BF273" s="7">
        <v>0</v>
      </c>
      <c r="BG273" s="7">
        <v>0</v>
      </c>
      <c r="BH273" s="7">
        <v>0</v>
      </c>
      <c r="BI273" s="7">
        <v>0</v>
      </c>
      <c r="BJ273" s="7">
        <v>0</v>
      </c>
      <c r="BK273" s="11">
        <v>0</v>
      </c>
      <c r="BL273" s="3">
        <v>0</v>
      </c>
      <c r="BM273" s="6">
        <v>1</v>
      </c>
    </row>
    <row r="274" spans="1:65" ht="19.95" customHeight="1" x14ac:dyDescent="0.3">
      <c r="A274" s="3" t="s">
        <v>18</v>
      </c>
      <c r="B274" s="3">
        <v>17</v>
      </c>
      <c r="C274" s="8">
        <v>44483</v>
      </c>
      <c r="D274" s="9">
        <v>0.25</v>
      </c>
      <c r="E274" s="4">
        <v>45</v>
      </c>
      <c r="F274" s="3">
        <v>0</v>
      </c>
      <c r="G274" s="3">
        <v>0</v>
      </c>
      <c r="H274" s="3">
        <v>0</v>
      </c>
      <c r="I274" s="3">
        <v>0</v>
      </c>
      <c r="J274" s="9">
        <v>0.39930555555555558</v>
      </c>
      <c r="K274" s="3">
        <v>142</v>
      </c>
      <c r="L274" s="11">
        <f t="shared" si="513"/>
        <v>-2.4000000000000057</v>
      </c>
      <c r="M274" s="5">
        <f t="shared" si="514"/>
        <v>2499</v>
      </c>
      <c r="N274" s="11">
        <v>30.125</v>
      </c>
      <c r="O274" s="11">
        <v>31.625</v>
      </c>
      <c r="P274" s="11">
        <v>10.625</v>
      </c>
      <c r="Q274" s="11">
        <v>10.625</v>
      </c>
      <c r="R274" s="11">
        <v>20.5</v>
      </c>
      <c r="S274" s="11">
        <v>20.375</v>
      </c>
      <c r="T274" s="11">
        <v>14</v>
      </c>
      <c r="U274" s="11">
        <v>12</v>
      </c>
      <c r="V274" s="11">
        <v>17</v>
      </c>
      <c r="W274" s="11">
        <v>15</v>
      </c>
      <c r="X274" s="11">
        <v>7</v>
      </c>
      <c r="Y274" s="11">
        <v>7</v>
      </c>
      <c r="Z274" s="3" t="s">
        <v>1401</v>
      </c>
      <c r="AA274" s="10" t="s">
        <v>1406</v>
      </c>
      <c r="AB274" s="5">
        <f>425+160+420+270+260+300+90</f>
        <v>1925</v>
      </c>
      <c r="AC274" s="6">
        <f>18+10+18+13+18+18+7</f>
        <v>102</v>
      </c>
      <c r="AD274" s="6">
        <f>6+7+0+2+5+10+5</f>
        <v>35</v>
      </c>
      <c r="AE274" s="6">
        <f>15+12+0+5+20+6+7</f>
        <v>65</v>
      </c>
      <c r="AF274" s="6">
        <f>52+2+60+34+5+34+0</f>
        <v>187</v>
      </c>
      <c r="AG274" s="6">
        <f>4+0+0+2+2+2+0</f>
        <v>10</v>
      </c>
      <c r="AH274" s="6">
        <f>780+380+180+640+350+100+170</f>
        <v>2600</v>
      </c>
      <c r="AI274" s="6">
        <f t="shared" si="400"/>
        <v>5.2987012987012985E-2</v>
      </c>
      <c r="AJ274" s="6">
        <f t="shared" si="401"/>
        <v>1.8181818181818181E-2</v>
      </c>
      <c r="AK274" s="6">
        <f t="shared" si="402"/>
        <v>3.3766233766233764E-2</v>
      </c>
      <c r="AL274" s="6">
        <f t="shared" si="403"/>
        <v>9.7142857142857142E-2</v>
      </c>
      <c r="AM274" s="6">
        <f t="shared" si="404"/>
        <v>5.1948051948051948E-3</v>
      </c>
      <c r="AN274" s="6">
        <f t="shared" si="405"/>
        <v>1.3506493506493507</v>
      </c>
      <c r="AO274" s="7">
        <v>6</v>
      </c>
      <c r="AP274" s="7">
        <v>1</v>
      </c>
      <c r="AQ274" s="7">
        <v>0</v>
      </c>
      <c r="AR274" s="27">
        <v>0</v>
      </c>
      <c r="AS274" s="27">
        <v>0</v>
      </c>
      <c r="AT274" s="27">
        <v>0</v>
      </c>
      <c r="AU274" s="27">
        <v>0</v>
      </c>
      <c r="AV274" s="27">
        <v>0</v>
      </c>
      <c r="AW274" s="7">
        <v>0</v>
      </c>
      <c r="AX274" s="7">
        <v>1</v>
      </c>
      <c r="AY274" s="5">
        <v>7.5</v>
      </c>
      <c r="AZ274" s="7">
        <v>0</v>
      </c>
      <c r="BA274" s="7">
        <v>0</v>
      </c>
      <c r="BB274" s="7">
        <v>0</v>
      </c>
      <c r="BC274" s="7">
        <v>1</v>
      </c>
      <c r="BD274" s="7">
        <v>1</v>
      </c>
      <c r="BE274" s="7">
        <v>0</v>
      </c>
      <c r="BF274" s="7">
        <v>0</v>
      </c>
      <c r="BG274" s="7">
        <v>0</v>
      </c>
      <c r="BH274" s="7">
        <v>0</v>
      </c>
      <c r="BI274" s="7">
        <v>0</v>
      </c>
      <c r="BJ274" s="7">
        <v>0</v>
      </c>
      <c r="BK274" s="11">
        <v>0.75</v>
      </c>
      <c r="BL274" s="7" t="s">
        <v>1400</v>
      </c>
      <c r="BM274" s="6">
        <v>1</v>
      </c>
    </row>
    <row r="275" spans="1:65" ht="19.95" customHeight="1" x14ac:dyDescent="0.3">
      <c r="A275" s="3" t="s">
        <v>137</v>
      </c>
      <c r="B275" s="3">
        <v>18</v>
      </c>
      <c r="C275" s="8">
        <v>44484</v>
      </c>
      <c r="D275" s="9">
        <v>0.25</v>
      </c>
      <c r="E275" s="4">
        <v>66</v>
      </c>
      <c r="F275" s="3">
        <v>0</v>
      </c>
      <c r="G275" s="3">
        <v>0</v>
      </c>
      <c r="H275" s="3">
        <v>0</v>
      </c>
      <c r="I275" s="3">
        <v>0</v>
      </c>
      <c r="J275" s="9">
        <v>0.54861111111111105</v>
      </c>
      <c r="K275" s="3">
        <v>140.6</v>
      </c>
      <c r="L275" s="11">
        <f t="shared" si="513"/>
        <v>-1.4000000000000057</v>
      </c>
      <c r="M275" s="5">
        <f t="shared" si="514"/>
        <v>1925</v>
      </c>
      <c r="N275" s="11">
        <v>31.5</v>
      </c>
      <c r="O275" s="11">
        <v>32.75</v>
      </c>
      <c r="P275" s="11">
        <v>10.625</v>
      </c>
      <c r="Q275" s="11">
        <v>10.625</v>
      </c>
      <c r="R275" s="11">
        <v>19.25</v>
      </c>
      <c r="S275" s="11">
        <v>20.5</v>
      </c>
      <c r="T275" s="11">
        <v>12</v>
      </c>
      <c r="U275" s="11">
        <v>12</v>
      </c>
      <c r="V275" s="11">
        <v>17</v>
      </c>
      <c r="W275" s="11">
        <v>14</v>
      </c>
      <c r="X275" s="11">
        <v>7</v>
      </c>
      <c r="Y275" s="11">
        <v>7</v>
      </c>
      <c r="Z275" s="3" t="s">
        <v>1408</v>
      </c>
      <c r="AA275" s="10" t="s">
        <v>1409</v>
      </c>
      <c r="AB275" s="12">
        <f>526+260+260+80+0+0+640+300+640+260+100+160</f>
        <v>3226</v>
      </c>
      <c r="AC275" s="6">
        <f>23+18+5+5+0+0+28+18+28+5+8+13</f>
        <v>151</v>
      </c>
      <c r="AD275" s="6">
        <f>0+5+1+4+0+0+14+10+14+1+5+2</f>
        <v>56</v>
      </c>
      <c r="AE275" s="6">
        <f>0+20+13+6+0+0+26+6+26+13+2+6</f>
        <v>118</v>
      </c>
      <c r="AF275" s="6">
        <f>75+5+44+1+0+0+68+34+68+44+4+8</f>
        <v>351</v>
      </c>
      <c r="AG275" s="6">
        <f>0+2+5+0+0+0+4+2+4+5+0+3</f>
        <v>25</v>
      </c>
      <c r="AH275" s="6">
        <f>225+350+350+190+55+156+1420+100+1420+350+170+135</f>
        <v>4921</v>
      </c>
      <c r="AI275" s="6">
        <f t="shared" si="400"/>
        <v>4.6807191568505886E-2</v>
      </c>
      <c r="AJ275" s="6">
        <f t="shared" si="401"/>
        <v>1.735895846249225E-2</v>
      </c>
      <c r="AK275" s="6">
        <f t="shared" si="402"/>
        <v>3.6577805331680098E-2</v>
      </c>
      <c r="AL275" s="6">
        <f t="shared" si="403"/>
        <v>0.1088034717916925</v>
      </c>
      <c r="AM275" s="6">
        <f t="shared" si="404"/>
        <v>7.7495350278983261E-3</v>
      </c>
      <c r="AN275" s="6">
        <f t="shared" si="405"/>
        <v>1.5254184748915065</v>
      </c>
      <c r="AO275" s="7">
        <v>6</v>
      </c>
      <c r="AP275" s="7">
        <v>1</v>
      </c>
      <c r="AQ275" s="7">
        <v>0</v>
      </c>
      <c r="AR275" s="27">
        <v>0</v>
      </c>
      <c r="AS275" s="27">
        <v>0</v>
      </c>
      <c r="AT275" s="27">
        <v>0</v>
      </c>
      <c r="AU275" s="27">
        <v>0</v>
      </c>
      <c r="AV275" s="27">
        <v>0</v>
      </c>
      <c r="AW275" s="7">
        <v>31</v>
      </c>
      <c r="AX275" s="7">
        <v>1</v>
      </c>
      <c r="AY275" s="5">
        <v>7.5</v>
      </c>
      <c r="AZ275" s="7">
        <v>0</v>
      </c>
      <c r="BA275" s="7">
        <v>0</v>
      </c>
      <c r="BB275" s="7">
        <v>0</v>
      </c>
      <c r="BC275" s="7">
        <v>1</v>
      </c>
      <c r="BD275" s="7">
        <v>1</v>
      </c>
      <c r="BE275" s="7">
        <v>0</v>
      </c>
      <c r="BF275" s="7">
        <v>1</v>
      </c>
      <c r="BG275" s="7">
        <v>20</v>
      </c>
      <c r="BH275" s="7">
        <v>0</v>
      </c>
      <c r="BI275" s="7">
        <v>0</v>
      </c>
      <c r="BJ275" s="7">
        <v>0</v>
      </c>
      <c r="BK275" s="11">
        <v>1</v>
      </c>
      <c r="BL275" s="7" t="s">
        <v>1400</v>
      </c>
      <c r="BM275" s="6">
        <v>1</v>
      </c>
    </row>
    <row r="276" spans="1:65" ht="19.95" customHeight="1" x14ac:dyDescent="0.3">
      <c r="A276" s="3" t="s">
        <v>19</v>
      </c>
      <c r="B276" s="3">
        <v>19</v>
      </c>
      <c r="C276" s="8">
        <v>44485</v>
      </c>
      <c r="D276" s="9">
        <v>0.25</v>
      </c>
      <c r="E276" s="4">
        <v>52</v>
      </c>
      <c r="F276" s="3">
        <v>0</v>
      </c>
      <c r="G276" s="3">
        <v>0</v>
      </c>
      <c r="H276" s="3">
        <v>0</v>
      </c>
      <c r="I276" s="3">
        <v>0</v>
      </c>
      <c r="J276" s="9">
        <v>0.26597222222222222</v>
      </c>
      <c r="K276" s="3">
        <v>142.19999999999999</v>
      </c>
      <c r="L276" s="11">
        <f t="shared" ref="L276" si="515">K276-K275</f>
        <v>1.5999999999999943</v>
      </c>
      <c r="M276" s="5">
        <f t="shared" ref="M276" si="516">AB275</f>
        <v>3226</v>
      </c>
      <c r="N276" s="11">
        <v>30.5</v>
      </c>
      <c r="O276" s="11">
        <v>32.75</v>
      </c>
      <c r="P276" s="11">
        <v>10.625</v>
      </c>
      <c r="Q276" s="11">
        <v>10.625</v>
      </c>
      <c r="R276" s="11">
        <v>20</v>
      </c>
      <c r="S276" s="11">
        <v>20</v>
      </c>
      <c r="T276" s="11">
        <v>13</v>
      </c>
      <c r="U276" s="11">
        <v>13</v>
      </c>
      <c r="V276" s="11">
        <v>17</v>
      </c>
      <c r="W276" s="11">
        <v>15</v>
      </c>
      <c r="X276" s="11">
        <v>7</v>
      </c>
      <c r="Y276" s="11">
        <v>7</v>
      </c>
      <c r="Z276" s="3" t="s">
        <v>1410</v>
      </c>
      <c r="AA276" s="10" t="s">
        <v>1429</v>
      </c>
      <c r="AB276" s="5">
        <f>280+450+320+480+100+220+160+140</f>
        <v>2150</v>
      </c>
      <c r="AC276" s="6">
        <f>12+30+26+5+8+5+10+10</f>
        <v>106</v>
      </c>
      <c r="AD276" s="6">
        <f>0+3+3+1+5+2+7+6</f>
        <v>27</v>
      </c>
      <c r="AE276" s="6">
        <f>0+6+12+18+2+6+12+8</f>
        <v>64</v>
      </c>
      <c r="AF276" s="6">
        <f>40+45+16+94+4+38+2+2</f>
        <v>241</v>
      </c>
      <c r="AG276" s="6">
        <f>0+3+6+6+0+4+0+0</f>
        <v>19</v>
      </c>
      <c r="AH276" s="6">
        <f>120+405+270+1200+170+680+380+500</f>
        <v>3725</v>
      </c>
      <c r="AI276" s="6">
        <f t="shared" si="400"/>
        <v>4.930232558139535E-2</v>
      </c>
      <c r="AJ276" s="6">
        <f t="shared" si="401"/>
        <v>1.2558139534883722E-2</v>
      </c>
      <c r="AK276" s="6">
        <f t="shared" si="402"/>
        <v>2.9767441860465118E-2</v>
      </c>
      <c r="AL276" s="6">
        <f t="shared" si="403"/>
        <v>0.11209302325581395</v>
      </c>
      <c r="AM276" s="6">
        <f t="shared" si="404"/>
        <v>8.8372093023255816E-3</v>
      </c>
      <c r="AN276" s="6">
        <f t="shared" si="405"/>
        <v>1.7325581395348837</v>
      </c>
      <c r="AO276" s="7">
        <v>5</v>
      </c>
      <c r="AP276" s="7">
        <v>1</v>
      </c>
      <c r="AQ276" s="7">
        <v>0</v>
      </c>
      <c r="AR276" s="27">
        <v>0</v>
      </c>
      <c r="AS276" s="27">
        <v>0</v>
      </c>
      <c r="AT276" s="27">
        <v>0</v>
      </c>
      <c r="AU276" s="27">
        <v>0</v>
      </c>
      <c r="AV276" s="27">
        <v>0</v>
      </c>
      <c r="AW276" s="7">
        <v>31</v>
      </c>
      <c r="AX276" s="7">
        <v>1</v>
      </c>
      <c r="AY276" s="5">
        <v>6.5</v>
      </c>
      <c r="AZ276" s="7">
        <v>0</v>
      </c>
      <c r="BA276" s="7">
        <v>1</v>
      </c>
      <c r="BB276" s="7">
        <v>0</v>
      </c>
      <c r="BC276" s="7">
        <v>1</v>
      </c>
      <c r="BD276" s="7">
        <v>1</v>
      </c>
      <c r="BE276" s="7">
        <v>0</v>
      </c>
      <c r="BF276" s="7">
        <v>0</v>
      </c>
      <c r="BG276" s="7">
        <v>0</v>
      </c>
      <c r="BH276" s="7">
        <v>0</v>
      </c>
      <c r="BI276" s="7">
        <v>0</v>
      </c>
      <c r="BJ276" s="7">
        <v>0</v>
      </c>
      <c r="BK276" s="11">
        <v>2</v>
      </c>
      <c r="BL276" s="7" t="s">
        <v>1400</v>
      </c>
      <c r="BM276" s="6">
        <v>1</v>
      </c>
    </row>
    <row r="277" spans="1:65" ht="19.95" customHeight="1" x14ac:dyDescent="0.3">
      <c r="A277" s="3" t="s">
        <v>23</v>
      </c>
      <c r="B277" s="3">
        <v>20</v>
      </c>
      <c r="C277" s="8">
        <v>44486</v>
      </c>
      <c r="D277" s="9">
        <v>0.25</v>
      </c>
      <c r="E277" s="4">
        <v>50</v>
      </c>
      <c r="F277" s="3">
        <v>0</v>
      </c>
      <c r="G277" s="3">
        <v>0</v>
      </c>
      <c r="H277" s="3">
        <v>0</v>
      </c>
      <c r="I277" s="3">
        <v>0</v>
      </c>
      <c r="J277" s="9">
        <v>0.2986111111111111</v>
      </c>
      <c r="K277" s="3">
        <v>143.19999999999999</v>
      </c>
      <c r="L277" s="11">
        <f t="shared" ref="L277:L283" si="517">K277-K276</f>
        <v>1</v>
      </c>
      <c r="M277" s="5">
        <f t="shared" ref="M277:M283" si="518">AB276</f>
        <v>2150</v>
      </c>
      <c r="N277" s="11">
        <v>30.5</v>
      </c>
      <c r="O277" s="11">
        <v>32.25</v>
      </c>
      <c r="P277" s="11">
        <v>10.625</v>
      </c>
      <c r="Q277" s="11">
        <v>10.75</v>
      </c>
      <c r="R277" s="11">
        <v>20.25</v>
      </c>
      <c r="S277" s="11">
        <v>20.25</v>
      </c>
      <c r="T277" s="11">
        <v>15</v>
      </c>
      <c r="U277" s="11">
        <v>13</v>
      </c>
      <c r="V277" s="11">
        <v>15</v>
      </c>
      <c r="W277" s="11">
        <v>15</v>
      </c>
      <c r="X277" s="11">
        <v>7</v>
      </c>
      <c r="Y277" s="11">
        <v>7</v>
      </c>
      <c r="Z277" s="3" t="s">
        <v>1411</v>
      </c>
      <c r="AA277" s="10" t="s">
        <v>1430</v>
      </c>
      <c r="AB277" s="5">
        <f>525+480+255+70+725+0+0</f>
        <v>2055</v>
      </c>
      <c r="AC277" s="6">
        <f>22.5+5+25.5+5+15+0+0</f>
        <v>73</v>
      </c>
      <c r="AD277" s="6">
        <f>0+1+16+3+3+0+0</f>
        <v>23</v>
      </c>
      <c r="AE277" s="6">
        <f>0+18+6+4+28+0+0</f>
        <v>56</v>
      </c>
      <c r="AF277" s="6">
        <f>75+94+2+1+116+0+0</f>
        <v>288</v>
      </c>
      <c r="AG277" s="6">
        <f>0+6+0+0+9+0+0</f>
        <v>15</v>
      </c>
      <c r="AH277" s="6">
        <f>225+1200+215+250+2278+55+260</f>
        <v>4483</v>
      </c>
      <c r="AI277" s="6">
        <f t="shared" si="400"/>
        <v>3.5523114355231145E-2</v>
      </c>
      <c r="AJ277" s="6">
        <f t="shared" si="401"/>
        <v>1.1192214111922141E-2</v>
      </c>
      <c r="AK277" s="6">
        <f t="shared" si="402"/>
        <v>2.7250608272506083E-2</v>
      </c>
      <c r="AL277" s="6">
        <f t="shared" si="403"/>
        <v>0.14014598540145987</v>
      </c>
      <c r="AM277" s="6">
        <f t="shared" si="404"/>
        <v>7.2992700729927005E-3</v>
      </c>
      <c r="AN277" s="6">
        <f t="shared" si="405"/>
        <v>2.1815085158150853</v>
      </c>
      <c r="AO277" s="7">
        <v>6</v>
      </c>
      <c r="AP277" s="7">
        <v>1</v>
      </c>
      <c r="AQ277" s="7">
        <v>0</v>
      </c>
      <c r="AR277" s="27">
        <v>0</v>
      </c>
      <c r="AS277" s="27">
        <v>0</v>
      </c>
      <c r="AT277" s="27">
        <v>0</v>
      </c>
      <c r="AU277" s="27">
        <v>0</v>
      </c>
      <c r="AV277" s="27">
        <v>0</v>
      </c>
      <c r="AW277" s="7">
        <v>31</v>
      </c>
      <c r="AX277" s="7">
        <v>1</v>
      </c>
      <c r="AY277" s="5">
        <v>7</v>
      </c>
      <c r="AZ277" s="7">
        <v>0</v>
      </c>
      <c r="BA277" s="7">
        <v>0</v>
      </c>
      <c r="BB277" s="7">
        <v>0</v>
      </c>
      <c r="BC277" s="7">
        <v>1</v>
      </c>
      <c r="BD277" s="7">
        <v>1</v>
      </c>
      <c r="BE277" s="7">
        <v>0</v>
      </c>
      <c r="BF277" s="7">
        <v>0</v>
      </c>
      <c r="BG277" s="7">
        <v>0</v>
      </c>
      <c r="BH277" s="7">
        <v>0</v>
      </c>
      <c r="BI277" s="7">
        <v>0</v>
      </c>
      <c r="BJ277" s="7">
        <v>1</v>
      </c>
      <c r="BK277" s="11">
        <v>1</v>
      </c>
      <c r="BL277" s="7" t="s">
        <v>1048</v>
      </c>
      <c r="BM277" s="6">
        <v>1</v>
      </c>
    </row>
    <row r="278" spans="1:65" ht="19.95" customHeight="1" x14ac:dyDescent="0.3">
      <c r="A278" s="3" t="s">
        <v>15</v>
      </c>
      <c r="B278" s="3">
        <v>21</v>
      </c>
      <c r="C278" s="8">
        <v>44487</v>
      </c>
      <c r="D278" s="9">
        <v>0.25</v>
      </c>
      <c r="E278" s="4">
        <v>58</v>
      </c>
      <c r="F278" s="3">
        <v>0</v>
      </c>
      <c r="G278" s="3">
        <v>0</v>
      </c>
      <c r="H278" s="3">
        <v>0</v>
      </c>
      <c r="I278" s="3">
        <v>0</v>
      </c>
      <c r="J278" s="9">
        <v>0.37847222222222227</v>
      </c>
      <c r="K278" s="3">
        <v>143</v>
      </c>
      <c r="L278" s="11">
        <f t="shared" si="517"/>
        <v>-0.19999999999998863</v>
      </c>
      <c r="M278" s="5">
        <f t="shared" si="518"/>
        <v>2055</v>
      </c>
      <c r="N278" s="11">
        <v>30.625</v>
      </c>
      <c r="O278" s="11">
        <v>32.375</v>
      </c>
      <c r="P278" s="11">
        <v>10.625</v>
      </c>
      <c r="Q278" s="11">
        <v>10.625</v>
      </c>
      <c r="R278" s="11">
        <v>19.75</v>
      </c>
      <c r="S278" s="11">
        <v>20.25</v>
      </c>
      <c r="T278" s="11">
        <v>15</v>
      </c>
      <c r="U278" s="11">
        <v>15</v>
      </c>
      <c r="V278" s="11">
        <v>16</v>
      </c>
      <c r="W278" s="11">
        <v>14</v>
      </c>
      <c r="X278" s="11">
        <v>7</v>
      </c>
      <c r="Y278" s="11">
        <v>7</v>
      </c>
      <c r="Z278" s="3" t="s">
        <v>1412</v>
      </c>
      <c r="AA278" s="10" t="s">
        <v>1431</v>
      </c>
      <c r="AB278" s="5">
        <f>850+735+220+140+160+480+153+240+0</f>
        <v>2978</v>
      </c>
      <c r="AC278" s="6">
        <f>35+32+5+10+10+5+15+14+0</f>
        <v>126</v>
      </c>
      <c r="AD278" s="6">
        <f>11+0+2+6+7+1+10+8+0</f>
        <v>45</v>
      </c>
      <c r="AE278" s="6">
        <f>29+0+6+8+12+18+3+19+0</f>
        <v>95</v>
      </c>
      <c r="AF278" s="6">
        <f>104+105+38+2+2+94+1.2+9+0</f>
        <v>355.2</v>
      </c>
      <c r="AG278" s="6">
        <f>7+0+4+0+0+6+0+3+0</f>
        <v>20</v>
      </c>
      <c r="AH278" s="6">
        <f>1560+315+680+500+380+1200+129+370+110</f>
        <v>5244</v>
      </c>
      <c r="AI278" s="6">
        <f t="shared" si="400"/>
        <v>4.2310275352585629E-2</v>
      </c>
      <c r="AJ278" s="6">
        <f t="shared" si="401"/>
        <v>1.5110812625923439E-2</v>
      </c>
      <c r="AK278" s="6">
        <f t="shared" si="402"/>
        <v>3.1900604432505038E-2</v>
      </c>
      <c r="AL278" s="6">
        <f t="shared" si="403"/>
        <v>0.11927468099395568</v>
      </c>
      <c r="AM278" s="6">
        <f t="shared" si="404"/>
        <v>6.7159167226326392E-3</v>
      </c>
      <c r="AN278" s="6">
        <f t="shared" si="405"/>
        <v>1.7609133646742781</v>
      </c>
      <c r="AO278" s="7">
        <v>5</v>
      </c>
      <c r="AP278" s="7">
        <v>3</v>
      </c>
      <c r="AQ278" s="7">
        <v>0</v>
      </c>
      <c r="AR278" s="27">
        <v>0</v>
      </c>
      <c r="AS278" s="27">
        <v>0</v>
      </c>
      <c r="AT278" s="27">
        <v>0</v>
      </c>
      <c r="AU278" s="27">
        <v>0</v>
      </c>
      <c r="AV278" s="27">
        <v>0</v>
      </c>
      <c r="AW278" s="7">
        <v>31</v>
      </c>
      <c r="AX278" s="7">
        <v>0</v>
      </c>
      <c r="AY278" s="5">
        <v>7</v>
      </c>
      <c r="AZ278" s="7">
        <v>0</v>
      </c>
      <c r="BA278" s="7">
        <v>0</v>
      </c>
      <c r="BB278" s="7">
        <v>0</v>
      </c>
      <c r="BC278" s="7">
        <v>1</v>
      </c>
      <c r="BD278" s="7">
        <v>1</v>
      </c>
      <c r="BE278" s="7">
        <v>0</v>
      </c>
      <c r="BF278" s="7">
        <v>0</v>
      </c>
      <c r="BG278" s="7">
        <v>0</v>
      </c>
      <c r="BH278" s="7">
        <v>0</v>
      </c>
      <c r="BI278" s="7">
        <v>1</v>
      </c>
      <c r="BJ278" s="7">
        <v>0</v>
      </c>
      <c r="BK278" s="11">
        <v>3</v>
      </c>
      <c r="BL278" s="7" t="s">
        <v>1413</v>
      </c>
      <c r="BM278" s="6">
        <v>1</v>
      </c>
    </row>
    <row r="279" spans="1:65" ht="19.95" customHeight="1" x14ac:dyDescent="0.3">
      <c r="A279" s="3" t="s">
        <v>16</v>
      </c>
      <c r="B279" s="3">
        <v>22</v>
      </c>
      <c r="C279" s="8">
        <v>44488</v>
      </c>
      <c r="D279" s="9">
        <v>0.25</v>
      </c>
      <c r="E279" s="4">
        <v>46</v>
      </c>
      <c r="F279" s="3">
        <v>0</v>
      </c>
      <c r="G279" s="3">
        <v>0</v>
      </c>
      <c r="H279" s="3">
        <v>0</v>
      </c>
      <c r="I279" s="3">
        <v>0</v>
      </c>
      <c r="J279" s="9">
        <v>0.38819444444444445</v>
      </c>
      <c r="K279" s="3">
        <v>145.19999999999999</v>
      </c>
      <c r="L279" s="11">
        <f t="shared" si="517"/>
        <v>2.1999999999999886</v>
      </c>
      <c r="M279" s="5">
        <f t="shared" si="518"/>
        <v>2978</v>
      </c>
      <c r="N279" s="11">
        <v>31.25</v>
      </c>
      <c r="O279" s="11">
        <v>32.25</v>
      </c>
      <c r="P279" s="11">
        <v>10.75</v>
      </c>
      <c r="Q279" s="11">
        <v>10.75</v>
      </c>
      <c r="R279" s="11">
        <v>20</v>
      </c>
      <c r="S279" s="11">
        <v>20.125</v>
      </c>
      <c r="T279" s="11">
        <v>15</v>
      </c>
      <c r="U279" s="11">
        <v>15</v>
      </c>
      <c r="V279" s="11">
        <v>15</v>
      </c>
      <c r="W279" s="11">
        <v>15</v>
      </c>
      <c r="X279" s="11">
        <v>7</v>
      </c>
      <c r="Y279" s="11">
        <v>7</v>
      </c>
      <c r="Z279" s="3" t="s">
        <v>1414</v>
      </c>
      <c r="AA279" s="10" t="s">
        <v>1432</v>
      </c>
      <c r="AB279" s="12">
        <f>800+350+525+300+260+450+240+100</f>
        <v>3025</v>
      </c>
      <c r="AC279" s="6">
        <f>44+25+23+16+7+28+240+8</f>
        <v>391</v>
      </c>
      <c r="AD279" s="6">
        <f>18+15+0+1+5+5+240+5</f>
        <v>289</v>
      </c>
      <c r="AE279" s="6">
        <f>38+20+0+4+7+5+240+2</f>
        <v>316</v>
      </c>
      <c r="AF279" s="6">
        <f>76+0+75+34+41+42+240+4</f>
        <v>512</v>
      </c>
      <c r="AG279" s="6">
        <f>6+0+0+2+0+2+240+0</f>
        <v>250</v>
      </c>
      <c r="AH279" s="6">
        <f>1840+525+225+340+100+680+240+170</f>
        <v>4120</v>
      </c>
      <c r="AI279" s="6">
        <f t="shared" ref="AI279:AI299" si="519">$AC279/$AB279</f>
        <v>0.12925619834710744</v>
      </c>
      <c r="AJ279" s="6">
        <f t="shared" ref="AJ279:AJ299" si="520">$AD279/$AB279</f>
        <v>9.5537190082644621E-2</v>
      </c>
      <c r="AK279" s="6">
        <f t="shared" ref="AK279:AK299" si="521">$AE279/$AB279</f>
        <v>0.10446280991735538</v>
      </c>
      <c r="AL279" s="6">
        <f t="shared" ref="AL279:AL299" si="522">$AF279/$AB279</f>
        <v>0.16925619834710745</v>
      </c>
      <c r="AM279" s="6">
        <f t="shared" ref="AM279:AM299" si="523">$AG279/$AB279</f>
        <v>8.2644628099173556E-2</v>
      </c>
      <c r="AN279" s="6">
        <f t="shared" ref="AN279:AN299" si="524">$AH279/$AB279</f>
        <v>1.3619834710743801</v>
      </c>
      <c r="AO279" s="7">
        <v>7</v>
      </c>
      <c r="AP279" s="7">
        <v>3</v>
      </c>
      <c r="AQ279" s="7">
        <v>0</v>
      </c>
      <c r="AR279" s="27">
        <v>0</v>
      </c>
      <c r="AS279" s="27">
        <v>0</v>
      </c>
      <c r="AT279" s="27">
        <v>0</v>
      </c>
      <c r="AU279" s="27">
        <v>0</v>
      </c>
      <c r="AV279" s="27">
        <v>0</v>
      </c>
      <c r="AW279" s="7">
        <v>0</v>
      </c>
      <c r="AX279" s="7">
        <v>1</v>
      </c>
      <c r="AY279" s="5">
        <v>6</v>
      </c>
      <c r="AZ279" s="7">
        <v>0</v>
      </c>
      <c r="BA279" s="7">
        <v>1</v>
      </c>
      <c r="BB279" s="7">
        <v>0</v>
      </c>
      <c r="BC279" s="7">
        <v>1</v>
      </c>
      <c r="BD279" s="7">
        <v>1</v>
      </c>
      <c r="BE279" s="7">
        <v>0</v>
      </c>
      <c r="BF279" s="7">
        <v>0</v>
      </c>
      <c r="BG279" s="7">
        <v>0</v>
      </c>
      <c r="BH279" s="7">
        <v>0</v>
      </c>
      <c r="BI279" s="7">
        <v>1</v>
      </c>
      <c r="BJ279" s="7">
        <v>1</v>
      </c>
      <c r="BK279" s="11">
        <v>0</v>
      </c>
      <c r="BL279" s="7">
        <v>0</v>
      </c>
      <c r="BM279" s="6">
        <v>1</v>
      </c>
    </row>
    <row r="280" spans="1:65" ht="19.95" customHeight="1" x14ac:dyDescent="0.3">
      <c r="A280" s="3" t="s">
        <v>17</v>
      </c>
      <c r="B280" s="3">
        <v>23</v>
      </c>
      <c r="C280" s="8">
        <v>44489</v>
      </c>
      <c r="D280" s="9">
        <v>0.33333333333333331</v>
      </c>
      <c r="E280" s="4">
        <v>55</v>
      </c>
      <c r="F280" s="3">
        <v>0</v>
      </c>
      <c r="G280" s="3">
        <v>0</v>
      </c>
      <c r="H280" s="3">
        <v>0</v>
      </c>
      <c r="I280" s="3">
        <v>0</v>
      </c>
      <c r="J280" s="9">
        <v>0.94652777777777775</v>
      </c>
      <c r="K280" s="3">
        <v>140.19999999999999</v>
      </c>
      <c r="L280" s="11">
        <f t="shared" si="517"/>
        <v>-5</v>
      </c>
      <c r="M280" s="5">
        <f t="shared" si="518"/>
        <v>3025</v>
      </c>
      <c r="N280" s="11">
        <v>30</v>
      </c>
      <c r="O280" s="11">
        <v>31.875</v>
      </c>
      <c r="P280" s="11">
        <v>10.625</v>
      </c>
      <c r="Q280" s="11">
        <v>10.875</v>
      </c>
      <c r="R280" s="11">
        <v>19.75</v>
      </c>
      <c r="S280" s="11">
        <v>20</v>
      </c>
      <c r="T280" s="11">
        <v>15</v>
      </c>
      <c r="U280" s="11">
        <v>13</v>
      </c>
      <c r="V280" s="11">
        <v>16</v>
      </c>
      <c r="W280" s="11">
        <v>14</v>
      </c>
      <c r="X280" s="11">
        <v>7</v>
      </c>
      <c r="Y280" s="11">
        <v>7</v>
      </c>
      <c r="Z280" s="3" t="s">
        <v>1417</v>
      </c>
      <c r="AA280" s="10" t="s">
        <v>1434</v>
      </c>
      <c r="AB280" s="5">
        <f>780+450+455+207+280</f>
        <v>2172</v>
      </c>
      <c r="AC280" s="6">
        <f>21+28+13+18+24</f>
        <v>104</v>
      </c>
      <c r="AD280" s="6">
        <f>14+5+2+3+14</f>
        <v>38</v>
      </c>
      <c r="AE280" s="6">
        <f>21+5+7+10+20</f>
        <v>63</v>
      </c>
      <c r="AF280" s="6">
        <f>123+42+81+6+0</f>
        <v>252</v>
      </c>
      <c r="AG280" s="6">
        <f>0+2+7+3+0</f>
        <v>12</v>
      </c>
      <c r="AH280" s="6">
        <f>300+680+805+7+460</f>
        <v>2252</v>
      </c>
      <c r="AI280" s="6">
        <f t="shared" si="519"/>
        <v>4.7882136279926338E-2</v>
      </c>
      <c r="AJ280" s="6">
        <f t="shared" si="520"/>
        <v>1.7495395948434623E-2</v>
      </c>
      <c r="AK280" s="6">
        <f t="shared" si="521"/>
        <v>2.9005524861878452E-2</v>
      </c>
      <c r="AL280" s="6">
        <f t="shared" si="522"/>
        <v>0.11602209944751381</v>
      </c>
      <c r="AM280" s="6">
        <f t="shared" si="523"/>
        <v>5.5248618784530384E-3</v>
      </c>
      <c r="AN280" s="6">
        <f t="shared" si="524"/>
        <v>1.0368324125230202</v>
      </c>
      <c r="AO280" s="7">
        <v>5</v>
      </c>
      <c r="AP280" s="7">
        <v>0</v>
      </c>
      <c r="AQ280" s="7">
        <v>0</v>
      </c>
      <c r="AR280" s="27">
        <v>0</v>
      </c>
      <c r="AS280" s="27">
        <v>0</v>
      </c>
      <c r="AT280" s="27">
        <v>0</v>
      </c>
      <c r="AU280" s="27">
        <v>0</v>
      </c>
      <c r="AV280" s="27">
        <v>0</v>
      </c>
      <c r="AW280" s="7">
        <v>31</v>
      </c>
      <c r="AX280" s="7">
        <v>1</v>
      </c>
      <c r="AY280" s="5">
        <v>2.5</v>
      </c>
      <c r="AZ280" s="7">
        <v>0</v>
      </c>
      <c r="BA280" s="7">
        <v>0</v>
      </c>
      <c r="BB280" s="7">
        <v>0</v>
      </c>
      <c r="BC280" s="7">
        <v>1</v>
      </c>
      <c r="BD280" s="7">
        <v>1</v>
      </c>
      <c r="BE280" s="7">
        <v>0</v>
      </c>
      <c r="BF280" s="7">
        <v>0</v>
      </c>
      <c r="BG280" s="7">
        <v>0</v>
      </c>
      <c r="BH280" s="7">
        <v>0</v>
      </c>
      <c r="BI280" s="7">
        <v>0</v>
      </c>
      <c r="BJ280" s="7">
        <v>1</v>
      </c>
      <c r="BK280" s="11">
        <v>1</v>
      </c>
      <c r="BL280" s="7" t="s">
        <v>1048</v>
      </c>
      <c r="BM280" s="6">
        <v>2</v>
      </c>
    </row>
    <row r="281" spans="1:65" ht="19.95" customHeight="1" x14ac:dyDescent="0.3">
      <c r="A281" s="3" t="s">
        <v>18</v>
      </c>
      <c r="B281" s="3">
        <v>0</v>
      </c>
      <c r="C281" s="8">
        <v>44490</v>
      </c>
      <c r="D281" s="9">
        <v>0.16666666666666666</v>
      </c>
      <c r="E281" s="4">
        <v>49</v>
      </c>
      <c r="F281" s="3">
        <v>0</v>
      </c>
      <c r="G281" s="3">
        <v>0</v>
      </c>
      <c r="H281" s="3">
        <v>0</v>
      </c>
      <c r="I281" s="3">
        <v>0</v>
      </c>
      <c r="J281" s="29"/>
      <c r="K281" s="29"/>
      <c r="L281" s="30"/>
      <c r="M281" s="31"/>
      <c r="N281" s="30"/>
      <c r="O281" s="30"/>
      <c r="P281" s="30"/>
      <c r="Q281" s="30"/>
      <c r="R281" s="30"/>
      <c r="S281" s="30"/>
      <c r="T281" s="30"/>
      <c r="U281" s="30"/>
      <c r="V281" s="30"/>
      <c r="W281" s="30"/>
      <c r="X281" s="30"/>
      <c r="Y281" s="30"/>
      <c r="Z281" s="3" t="s">
        <v>1415</v>
      </c>
      <c r="AA281" s="10" t="s">
        <v>1435</v>
      </c>
      <c r="AB281" s="5">
        <f>800+445+350+240+153+150+525+375</f>
        <v>3038</v>
      </c>
      <c r="AC281" s="6">
        <f>32+21+30+2+15+9+23+15</f>
        <v>147</v>
      </c>
      <c r="AD281" s="6">
        <f>12+10+18+1+10+5+0+3</f>
        <v>59</v>
      </c>
      <c r="AE281" s="6">
        <f>20+17+25+8+3+3+0+5</f>
        <v>81</v>
      </c>
      <c r="AF281" s="6">
        <f>104+48+0+46+1+17+75+50</f>
        <v>341</v>
      </c>
      <c r="AG281" s="6">
        <f>4+3+0+2+0+1+0+3</f>
        <v>13</v>
      </c>
      <c r="AH281" s="6">
        <f>1040+1070+575+630+129+50+225+900</f>
        <v>4619</v>
      </c>
      <c r="AI281" s="6">
        <f t="shared" si="519"/>
        <v>4.8387096774193547E-2</v>
      </c>
      <c r="AJ281" s="6">
        <f t="shared" si="520"/>
        <v>1.9420671494404212E-2</v>
      </c>
      <c r="AK281" s="6">
        <f t="shared" si="521"/>
        <v>2.6662277814351546E-2</v>
      </c>
      <c r="AL281" s="6">
        <f t="shared" si="522"/>
        <v>0.11224489795918367</v>
      </c>
      <c r="AM281" s="6">
        <f t="shared" si="523"/>
        <v>4.279131007241606E-3</v>
      </c>
      <c r="AN281" s="6">
        <f t="shared" si="524"/>
        <v>1.5204081632653061</v>
      </c>
      <c r="AO281" s="7">
        <v>4</v>
      </c>
      <c r="AP281" s="7">
        <v>1</v>
      </c>
      <c r="AQ281" s="7">
        <v>1</v>
      </c>
      <c r="AR281" s="27">
        <v>0</v>
      </c>
      <c r="AS281" s="27">
        <v>0</v>
      </c>
      <c r="AT281" s="27">
        <v>0</v>
      </c>
      <c r="AU281" s="27">
        <v>0</v>
      </c>
      <c r="AV281" s="27">
        <v>0</v>
      </c>
      <c r="AW281" s="7">
        <v>0</v>
      </c>
      <c r="AX281" s="7">
        <v>0</v>
      </c>
      <c r="AY281" s="5">
        <v>5</v>
      </c>
      <c r="AZ281" s="7">
        <v>0</v>
      </c>
      <c r="BA281" s="7">
        <v>0</v>
      </c>
      <c r="BB281" s="7">
        <v>0</v>
      </c>
      <c r="BC281" s="7">
        <v>1</v>
      </c>
      <c r="BD281" s="7">
        <v>1</v>
      </c>
      <c r="BE281" s="7">
        <v>0</v>
      </c>
      <c r="BF281" s="7">
        <v>2</v>
      </c>
      <c r="BG281" s="7">
        <v>40</v>
      </c>
      <c r="BH281" s="7">
        <v>0</v>
      </c>
      <c r="BI281" s="7">
        <v>0</v>
      </c>
      <c r="BJ281" s="7">
        <v>1</v>
      </c>
      <c r="BK281" s="11">
        <v>3</v>
      </c>
      <c r="BL281" s="7" t="s">
        <v>1416</v>
      </c>
      <c r="BM281" s="6">
        <v>1</v>
      </c>
    </row>
    <row r="282" spans="1:65" s="20" customFormat="1" ht="40.049999999999997" customHeight="1" x14ac:dyDescent="0.3">
      <c r="A282" s="20" t="s">
        <v>137</v>
      </c>
      <c r="B282" s="20">
        <v>1</v>
      </c>
      <c r="C282" s="21">
        <v>44491</v>
      </c>
      <c r="D282" s="22">
        <v>0.20833333333333334</v>
      </c>
      <c r="E282" s="23">
        <v>51</v>
      </c>
      <c r="F282" s="20">
        <v>0</v>
      </c>
      <c r="G282" s="20">
        <v>0</v>
      </c>
      <c r="H282" s="20">
        <v>0</v>
      </c>
      <c r="I282" s="20">
        <v>0</v>
      </c>
      <c r="J282" s="22">
        <v>0.49374999999999997</v>
      </c>
      <c r="K282" s="20">
        <v>143.19999999999999</v>
      </c>
      <c r="L282" s="11">
        <f t="shared" si="517"/>
        <v>143.19999999999999</v>
      </c>
      <c r="M282" s="5">
        <f t="shared" si="518"/>
        <v>3038</v>
      </c>
      <c r="N282" s="24">
        <v>30.875</v>
      </c>
      <c r="O282" s="24">
        <v>31.875</v>
      </c>
      <c r="P282" s="24">
        <v>10.75</v>
      </c>
      <c r="Q282" s="24">
        <v>10.625</v>
      </c>
      <c r="R282" s="24">
        <v>19.75</v>
      </c>
      <c r="S282" s="24">
        <v>20.375</v>
      </c>
      <c r="T282" s="32"/>
      <c r="U282" s="32"/>
      <c r="V282" s="32"/>
      <c r="W282" s="32"/>
      <c r="X282" s="32"/>
      <c r="Y282" s="32"/>
      <c r="Z282" s="20" t="s">
        <v>1438</v>
      </c>
      <c r="AA282" s="25" t="s">
        <v>1437</v>
      </c>
      <c r="AB282" s="6">
        <f>525+445+210+240+100+375+75+140+65+140</f>
        <v>2315</v>
      </c>
      <c r="AC282" s="6">
        <f>23+21+9+2+8+15+5+12+3+12</f>
        <v>110</v>
      </c>
      <c r="AD282" s="6">
        <f>0+10+0+1+5+3+3+7+0+7</f>
        <v>36</v>
      </c>
      <c r="AE282" s="6">
        <f>0+17+0+8+2+5+2+10+1+10</f>
        <v>55</v>
      </c>
      <c r="AF282" s="6">
        <f>75+48+30+46+4+50+9+0+11+0</f>
        <v>273</v>
      </c>
      <c r="AG282" s="6">
        <f>0+3+0+2+0+3+1+0+1+0</f>
        <v>10</v>
      </c>
      <c r="AH282" s="6">
        <f>225+1070+90+630+170+900+25+230+110+230</f>
        <v>3680</v>
      </c>
      <c r="AI282" s="6">
        <f t="shared" si="519"/>
        <v>4.7516198704103674E-2</v>
      </c>
      <c r="AJ282" s="6">
        <f t="shared" si="520"/>
        <v>1.5550755939524838E-2</v>
      </c>
      <c r="AK282" s="6">
        <f t="shared" si="521"/>
        <v>2.3758099352051837E-2</v>
      </c>
      <c r="AL282" s="6">
        <f t="shared" si="522"/>
        <v>0.11792656587473002</v>
      </c>
      <c r="AM282" s="6">
        <f t="shared" si="523"/>
        <v>4.3196544276457886E-3</v>
      </c>
      <c r="AN282" s="6">
        <f t="shared" si="524"/>
        <v>1.5896328293736501</v>
      </c>
      <c r="AO282" s="7">
        <v>5</v>
      </c>
      <c r="AP282" s="7">
        <v>3</v>
      </c>
      <c r="AQ282" s="7">
        <v>1</v>
      </c>
      <c r="AR282" s="27">
        <v>0</v>
      </c>
      <c r="AS282" s="27">
        <v>0</v>
      </c>
      <c r="AT282" s="27">
        <v>0</v>
      </c>
      <c r="AU282" s="27">
        <v>0</v>
      </c>
      <c r="AV282" s="27">
        <v>0</v>
      </c>
      <c r="AW282" s="7">
        <v>0</v>
      </c>
      <c r="AX282" s="7">
        <v>1</v>
      </c>
      <c r="AY282" s="6">
        <v>5</v>
      </c>
      <c r="AZ282" s="7">
        <v>0</v>
      </c>
      <c r="BA282" s="7">
        <v>0</v>
      </c>
      <c r="BB282" s="7">
        <v>0</v>
      </c>
      <c r="BC282" s="7">
        <v>1</v>
      </c>
      <c r="BD282" s="7">
        <v>1</v>
      </c>
      <c r="BE282" s="7">
        <v>0</v>
      </c>
      <c r="BF282" s="7">
        <v>0</v>
      </c>
      <c r="BG282" s="7">
        <v>0</v>
      </c>
      <c r="BH282" s="7">
        <v>0</v>
      </c>
      <c r="BI282" s="7">
        <v>0</v>
      </c>
      <c r="BJ282" s="7">
        <v>1</v>
      </c>
      <c r="BK282" s="24">
        <v>1</v>
      </c>
      <c r="BL282" s="7" t="s">
        <v>1436</v>
      </c>
      <c r="BM282" s="6">
        <v>1</v>
      </c>
    </row>
    <row r="283" spans="1:65" s="20" customFormat="1" ht="30" customHeight="1" x14ac:dyDescent="0.3">
      <c r="A283" s="20" t="s">
        <v>19</v>
      </c>
      <c r="B283" s="20">
        <v>2</v>
      </c>
      <c r="C283" s="21">
        <v>44492</v>
      </c>
      <c r="D283" s="22">
        <v>0.22916666666666666</v>
      </c>
      <c r="E283" s="23">
        <v>58</v>
      </c>
      <c r="F283" s="20">
        <v>0</v>
      </c>
      <c r="G283" s="20">
        <v>0</v>
      </c>
      <c r="H283" s="20">
        <v>0</v>
      </c>
      <c r="I283" s="20">
        <v>0</v>
      </c>
      <c r="J283" s="22">
        <v>0.2722222222222222</v>
      </c>
      <c r="K283" s="20">
        <v>143.4</v>
      </c>
      <c r="L283" s="11">
        <f t="shared" si="517"/>
        <v>0.20000000000001705</v>
      </c>
      <c r="M283" s="5">
        <f t="shared" si="518"/>
        <v>2315</v>
      </c>
      <c r="N283" s="24">
        <v>30.5</v>
      </c>
      <c r="O283" s="24">
        <v>32.125</v>
      </c>
      <c r="P283" s="24">
        <v>10.625</v>
      </c>
      <c r="Q283" s="24">
        <v>10.75</v>
      </c>
      <c r="R283" s="24">
        <v>20</v>
      </c>
      <c r="S283" s="24">
        <v>20.125</v>
      </c>
      <c r="T283" s="32"/>
      <c r="U283" s="32"/>
      <c r="V283" s="32"/>
      <c r="W283" s="32"/>
      <c r="X283" s="32"/>
      <c r="Y283" s="32"/>
      <c r="Z283" s="20" t="s">
        <v>1439</v>
      </c>
      <c r="AA283" s="25" t="s">
        <v>1463</v>
      </c>
      <c r="AB283" s="6">
        <f>440+280+240+100+480+400+525</f>
        <v>2465</v>
      </c>
      <c r="AC283" s="6">
        <f>10+24+3+10+29+3+23</f>
        <v>102</v>
      </c>
      <c r="AD283" s="6">
        <f>4+14+1+6+16+0+0</f>
        <v>41</v>
      </c>
      <c r="AE283" s="6">
        <f>12+20+9+2+10+13+0</f>
        <v>66</v>
      </c>
      <c r="AF283" s="6">
        <f>76+0+47+2+54+83+75</f>
        <v>337</v>
      </c>
      <c r="AG283" s="6">
        <f>8+0+3+0+3+3+0</f>
        <v>17</v>
      </c>
      <c r="AH283" s="6">
        <f>1360+460+600+105+160+933+225</f>
        <v>3843</v>
      </c>
      <c r="AI283" s="6">
        <f t="shared" si="519"/>
        <v>4.1379310344827586E-2</v>
      </c>
      <c r="AJ283" s="6">
        <f t="shared" si="520"/>
        <v>1.6632860040567951E-2</v>
      </c>
      <c r="AK283" s="6">
        <f t="shared" si="521"/>
        <v>2.6774847870182555E-2</v>
      </c>
      <c r="AL283" s="6">
        <f t="shared" si="522"/>
        <v>0.13671399594320488</v>
      </c>
      <c r="AM283" s="6">
        <f t="shared" si="523"/>
        <v>6.8965517241379309E-3</v>
      </c>
      <c r="AN283" s="6">
        <f t="shared" si="524"/>
        <v>1.559026369168357</v>
      </c>
      <c r="AO283" s="7">
        <v>5</v>
      </c>
      <c r="AP283" s="7">
        <v>0</v>
      </c>
      <c r="AQ283" s="7">
        <v>1</v>
      </c>
      <c r="AR283" s="28">
        <v>0</v>
      </c>
      <c r="AS283" s="28">
        <v>0</v>
      </c>
      <c r="AT283" s="28">
        <v>0</v>
      </c>
      <c r="AU283" s="27">
        <v>0</v>
      </c>
      <c r="AV283" s="28">
        <v>0</v>
      </c>
      <c r="AW283" s="20">
        <v>1</v>
      </c>
      <c r="AX283" s="20">
        <v>1</v>
      </c>
      <c r="AY283" s="6">
        <v>5</v>
      </c>
      <c r="AZ283" s="20">
        <v>0</v>
      </c>
      <c r="BA283" s="20">
        <v>0</v>
      </c>
      <c r="BB283" s="20">
        <v>0</v>
      </c>
      <c r="BC283" s="20">
        <v>1</v>
      </c>
      <c r="BD283" s="20">
        <v>1</v>
      </c>
      <c r="BE283" s="20">
        <v>0</v>
      </c>
      <c r="BF283" s="20">
        <v>0</v>
      </c>
      <c r="BG283" s="20">
        <v>0</v>
      </c>
      <c r="BH283" s="20">
        <v>0</v>
      </c>
      <c r="BI283" s="20">
        <v>0</v>
      </c>
      <c r="BJ283" s="20">
        <v>0</v>
      </c>
      <c r="BK283" s="24">
        <v>1</v>
      </c>
      <c r="BL283" s="20" t="s">
        <v>1436</v>
      </c>
      <c r="BM283" s="24">
        <v>1.6666666666666667</v>
      </c>
    </row>
    <row r="284" spans="1:65" s="20" customFormat="1" ht="30" customHeight="1" x14ac:dyDescent="0.3">
      <c r="A284" s="20" t="s">
        <v>23</v>
      </c>
      <c r="B284" s="20">
        <v>3</v>
      </c>
      <c r="C284" s="21">
        <v>44493</v>
      </c>
      <c r="D284" s="22">
        <v>0.25</v>
      </c>
      <c r="E284" s="23">
        <v>56</v>
      </c>
      <c r="F284" s="20">
        <v>0</v>
      </c>
      <c r="G284" s="20">
        <v>0</v>
      </c>
      <c r="H284" s="20">
        <v>0</v>
      </c>
      <c r="I284" s="20">
        <v>0</v>
      </c>
      <c r="J284" s="22">
        <v>0.33680555555555558</v>
      </c>
      <c r="K284" s="20">
        <v>142</v>
      </c>
      <c r="L284" s="11">
        <f t="shared" ref="L284" si="525">K284-K283</f>
        <v>-1.4000000000000057</v>
      </c>
      <c r="M284" s="5">
        <f t="shared" ref="M284" si="526">AB283</f>
        <v>2465</v>
      </c>
      <c r="N284" s="24">
        <v>30</v>
      </c>
      <c r="O284" s="24">
        <v>32.5</v>
      </c>
      <c r="P284" s="24">
        <v>10.75</v>
      </c>
      <c r="Q284" s="24">
        <v>10.75</v>
      </c>
      <c r="R284" s="24">
        <v>20</v>
      </c>
      <c r="S284" s="24">
        <v>20.25</v>
      </c>
      <c r="T284" s="32"/>
      <c r="U284" s="32"/>
      <c r="V284" s="32"/>
      <c r="W284" s="32"/>
      <c r="X284" s="32"/>
      <c r="Y284" s="32"/>
      <c r="Z284" s="20" t="s">
        <v>1440</v>
      </c>
      <c r="AA284" s="25" t="s">
        <v>1464</v>
      </c>
      <c r="AB284" s="6">
        <f>800+350+440+420+400</f>
        <v>2410</v>
      </c>
      <c r="AC284" s="6">
        <f>5+30+10+18+22</f>
        <v>85</v>
      </c>
      <c r="AD284" s="6">
        <f>0+18+4+0+9</f>
        <v>31</v>
      </c>
      <c r="AE284" s="6">
        <f>27+25+12+0+19</f>
        <v>83</v>
      </c>
      <c r="AF284" s="6">
        <f>165+0+76+60+38</f>
        <v>339</v>
      </c>
      <c r="AG284" s="6">
        <f>5+0+8+0+3</f>
        <v>16</v>
      </c>
      <c r="AH284" s="6">
        <f>1867+575+1360+180+920</f>
        <v>4902</v>
      </c>
      <c r="AI284" s="6">
        <f t="shared" si="519"/>
        <v>3.5269709543568464E-2</v>
      </c>
      <c r="AJ284" s="6">
        <f t="shared" si="520"/>
        <v>1.2863070539419087E-2</v>
      </c>
      <c r="AK284" s="6">
        <f t="shared" si="521"/>
        <v>3.4439834024896268E-2</v>
      </c>
      <c r="AL284" s="6">
        <f t="shared" si="522"/>
        <v>0.14066390041493776</v>
      </c>
      <c r="AM284" s="6">
        <f t="shared" si="523"/>
        <v>6.6390041493775932E-3</v>
      </c>
      <c r="AN284" s="6">
        <f t="shared" si="524"/>
        <v>2.03402489626556</v>
      </c>
      <c r="AO284" s="7">
        <v>5</v>
      </c>
      <c r="AP284" s="7">
        <v>1</v>
      </c>
      <c r="AQ284" s="7">
        <v>1</v>
      </c>
      <c r="AR284" s="28">
        <v>0</v>
      </c>
      <c r="AS284" s="28">
        <v>0</v>
      </c>
      <c r="AT284" s="28">
        <v>0</v>
      </c>
      <c r="AU284" s="27">
        <v>0</v>
      </c>
      <c r="AV284" s="28">
        <v>0</v>
      </c>
      <c r="AW284" s="20">
        <v>31</v>
      </c>
      <c r="AX284" s="20">
        <v>1</v>
      </c>
      <c r="AY284" s="6">
        <v>7.5</v>
      </c>
      <c r="AZ284" s="20">
        <v>0</v>
      </c>
      <c r="BA284" s="20">
        <v>0</v>
      </c>
      <c r="BB284" s="20">
        <v>0</v>
      </c>
      <c r="BC284" s="20">
        <v>1</v>
      </c>
      <c r="BD284" s="20">
        <v>1</v>
      </c>
      <c r="BE284" s="20">
        <v>0</v>
      </c>
      <c r="BF284" s="20">
        <v>0</v>
      </c>
      <c r="BG284" s="20">
        <v>0</v>
      </c>
      <c r="BH284" s="20">
        <v>0</v>
      </c>
      <c r="BI284" s="20">
        <v>0</v>
      </c>
      <c r="BJ284" s="20">
        <v>1</v>
      </c>
      <c r="BK284" s="24">
        <v>2</v>
      </c>
      <c r="BL284" s="20" t="s">
        <v>1129</v>
      </c>
      <c r="BM284" s="24">
        <v>1.6666666666666667</v>
      </c>
    </row>
    <row r="285" spans="1:65" ht="30" customHeight="1" x14ac:dyDescent="0.3">
      <c r="A285" s="20" t="s">
        <v>15</v>
      </c>
      <c r="B285" s="20">
        <v>4</v>
      </c>
      <c r="C285" s="8">
        <v>44494</v>
      </c>
      <c r="D285" s="9">
        <v>0.25</v>
      </c>
      <c r="E285" s="4">
        <v>58</v>
      </c>
      <c r="F285" s="20">
        <v>0</v>
      </c>
      <c r="G285" s="20">
        <v>0</v>
      </c>
      <c r="H285" s="20">
        <v>0</v>
      </c>
      <c r="I285" s="20">
        <v>0</v>
      </c>
      <c r="J285" s="9">
        <v>0.69444444444444453</v>
      </c>
      <c r="K285" s="20">
        <v>142.4</v>
      </c>
      <c r="L285" s="11">
        <f t="shared" ref="L285" si="527">K285-K284</f>
        <v>0.40000000000000568</v>
      </c>
      <c r="M285" s="5">
        <f t="shared" ref="M285:M288" si="528">AB284</f>
        <v>2410</v>
      </c>
      <c r="N285" s="11">
        <v>31</v>
      </c>
      <c r="O285" s="11">
        <v>32</v>
      </c>
      <c r="P285" s="11">
        <v>10.625</v>
      </c>
      <c r="Q285" s="11">
        <v>10.75</v>
      </c>
      <c r="R285" s="11">
        <v>19.75</v>
      </c>
      <c r="S285" s="11">
        <v>20.375</v>
      </c>
      <c r="T285" s="30"/>
      <c r="U285" s="30"/>
      <c r="V285" s="30"/>
      <c r="W285" s="30"/>
      <c r="X285" s="30"/>
      <c r="Y285" s="30"/>
      <c r="Z285" s="20" t="s">
        <v>1441</v>
      </c>
      <c r="AA285" s="10" t="s">
        <v>1465</v>
      </c>
      <c r="AB285" s="5">
        <f>420+150+240+400+140+480</f>
        <v>1830</v>
      </c>
      <c r="AC285" s="6">
        <f>18+15+2+22+12+29</f>
        <v>98</v>
      </c>
      <c r="AD285" s="6">
        <f>0+9+1+9+7+16</f>
        <v>42</v>
      </c>
      <c r="AE285" s="6">
        <f>0+3+8+19+10+10</f>
        <v>50</v>
      </c>
      <c r="AF285" s="6">
        <f>60+3+46+38+0+54</f>
        <v>201</v>
      </c>
      <c r="AG285" s="6">
        <f>0+0+2+3+0+3</f>
        <v>8</v>
      </c>
      <c r="AH285" s="6">
        <f>180+158+630+920+230+160</f>
        <v>2278</v>
      </c>
      <c r="AI285" s="6">
        <f t="shared" si="519"/>
        <v>5.3551912568306013E-2</v>
      </c>
      <c r="AJ285" s="6">
        <f t="shared" si="520"/>
        <v>2.2950819672131147E-2</v>
      </c>
      <c r="AK285" s="6">
        <f t="shared" si="521"/>
        <v>2.7322404371584699E-2</v>
      </c>
      <c r="AL285" s="6">
        <f t="shared" si="522"/>
        <v>0.10983606557377049</v>
      </c>
      <c r="AM285" s="6">
        <f t="shared" si="523"/>
        <v>4.3715846994535519E-3</v>
      </c>
      <c r="AN285" s="6">
        <f t="shared" si="524"/>
        <v>1.2448087431693988</v>
      </c>
      <c r="AO285" s="7">
        <v>5</v>
      </c>
      <c r="AP285" s="7">
        <v>3</v>
      </c>
      <c r="AQ285" s="7">
        <v>1</v>
      </c>
      <c r="AR285" s="27">
        <v>0</v>
      </c>
      <c r="AS285" s="27">
        <v>0</v>
      </c>
      <c r="AT285" s="27">
        <v>0</v>
      </c>
      <c r="AU285" s="27">
        <v>0</v>
      </c>
      <c r="AV285" s="27">
        <v>0</v>
      </c>
      <c r="AW285" s="7">
        <v>0</v>
      </c>
      <c r="AX285" s="7">
        <v>1</v>
      </c>
      <c r="AY285" s="5">
        <v>6</v>
      </c>
      <c r="AZ285" s="7">
        <v>0</v>
      </c>
      <c r="BA285" s="7">
        <v>0</v>
      </c>
      <c r="BB285" s="7">
        <v>0</v>
      </c>
      <c r="BC285" s="7">
        <v>1</v>
      </c>
      <c r="BD285" s="7">
        <v>1</v>
      </c>
      <c r="BE285" s="7">
        <v>0</v>
      </c>
      <c r="BF285" s="7">
        <v>0</v>
      </c>
      <c r="BG285" s="7">
        <v>0</v>
      </c>
      <c r="BH285" s="7">
        <v>0</v>
      </c>
      <c r="BI285" s="20">
        <v>0</v>
      </c>
      <c r="BJ285" s="7">
        <v>1</v>
      </c>
      <c r="BK285" s="11">
        <v>2</v>
      </c>
      <c r="BL285" s="7" t="s">
        <v>1129</v>
      </c>
      <c r="BM285" s="11">
        <v>1</v>
      </c>
    </row>
    <row r="286" spans="1:65" ht="30" customHeight="1" x14ac:dyDescent="0.3">
      <c r="A286" s="20" t="s">
        <v>16</v>
      </c>
      <c r="B286" s="20">
        <v>5</v>
      </c>
      <c r="C286" s="8">
        <v>44495</v>
      </c>
      <c r="D286" s="9">
        <v>0.25</v>
      </c>
      <c r="E286" s="4">
        <v>48</v>
      </c>
      <c r="F286" s="20">
        <v>0</v>
      </c>
      <c r="G286" s="20">
        <v>0</v>
      </c>
      <c r="H286" s="20">
        <v>0</v>
      </c>
      <c r="I286" s="20">
        <v>0</v>
      </c>
      <c r="J286" s="9">
        <v>0.54861111111111105</v>
      </c>
      <c r="K286" s="20">
        <v>143.4</v>
      </c>
      <c r="L286" s="11">
        <f t="shared" ref="L286:L288" si="529">K286-K285</f>
        <v>1</v>
      </c>
      <c r="M286" s="5">
        <f t="shared" si="528"/>
        <v>1830</v>
      </c>
      <c r="N286" s="11">
        <v>31.375</v>
      </c>
      <c r="O286" s="11">
        <v>32.75</v>
      </c>
      <c r="P286" s="11">
        <v>10.75</v>
      </c>
      <c r="Q286" s="11">
        <v>10.75</v>
      </c>
      <c r="R286" s="11">
        <v>19.75</v>
      </c>
      <c r="S286" s="11">
        <v>20.125</v>
      </c>
      <c r="T286" s="30"/>
      <c r="U286" s="30"/>
      <c r="V286" s="30"/>
      <c r="W286" s="30"/>
      <c r="X286" s="30"/>
      <c r="Y286" s="30"/>
      <c r="Z286" s="20" t="s">
        <v>1453</v>
      </c>
      <c r="AA286" s="10" t="s">
        <v>1466</v>
      </c>
      <c r="AB286" s="5">
        <f>640+450+240+150+270+120</f>
        <v>1870</v>
      </c>
      <c r="AC286" s="6">
        <f>52+18+2+15+2+8</f>
        <v>97</v>
      </c>
      <c r="AD286" s="6">
        <f>6+3+1+9+1+5</f>
        <v>25</v>
      </c>
      <c r="AE286" s="6">
        <f>24+6+8+3+9+10</f>
        <v>60</v>
      </c>
      <c r="AF286" s="6">
        <f>32+60+46+3+53+2</f>
        <v>196</v>
      </c>
      <c r="AG286" s="6">
        <f>12+3+2+0+2+0</f>
        <v>19</v>
      </c>
      <c r="AH286" s="6">
        <f>540+1080+630+158+450+280</f>
        <v>3138</v>
      </c>
      <c r="AI286" s="6">
        <f t="shared" si="519"/>
        <v>5.1871657754010696E-2</v>
      </c>
      <c r="AJ286" s="6">
        <f t="shared" si="520"/>
        <v>1.3368983957219251E-2</v>
      </c>
      <c r="AK286" s="6">
        <f t="shared" si="521"/>
        <v>3.2085561497326207E-2</v>
      </c>
      <c r="AL286" s="6">
        <f t="shared" si="522"/>
        <v>0.10481283422459893</v>
      </c>
      <c r="AM286" s="6">
        <f t="shared" si="523"/>
        <v>1.0160427807486631E-2</v>
      </c>
      <c r="AN286" s="6">
        <f t="shared" si="524"/>
        <v>1.6780748663101603</v>
      </c>
      <c r="AO286" s="7">
        <v>6</v>
      </c>
      <c r="AP286" s="7">
        <v>0</v>
      </c>
      <c r="AQ286" s="7">
        <v>1</v>
      </c>
      <c r="AR286" s="28">
        <v>0</v>
      </c>
      <c r="AS286" s="28">
        <v>0</v>
      </c>
      <c r="AT286" s="28">
        <v>0</v>
      </c>
      <c r="AU286" s="27">
        <v>0</v>
      </c>
      <c r="AV286" s="28">
        <v>0</v>
      </c>
      <c r="AW286" s="7">
        <v>0</v>
      </c>
      <c r="AX286" s="7">
        <v>0</v>
      </c>
      <c r="AY286" s="5">
        <v>6.5</v>
      </c>
      <c r="AZ286" s="20">
        <v>0</v>
      </c>
      <c r="BA286" s="7">
        <v>1</v>
      </c>
      <c r="BB286" s="20">
        <v>0</v>
      </c>
      <c r="BC286" s="20">
        <v>1</v>
      </c>
      <c r="BD286" s="20">
        <v>1</v>
      </c>
      <c r="BE286" s="20">
        <v>0</v>
      </c>
      <c r="BF286" s="7">
        <v>0</v>
      </c>
      <c r="BG286" s="7">
        <v>0</v>
      </c>
      <c r="BH286" s="20">
        <v>0</v>
      </c>
      <c r="BI286" s="20">
        <v>0</v>
      </c>
      <c r="BJ286" s="20">
        <v>1</v>
      </c>
      <c r="BK286" s="11">
        <v>0</v>
      </c>
      <c r="BL286" s="3">
        <v>0</v>
      </c>
      <c r="BM286" s="11">
        <v>1</v>
      </c>
    </row>
    <row r="287" spans="1:65" ht="30" customHeight="1" x14ac:dyDescent="0.3">
      <c r="A287" s="20" t="s">
        <v>17</v>
      </c>
      <c r="B287" s="20">
        <v>6</v>
      </c>
      <c r="C287" s="8">
        <v>44496</v>
      </c>
      <c r="D287" s="9">
        <v>0.25</v>
      </c>
      <c r="E287" s="4">
        <v>48</v>
      </c>
      <c r="F287" s="20">
        <v>0</v>
      </c>
      <c r="G287" s="20">
        <v>0</v>
      </c>
      <c r="H287" s="20">
        <v>0</v>
      </c>
      <c r="I287" s="20">
        <v>0</v>
      </c>
      <c r="J287" s="29"/>
      <c r="K287" s="33"/>
      <c r="L287" s="30"/>
      <c r="M287" s="31"/>
      <c r="N287" s="30"/>
      <c r="O287" s="30"/>
      <c r="P287" s="30"/>
      <c r="Q287" s="30"/>
      <c r="R287" s="30"/>
      <c r="S287" s="30"/>
      <c r="T287" s="30"/>
      <c r="U287" s="30"/>
      <c r="V287" s="30"/>
      <c r="W287" s="30"/>
      <c r="X287" s="30"/>
      <c r="Y287" s="30"/>
      <c r="Z287" s="20" t="s">
        <v>1452</v>
      </c>
      <c r="AA287" s="10" t="s">
        <v>1467</v>
      </c>
      <c r="AB287" s="5">
        <f>375+810+300</f>
        <v>1485</v>
      </c>
      <c r="AC287" s="6">
        <f>15+5+20</f>
        <v>40</v>
      </c>
      <c r="AD287" s="6">
        <f>0+2+13</f>
        <v>15</v>
      </c>
      <c r="AE287" s="6">
        <f>0+27+25</f>
        <v>52</v>
      </c>
      <c r="AF287" s="6">
        <f>60+159+5</f>
        <v>224</v>
      </c>
      <c r="AG287" s="6">
        <f>0+6+0</f>
        <v>6</v>
      </c>
      <c r="AH287" s="6">
        <f>300+1350+700</f>
        <v>2350</v>
      </c>
      <c r="AI287" s="6">
        <f t="shared" si="519"/>
        <v>2.6936026936026935E-2</v>
      </c>
      <c r="AJ287" s="6">
        <f t="shared" si="520"/>
        <v>1.0101010101010102E-2</v>
      </c>
      <c r="AK287" s="6">
        <f t="shared" si="521"/>
        <v>3.5016835016835016E-2</v>
      </c>
      <c r="AL287" s="6">
        <f t="shared" si="522"/>
        <v>0.15084175084175083</v>
      </c>
      <c r="AM287" s="6">
        <f t="shared" si="523"/>
        <v>4.0404040404040404E-3</v>
      </c>
      <c r="AN287" s="6">
        <f t="shared" si="524"/>
        <v>1.5824915824915824</v>
      </c>
      <c r="AO287" s="7">
        <v>5</v>
      </c>
      <c r="AP287" s="7">
        <v>1</v>
      </c>
      <c r="AQ287" s="7">
        <v>1</v>
      </c>
      <c r="AR287" s="27">
        <v>0</v>
      </c>
      <c r="AS287" s="27">
        <v>0</v>
      </c>
      <c r="AT287" s="27">
        <v>0</v>
      </c>
      <c r="AU287" s="27">
        <v>0</v>
      </c>
      <c r="AV287" s="27">
        <v>0</v>
      </c>
      <c r="AW287" s="7">
        <v>0</v>
      </c>
      <c r="AX287" s="7">
        <v>1</v>
      </c>
      <c r="AY287" s="5">
        <v>6.5</v>
      </c>
      <c r="AZ287" s="20">
        <v>0</v>
      </c>
      <c r="BA287" s="7">
        <v>0</v>
      </c>
      <c r="BB287" s="7">
        <v>0</v>
      </c>
      <c r="BC287" s="7">
        <v>1</v>
      </c>
      <c r="BD287" s="7">
        <v>1</v>
      </c>
      <c r="BE287" s="7">
        <v>0</v>
      </c>
      <c r="BF287" s="7">
        <v>0</v>
      </c>
      <c r="BG287" s="7">
        <v>0</v>
      </c>
      <c r="BH287" s="7">
        <v>0</v>
      </c>
      <c r="BI287" s="20">
        <v>0</v>
      </c>
      <c r="BJ287" s="7">
        <v>1</v>
      </c>
      <c r="BK287" s="11">
        <v>1</v>
      </c>
      <c r="BL287" s="3" t="s">
        <v>1129</v>
      </c>
      <c r="BM287" s="11">
        <v>1</v>
      </c>
    </row>
    <row r="288" spans="1:65" ht="30" customHeight="1" x14ac:dyDescent="0.3">
      <c r="A288" s="20" t="s">
        <v>18</v>
      </c>
      <c r="B288" s="20">
        <v>7</v>
      </c>
      <c r="C288" s="8">
        <v>44497</v>
      </c>
      <c r="D288" s="9">
        <v>0.25</v>
      </c>
      <c r="E288" s="4">
        <v>56</v>
      </c>
      <c r="F288" s="20">
        <v>0</v>
      </c>
      <c r="G288" s="20">
        <v>0</v>
      </c>
      <c r="H288" s="20">
        <v>0</v>
      </c>
      <c r="I288" s="20">
        <v>0</v>
      </c>
      <c r="J288" s="9">
        <v>0.85555555555555562</v>
      </c>
      <c r="K288" s="20">
        <v>140.80000000000001</v>
      </c>
      <c r="L288" s="11">
        <f t="shared" si="529"/>
        <v>140.80000000000001</v>
      </c>
      <c r="M288" s="5">
        <f t="shared" si="528"/>
        <v>1485</v>
      </c>
      <c r="N288" s="11">
        <v>30.5</v>
      </c>
      <c r="O288" s="11">
        <v>32.24</v>
      </c>
      <c r="P288" s="11">
        <v>10.625</v>
      </c>
      <c r="Q288" s="11">
        <v>10.75</v>
      </c>
      <c r="R288" s="11">
        <v>19.75</v>
      </c>
      <c r="S288" s="11">
        <v>20.125</v>
      </c>
      <c r="T288" s="30"/>
      <c r="U288" s="30"/>
      <c r="V288" s="30"/>
      <c r="W288" s="30"/>
      <c r="X288" s="30"/>
      <c r="Y288" s="30"/>
      <c r="Z288" s="20" t="s">
        <v>1451</v>
      </c>
      <c r="AA288" s="10" t="s">
        <v>1468</v>
      </c>
      <c r="AB288" s="5">
        <f>375+140+160+180+1350+540+240+180</f>
        <v>3165</v>
      </c>
      <c r="AC288" s="6">
        <f>15+6+12+16+84+3+2+12</f>
        <v>150</v>
      </c>
      <c r="AD288" s="6">
        <f>0+0+7+9+14+1+1+8</f>
        <v>40</v>
      </c>
      <c r="AE288" s="6">
        <f>0+0+12+12+15+18+8+15</f>
        <v>80</v>
      </c>
      <c r="AF288" s="6">
        <f>60+20+2+0+126+106+46+3</f>
        <v>363</v>
      </c>
      <c r="AG288" s="6">
        <f>0+0+0+0+6+4+2+0</f>
        <v>12</v>
      </c>
      <c r="AH288" s="6">
        <f>300+60+300+320+2040+900+630+420</f>
        <v>4970</v>
      </c>
      <c r="AI288" s="6">
        <f t="shared" si="519"/>
        <v>4.7393364928909949E-2</v>
      </c>
      <c r="AJ288" s="6">
        <f t="shared" si="520"/>
        <v>1.2638230647709321E-2</v>
      </c>
      <c r="AK288" s="6">
        <f t="shared" si="521"/>
        <v>2.5276461295418641E-2</v>
      </c>
      <c r="AL288" s="6">
        <f t="shared" si="522"/>
        <v>0.11469194312796209</v>
      </c>
      <c r="AM288" s="6">
        <f t="shared" si="523"/>
        <v>3.7914691943127963E-3</v>
      </c>
      <c r="AN288" s="6">
        <f t="shared" si="524"/>
        <v>1.570300157977883</v>
      </c>
      <c r="AO288" s="7">
        <v>6</v>
      </c>
      <c r="AP288" s="7">
        <v>2</v>
      </c>
      <c r="AQ288" s="7">
        <v>0</v>
      </c>
      <c r="AR288" s="28">
        <v>0</v>
      </c>
      <c r="AS288" s="28">
        <v>0</v>
      </c>
      <c r="AT288" s="28">
        <v>0</v>
      </c>
      <c r="AU288" s="27">
        <v>0</v>
      </c>
      <c r="AV288" s="28">
        <v>0</v>
      </c>
      <c r="AW288" s="7">
        <v>1</v>
      </c>
      <c r="AX288" s="7">
        <v>1</v>
      </c>
      <c r="AY288" s="5">
        <v>6</v>
      </c>
      <c r="AZ288" s="7">
        <v>0</v>
      </c>
      <c r="BA288" s="7">
        <v>1</v>
      </c>
      <c r="BB288" s="20">
        <v>0</v>
      </c>
      <c r="BC288" s="20">
        <v>1</v>
      </c>
      <c r="BD288" s="20">
        <v>1</v>
      </c>
      <c r="BE288" s="20">
        <v>0</v>
      </c>
      <c r="BF288" s="7">
        <v>0</v>
      </c>
      <c r="BG288" s="7">
        <v>0</v>
      </c>
      <c r="BH288" s="20">
        <v>0</v>
      </c>
      <c r="BI288" s="20">
        <v>0</v>
      </c>
      <c r="BJ288" s="20">
        <v>1</v>
      </c>
      <c r="BK288" s="11">
        <v>3</v>
      </c>
      <c r="BL288" s="3" t="s">
        <v>1448</v>
      </c>
      <c r="BM288" s="11">
        <v>1</v>
      </c>
    </row>
    <row r="289" spans="1:65" ht="30" customHeight="1" x14ac:dyDescent="0.3">
      <c r="A289" s="20" t="s">
        <v>137</v>
      </c>
      <c r="B289" s="20">
        <v>8</v>
      </c>
      <c r="C289" s="8">
        <v>44498</v>
      </c>
      <c r="D289" s="9">
        <v>0.25</v>
      </c>
      <c r="E289" s="4">
        <v>56</v>
      </c>
      <c r="F289" s="20">
        <v>0</v>
      </c>
      <c r="G289" s="20">
        <v>0</v>
      </c>
      <c r="H289" s="20">
        <v>0</v>
      </c>
      <c r="I289" s="20">
        <v>0</v>
      </c>
      <c r="J289" s="9">
        <v>0.65972222222222221</v>
      </c>
      <c r="K289" s="20">
        <v>139.80000000000001</v>
      </c>
      <c r="L289" s="11">
        <f t="shared" ref="L289" si="530">K289-K288</f>
        <v>-1</v>
      </c>
      <c r="M289" s="5">
        <f t="shared" ref="M289" si="531">AB288</f>
        <v>3165</v>
      </c>
      <c r="N289" s="11">
        <v>30.25</v>
      </c>
      <c r="O289" s="11">
        <v>32</v>
      </c>
      <c r="P289" s="11">
        <v>10.9375</v>
      </c>
      <c r="Q289" s="11">
        <v>10.75</v>
      </c>
      <c r="R289" s="11">
        <v>19.75</v>
      </c>
      <c r="S289" s="11">
        <v>19.75</v>
      </c>
      <c r="T289" s="30"/>
      <c r="U289" s="30"/>
      <c r="V289" s="30"/>
      <c r="W289" s="30"/>
      <c r="X289" s="30"/>
      <c r="Y289" s="30"/>
      <c r="Z289" s="20" t="s">
        <v>1450</v>
      </c>
      <c r="AA289" s="10" t="s">
        <v>1469</v>
      </c>
      <c r="AB289" s="5">
        <f>480+150+160+180+338+360+525</f>
        <v>2193</v>
      </c>
      <c r="AC289" s="6">
        <f>4+15+12+16+21+11+21</f>
        <v>100</v>
      </c>
      <c r="AD289" s="6">
        <f>1+9+7+9+3+2+0</f>
        <v>31</v>
      </c>
      <c r="AE289" s="6">
        <f>16+3+12+12+4+6+0</f>
        <v>53</v>
      </c>
      <c r="AF289" s="6">
        <f>92+3+2+0+32+66+84</f>
        <v>279</v>
      </c>
      <c r="AG289" s="6">
        <f>4+0+0+0+2+3+0</f>
        <v>9</v>
      </c>
      <c r="AH289" s="6">
        <f>1260+158+300+320+510+750+420</f>
        <v>3718</v>
      </c>
      <c r="AI289" s="6">
        <f t="shared" si="519"/>
        <v>4.5599635202918376E-2</v>
      </c>
      <c r="AJ289" s="6">
        <f t="shared" si="520"/>
        <v>1.4135886912904697E-2</v>
      </c>
      <c r="AK289" s="6">
        <f t="shared" si="521"/>
        <v>2.4167806657546739E-2</v>
      </c>
      <c r="AL289" s="6">
        <f t="shared" si="522"/>
        <v>0.12722298221614228</v>
      </c>
      <c r="AM289" s="6">
        <f t="shared" si="523"/>
        <v>4.1039671682626538E-3</v>
      </c>
      <c r="AN289" s="6">
        <f t="shared" si="524"/>
        <v>1.6953944368445053</v>
      </c>
      <c r="AO289" s="7">
        <v>6</v>
      </c>
      <c r="AP289" s="7">
        <v>1</v>
      </c>
      <c r="AQ289" s="7">
        <v>0</v>
      </c>
      <c r="AR289" s="27">
        <v>0</v>
      </c>
      <c r="AS289" s="27">
        <v>0</v>
      </c>
      <c r="AT289" s="27">
        <v>0</v>
      </c>
      <c r="AU289" s="27">
        <v>0</v>
      </c>
      <c r="AV289" s="27">
        <v>0</v>
      </c>
      <c r="AW289" s="7">
        <v>0</v>
      </c>
      <c r="AX289" s="7">
        <v>1</v>
      </c>
      <c r="AY289" s="5">
        <v>8.5</v>
      </c>
      <c r="AZ289" s="20">
        <v>0</v>
      </c>
      <c r="BA289" s="7">
        <v>1</v>
      </c>
      <c r="BB289" s="7">
        <v>0</v>
      </c>
      <c r="BC289" s="7">
        <v>1</v>
      </c>
      <c r="BD289" s="7">
        <v>1</v>
      </c>
      <c r="BE289" s="7">
        <v>0</v>
      </c>
      <c r="BF289" s="3">
        <v>1</v>
      </c>
      <c r="BG289" s="3">
        <v>20</v>
      </c>
      <c r="BH289" s="7">
        <v>0</v>
      </c>
      <c r="BI289" s="20">
        <v>0</v>
      </c>
      <c r="BJ289" s="7">
        <v>1</v>
      </c>
      <c r="BK289" s="11">
        <v>1</v>
      </c>
      <c r="BL289" s="7" t="s">
        <v>1129</v>
      </c>
      <c r="BM289" s="11">
        <v>1</v>
      </c>
    </row>
    <row r="290" spans="1:65" ht="30" customHeight="1" x14ac:dyDescent="0.3">
      <c r="A290" s="3" t="s">
        <v>19</v>
      </c>
      <c r="B290" s="3">
        <v>9</v>
      </c>
      <c r="C290" s="8">
        <v>44499</v>
      </c>
      <c r="D290" s="9">
        <v>0.25</v>
      </c>
      <c r="E290" s="4">
        <v>57</v>
      </c>
      <c r="F290" s="3">
        <v>0</v>
      </c>
      <c r="G290" s="3">
        <v>0</v>
      </c>
      <c r="H290" s="3">
        <v>0</v>
      </c>
      <c r="I290" s="3">
        <v>0</v>
      </c>
      <c r="J290" s="9">
        <v>0.27777777777777779</v>
      </c>
      <c r="K290" s="20">
        <v>141</v>
      </c>
      <c r="L290" s="11">
        <f t="shared" ref="L290" si="532">K290-K289</f>
        <v>1.1999999999999886</v>
      </c>
      <c r="M290" s="5">
        <f t="shared" ref="M290" si="533">AB289</f>
        <v>2193</v>
      </c>
      <c r="N290" s="11">
        <v>31.25</v>
      </c>
      <c r="O290" s="11">
        <v>32.25</v>
      </c>
      <c r="P290" s="11">
        <v>10.5</v>
      </c>
      <c r="Q290" s="11">
        <v>10.75</v>
      </c>
      <c r="R290" s="11">
        <v>19.5</v>
      </c>
      <c r="S290" s="11">
        <v>19.75</v>
      </c>
      <c r="T290" s="30"/>
      <c r="U290" s="30"/>
      <c r="V290" s="30"/>
      <c r="W290" s="30"/>
      <c r="X290" s="30"/>
      <c r="Y290" s="30"/>
      <c r="Z290" s="20" t="s">
        <v>1454</v>
      </c>
      <c r="AA290" s="10" t="s">
        <v>1471</v>
      </c>
      <c r="AB290" s="5">
        <f>240+160+170+400+225+135+200+60+70</f>
        <v>1660</v>
      </c>
      <c r="AC290" s="6">
        <f>3+12+15+0+9+5+2+4+6</f>
        <v>56</v>
      </c>
      <c r="AD290" s="6">
        <f>1+7+2+0+0+2+0+3+4</f>
        <v>19</v>
      </c>
      <c r="AE290" s="6">
        <f>9+12+6+5+0+0+8+5+5</f>
        <v>50</v>
      </c>
      <c r="AF290" s="6">
        <f>47+2+5+95+36+20+40+1+0</f>
        <v>246</v>
      </c>
      <c r="AG290" s="6">
        <f>3+0+2+0+0+0+10+0+0</f>
        <v>15</v>
      </c>
      <c r="AH290" s="6">
        <f>600+300+85+100+180+0+360+140+35</f>
        <v>1800</v>
      </c>
      <c r="AI290" s="6">
        <f t="shared" si="519"/>
        <v>3.3734939759036145E-2</v>
      </c>
      <c r="AJ290" s="6">
        <f t="shared" si="520"/>
        <v>1.144578313253012E-2</v>
      </c>
      <c r="AK290" s="6">
        <f t="shared" si="521"/>
        <v>3.0120481927710843E-2</v>
      </c>
      <c r="AL290" s="6">
        <f t="shared" si="522"/>
        <v>0.14819277108433734</v>
      </c>
      <c r="AM290" s="6">
        <f t="shared" si="523"/>
        <v>9.0361445783132526E-3</v>
      </c>
      <c r="AN290" s="6">
        <f t="shared" si="524"/>
        <v>1.0843373493975903</v>
      </c>
      <c r="AO290" s="7">
        <v>5</v>
      </c>
      <c r="AP290" s="7">
        <v>0</v>
      </c>
      <c r="AQ290" s="7">
        <v>0</v>
      </c>
      <c r="AR290" s="28">
        <v>0</v>
      </c>
      <c r="AS290" s="28">
        <v>0</v>
      </c>
      <c r="AT290" s="28">
        <v>0</v>
      </c>
      <c r="AU290" s="27">
        <v>0</v>
      </c>
      <c r="AV290" s="28">
        <v>0</v>
      </c>
      <c r="AW290" s="7">
        <v>1</v>
      </c>
      <c r="AX290" s="7">
        <v>1</v>
      </c>
      <c r="AY290" s="5">
        <v>6</v>
      </c>
      <c r="AZ290" s="20">
        <v>0</v>
      </c>
      <c r="BA290" s="7">
        <v>0</v>
      </c>
      <c r="BB290" s="7">
        <v>0</v>
      </c>
      <c r="BC290" s="20">
        <v>1</v>
      </c>
      <c r="BD290" s="20">
        <v>1</v>
      </c>
      <c r="BE290" s="20">
        <v>0</v>
      </c>
      <c r="BF290" s="7">
        <v>0</v>
      </c>
      <c r="BG290" s="7">
        <v>0</v>
      </c>
      <c r="BH290" s="20">
        <v>0</v>
      </c>
      <c r="BI290" s="20">
        <v>0</v>
      </c>
      <c r="BK290" s="11">
        <v>1</v>
      </c>
      <c r="BL290" s="3" t="s">
        <v>1129</v>
      </c>
      <c r="BM290" s="11">
        <f>5/3</f>
        <v>1.6666666666666667</v>
      </c>
    </row>
    <row r="291" spans="1:65" ht="30" customHeight="1" x14ac:dyDescent="0.3">
      <c r="A291" s="20" t="s">
        <v>23</v>
      </c>
      <c r="B291" s="20">
        <v>10</v>
      </c>
      <c r="C291" s="8">
        <v>44500</v>
      </c>
      <c r="D291" s="9">
        <v>0.25</v>
      </c>
      <c r="E291" s="4">
        <v>60</v>
      </c>
      <c r="F291" s="20">
        <v>0</v>
      </c>
      <c r="G291" s="20">
        <v>0</v>
      </c>
      <c r="H291" s="20">
        <v>0</v>
      </c>
      <c r="I291" s="20">
        <v>0</v>
      </c>
      <c r="J291" s="29"/>
      <c r="K291" s="33"/>
      <c r="L291" s="30"/>
      <c r="M291" s="31"/>
      <c r="N291" s="30"/>
      <c r="O291" s="30"/>
      <c r="P291" s="30"/>
      <c r="Q291" s="30"/>
      <c r="R291" s="30"/>
      <c r="S291" s="30"/>
      <c r="T291" s="30"/>
      <c r="U291" s="30"/>
      <c r="V291" s="30"/>
      <c r="W291" s="30"/>
      <c r="X291" s="30"/>
      <c r="Y291" s="30"/>
      <c r="Z291" s="20" t="s">
        <v>1455</v>
      </c>
      <c r="AA291" s="10" t="s">
        <v>1470</v>
      </c>
      <c r="AB291" s="5">
        <f>400+360+160+180+120+140+60</f>
        <v>1420</v>
      </c>
      <c r="AC291" s="6">
        <f>0+0+12+16+8+12+2</f>
        <v>50</v>
      </c>
      <c r="AD291" s="6">
        <f>0+0+7+9+5+7+1</f>
        <v>29</v>
      </c>
      <c r="AE291" s="6">
        <f>5+12+12+12+10+10+0</f>
        <v>61</v>
      </c>
      <c r="AF291" s="6">
        <f>95+78+2+0+2+0+9</f>
        <v>186</v>
      </c>
      <c r="AG291" s="6">
        <f>0+2+0+0+0+0+0</f>
        <v>2</v>
      </c>
      <c r="AH291" s="6">
        <f>100+420+300+320+280+70+0</f>
        <v>1490</v>
      </c>
      <c r="AI291" s="6">
        <f t="shared" si="519"/>
        <v>3.5211267605633804E-2</v>
      </c>
      <c r="AJ291" s="6">
        <f t="shared" si="520"/>
        <v>2.0422535211267606E-2</v>
      </c>
      <c r="AK291" s="6">
        <f t="shared" si="521"/>
        <v>4.2957746478873238E-2</v>
      </c>
      <c r="AL291" s="6">
        <f t="shared" si="522"/>
        <v>0.13098591549295774</v>
      </c>
      <c r="AM291" s="6">
        <f t="shared" si="523"/>
        <v>1.4084507042253522E-3</v>
      </c>
      <c r="AN291" s="6">
        <f t="shared" si="524"/>
        <v>1.0492957746478873</v>
      </c>
      <c r="AO291" s="7">
        <v>5</v>
      </c>
      <c r="AP291" s="7">
        <v>0</v>
      </c>
      <c r="AQ291" s="7">
        <v>0</v>
      </c>
      <c r="AR291" s="27">
        <v>0</v>
      </c>
      <c r="AS291" s="27">
        <v>0</v>
      </c>
      <c r="AT291" s="27">
        <v>0</v>
      </c>
      <c r="AU291" s="27">
        <v>0</v>
      </c>
      <c r="AV291" s="27">
        <v>0</v>
      </c>
      <c r="AW291" s="7">
        <v>1</v>
      </c>
      <c r="AX291" s="7">
        <v>1</v>
      </c>
      <c r="AY291" s="5">
        <v>8</v>
      </c>
      <c r="AZ291" s="20">
        <v>0</v>
      </c>
      <c r="BA291" s="7">
        <v>1</v>
      </c>
      <c r="BB291" s="7">
        <v>0</v>
      </c>
      <c r="BC291" s="7">
        <v>1</v>
      </c>
      <c r="BD291" s="7">
        <v>1</v>
      </c>
      <c r="BE291" s="7">
        <v>0</v>
      </c>
      <c r="BF291" s="7">
        <v>0</v>
      </c>
      <c r="BG291" s="7">
        <v>0</v>
      </c>
      <c r="BH291" s="7">
        <v>0</v>
      </c>
      <c r="BI291" s="20">
        <v>0</v>
      </c>
      <c r="BJ291" s="7">
        <v>0</v>
      </c>
      <c r="BK291" s="11">
        <v>1</v>
      </c>
      <c r="BL291" s="3" t="s">
        <v>1129</v>
      </c>
      <c r="BM291" s="11">
        <f>5/3</f>
        <v>1.6666666666666667</v>
      </c>
    </row>
    <row r="292" spans="1:65" ht="30" customHeight="1" x14ac:dyDescent="0.3">
      <c r="A292" s="20" t="s">
        <v>1449</v>
      </c>
      <c r="B292" s="20">
        <v>11</v>
      </c>
      <c r="C292" s="8">
        <v>44501</v>
      </c>
      <c r="D292" s="9">
        <v>0.25</v>
      </c>
      <c r="E292" s="4">
        <v>51</v>
      </c>
      <c r="F292" s="3">
        <v>0</v>
      </c>
      <c r="G292" s="3">
        <v>0</v>
      </c>
      <c r="H292" s="3">
        <v>0</v>
      </c>
      <c r="I292" s="3">
        <v>0</v>
      </c>
      <c r="J292" s="29"/>
      <c r="K292" s="33"/>
      <c r="L292" s="30"/>
      <c r="M292" s="31"/>
      <c r="N292" s="30"/>
      <c r="O292" s="30"/>
      <c r="P292" s="30"/>
      <c r="Q292" s="30"/>
      <c r="R292" s="30"/>
      <c r="S292" s="30"/>
      <c r="T292" s="30"/>
      <c r="U292" s="30"/>
      <c r="V292" s="30"/>
      <c r="W292" s="30"/>
      <c r="X292" s="30"/>
      <c r="Y292" s="30"/>
      <c r="Z292" s="20" t="s">
        <v>1456</v>
      </c>
      <c r="AA292" s="10" t="s">
        <v>1472</v>
      </c>
      <c r="AB292" s="5">
        <f>60+540+210+60+480+160+90+120</f>
        <v>1720</v>
      </c>
      <c r="AC292" s="6">
        <f>2+0+18+4+28+12+8+3</f>
        <v>75</v>
      </c>
      <c r="AD292" s="6">
        <f>1+0+11+3+16+7+5+2</f>
        <v>45</v>
      </c>
      <c r="AE292" s="6">
        <f>0+18+15+5+38+12+6+2</f>
        <v>96</v>
      </c>
      <c r="AF292" s="6">
        <f>9+117+0+1+18+2+0+20</f>
        <v>167</v>
      </c>
      <c r="AG292" s="6">
        <f>0+3+0+0+6+0+0+1</f>
        <v>10</v>
      </c>
      <c r="AH292" s="6">
        <f>0+630+105+140+740+300+160+410</f>
        <v>2485</v>
      </c>
      <c r="AI292" s="6">
        <f t="shared" si="519"/>
        <v>4.3604651162790699E-2</v>
      </c>
      <c r="AJ292" s="6">
        <f t="shared" si="520"/>
        <v>2.616279069767442E-2</v>
      </c>
      <c r="AK292" s="6">
        <f t="shared" si="521"/>
        <v>5.5813953488372092E-2</v>
      </c>
      <c r="AL292" s="6">
        <f t="shared" si="522"/>
        <v>9.7093023255813954E-2</v>
      </c>
      <c r="AM292" s="6">
        <f t="shared" si="523"/>
        <v>5.8139534883720929E-3</v>
      </c>
      <c r="AN292" s="6">
        <f t="shared" si="524"/>
        <v>1.444767441860465</v>
      </c>
      <c r="AO292" s="7">
        <v>6</v>
      </c>
      <c r="AP292" s="7">
        <v>1</v>
      </c>
      <c r="AQ292" s="7">
        <v>0</v>
      </c>
      <c r="AR292" s="28">
        <v>0</v>
      </c>
      <c r="AS292" s="28">
        <v>0</v>
      </c>
      <c r="AT292" s="28">
        <v>0</v>
      </c>
      <c r="AU292" s="27">
        <v>0</v>
      </c>
      <c r="AV292" s="28">
        <v>0</v>
      </c>
      <c r="AW292" s="7">
        <v>1</v>
      </c>
      <c r="AX292" s="7">
        <v>1</v>
      </c>
      <c r="AY292" s="5">
        <v>5</v>
      </c>
      <c r="AZ292" s="20">
        <v>0</v>
      </c>
      <c r="BA292" s="7">
        <v>1</v>
      </c>
      <c r="BB292" s="7">
        <v>0</v>
      </c>
      <c r="BC292" s="20">
        <v>1</v>
      </c>
      <c r="BD292" s="20">
        <v>1</v>
      </c>
      <c r="BE292" s="20">
        <v>0</v>
      </c>
      <c r="BF292" s="7">
        <v>0</v>
      </c>
      <c r="BG292" s="7">
        <v>0</v>
      </c>
      <c r="BH292" s="20">
        <v>0</v>
      </c>
      <c r="BI292" s="20">
        <v>0</v>
      </c>
      <c r="BJ292" s="7">
        <v>1</v>
      </c>
      <c r="BK292" s="11">
        <v>1</v>
      </c>
      <c r="BL292" s="3" t="s">
        <v>1129</v>
      </c>
      <c r="BM292" s="11">
        <v>1.67</v>
      </c>
    </row>
    <row r="293" spans="1:65" s="26" customFormat="1" ht="30" customHeight="1" x14ac:dyDescent="0.3">
      <c r="A293" s="26" t="s">
        <v>16</v>
      </c>
      <c r="B293" s="26">
        <v>12</v>
      </c>
      <c r="C293" s="34">
        <v>44502</v>
      </c>
      <c r="D293" s="35">
        <v>0.25</v>
      </c>
      <c r="E293" s="36">
        <v>52</v>
      </c>
      <c r="F293" s="26">
        <v>0</v>
      </c>
      <c r="G293" s="26">
        <v>0</v>
      </c>
      <c r="H293" s="26">
        <v>0</v>
      </c>
      <c r="I293" s="26">
        <v>0</v>
      </c>
      <c r="J293" s="35">
        <v>0.35486111111111113</v>
      </c>
      <c r="K293" s="26">
        <v>142.6</v>
      </c>
      <c r="L293" s="37">
        <f t="shared" ref="L293" si="534">K293-K292</f>
        <v>142.6</v>
      </c>
      <c r="M293" s="38">
        <f t="shared" ref="M293:M299" si="535">AB292</f>
        <v>1720</v>
      </c>
      <c r="N293" s="37">
        <v>30.25</v>
      </c>
      <c r="O293" s="37">
        <v>32.25</v>
      </c>
      <c r="P293" s="37">
        <v>10.625</v>
      </c>
      <c r="Q293" s="37">
        <v>10.625</v>
      </c>
      <c r="R293" s="37">
        <v>19.375</v>
      </c>
      <c r="S293" s="37">
        <v>19.625</v>
      </c>
      <c r="T293" s="39"/>
      <c r="U293" s="39"/>
      <c r="V293" s="39"/>
      <c r="W293" s="39"/>
      <c r="X293" s="39"/>
      <c r="Y293" s="39"/>
      <c r="Z293" s="26" t="s">
        <v>1474</v>
      </c>
      <c r="AA293" s="26" t="s">
        <v>1473</v>
      </c>
      <c r="AB293" s="38">
        <f>440+360+420+90+360+120+400</f>
        <v>2190</v>
      </c>
      <c r="AC293" s="38">
        <f>10+9+36+8+0+4+0</f>
        <v>67</v>
      </c>
      <c r="AD293" s="38">
        <f>4+6+21+5+0+2+0</f>
        <v>38</v>
      </c>
      <c r="AE293" s="38">
        <f>12+6+30+6+12+0+5</f>
        <v>71</v>
      </c>
      <c r="AF293" s="38">
        <f>76+60+0+0+78+18+95</f>
        <v>327</v>
      </c>
      <c r="AG293" s="38">
        <f>8+3+0+0+2+0+0</f>
        <v>13</v>
      </c>
      <c r="AH293" s="38">
        <f>1360+1230+210+160+420+0+100</f>
        <v>3480</v>
      </c>
      <c r="AI293" s="38">
        <f t="shared" si="519"/>
        <v>3.0593607305936073E-2</v>
      </c>
      <c r="AJ293" s="38">
        <f t="shared" si="520"/>
        <v>1.7351598173515982E-2</v>
      </c>
      <c r="AK293" s="38">
        <f t="shared" si="521"/>
        <v>3.2420091324200914E-2</v>
      </c>
      <c r="AL293" s="38">
        <f t="shared" si="522"/>
        <v>0.14931506849315068</v>
      </c>
      <c r="AM293" s="38">
        <f t="shared" si="523"/>
        <v>5.9360730593607308E-3</v>
      </c>
      <c r="AN293" s="38">
        <f t="shared" si="524"/>
        <v>1.5890410958904109</v>
      </c>
      <c r="AO293" s="27">
        <v>6</v>
      </c>
      <c r="AP293" s="27">
        <v>1</v>
      </c>
      <c r="AQ293" s="27">
        <v>0</v>
      </c>
      <c r="AR293" s="27">
        <v>0</v>
      </c>
      <c r="AS293" s="27">
        <v>0</v>
      </c>
      <c r="AT293" s="27">
        <v>0</v>
      </c>
      <c r="AU293" s="27">
        <v>0</v>
      </c>
      <c r="AV293" s="27">
        <v>0</v>
      </c>
      <c r="AW293" s="27">
        <v>1</v>
      </c>
      <c r="AX293" s="27">
        <v>1</v>
      </c>
      <c r="AY293" s="38">
        <v>6</v>
      </c>
      <c r="AZ293" s="26">
        <v>0</v>
      </c>
      <c r="BA293" s="27">
        <v>0</v>
      </c>
      <c r="BB293" s="27">
        <v>0</v>
      </c>
      <c r="BC293" s="27">
        <v>1</v>
      </c>
      <c r="BD293" s="27">
        <v>1</v>
      </c>
      <c r="BE293" s="27">
        <v>0</v>
      </c>
      <c r="BF293" s="27">
        <v>0</v>
      </c>
      <c r="BG293" s="27">
        <v>0</v>
      </c>
      <c r="BH293" s="27">
        <v>0</v>
      </c>
      <c r="BI293" s="26">
        <v>0</v>
      </c>
      <c r="BJ293" s="27">
        <v>0</v>
      </c>
      <c r="BK293" s="37">
        <v>2</v>
      </c>
      <c r="BL293" s="27" t="s">
        <v>1129</v>
      </c>
      <c r="BM293" s="37">
        <v>1.67</v>
      </c>
    </row>
    <row r="294" spans="1:65" s="28" customFormat="1" ht="25.05" customHeight="1" x14ac:dyDescent="0.3">
      <c r="A294" s="28" t="s">
        <v>17</v>
      </c>
      <c r="B294" s="28">
        <v>13</v>
      </c>
      <c r="C294" s="40">
        <v>44503</v>
      </c>
      <c r="D294" s="41">
        <v>0.25</v>
      </c>
      <c r="E294" s="27">
        <v>75</v>
      </c>
      <c r="F294" s="28">
        <v>0</v>
      </c>
      <c r="G294" s="28">
        <v>0</v>
      </c>
      <c r="H294" s="28">
        <v>0</v>
      </c>
      <c r="I294" s="28">
        <v>0</v>
      </c>
      <c r="J294" s="43"/>
      <c r="K294" s="43"/>
      <c r="L294" s="42"/>
      <c r="M294" s="38">
        <f t="shared" si="535"/>
        <v>2190</v>
      </c>
      <c r="N294" s="42"/>
      <c r="O294" s="42"/>
      <c r="P294" s="42"/>
      <c r="Q294" s="42"/>
      <c r="R294" s="42"/>
      <c r="S294" s="42"/>
      <c r="T294" s="42"/>
      <c r="U294" s="42"/>
      <c r="V294" s="42"/>
      <c r="W294" s="42"/>
      <c r="X294" s="42"/>
      <c r="Y294" s="42"/>
      <c r="Z294" s="28" t="s">
        <v>1477</v>
      </c>
      <c r="AA294" s="28" t="s">
        <v>1481</v>
      </c>
      <c r="AB294" s="38">
        <f>220+140+180+200+60+70+340+320</f>
        <v>1530</v>
      </c>
      <c r="AC294" s="38">
        <f>5+12+6+2+4+5+30+26</f>
        <v>90</v>
      </c>
      <c r="AD294" s="38">
        <f>2+7+3+0+3+3+4+3</f>
        <v>25</v>
      </c>
      <c r="AE294" s="38">
        <f>6+10+0+8+5+4+12+12</f>
        <v>57</v>
      </c>
      <c r="AF294" s="38">
        <f>38+0+27+38+1+0+10+16</f>
        <v>130</v>
      </c>
      <c r="AG294" s="38">
        <f>4+0+0+4+0+0+4+6</f>
        <v>18</v>
      </c>
      <c r="AH294" s="38">
        <f>680+70+0+400+140+105+170+270</f>
        <v>1835</v>
      </c>
      <c r="AI294" s="6">
        <f t="shared" si="519"/>
        <v>5.8823529411764705E-2</v>
      </c>
      <c r="AJ294" s="6">
        <f t="shared" si="520"/>
        <v>1.6339869281045753E-2</v>
      </c>
      <c r="AK294" s="6">
        <f t="shared" si="521"/>
        <v>3.7254901960784313E-2</v>
      </c>
      <c r="AL294" s="6">
        <f t="shared" si="522"/>
        <v>8.4967320261437912E-2</v>
      </c>
      <c r="AM294" s="6">
        <f t="shared" si="523"/>
        <v>1.1764705882352941E-2</v>
      </c>
      <c r="AN294" s="6">
        <f t="shared" si="524"/>
        <v>1.1993464052287581</v>
      </c>
      <c r="AO294" s="27">
        <v>7</v>
      </c>
      <c r="AP294" s="27">
        <v>1</v>
      </c>
      <c r="AQ294" s="27">
        <v>0</v>
      </c>
      <c r="AR294" s="28">
        <v>0</v>
      </c>
      <c r="AS294" s="28">
        <v>0</v>
      </c>
      <c r="AT294" s="28">
        <v>0</v>
      </c>
      <c r="AU294" s="27">
        <v>0</v>
      </c>
      <c r="AV294" s="28">
        <v>0</v>
      </c>
      <c r="AW294" s="28">
        <v>0</v>
      </c>
      <c r="AX294" s="28">
        <v>1</v>
      </c>
      <c r="AY294" s="38">
        <v>7</v>
      </c>
      <c r="AZ294" s="20">
        <v>0</v>
      </c>
      <c r="BA294" s="28">
        <v>1</v>
      </c>
      <c r="BB294" s="7">
        <v>0</v>
      </c>
      <c r="BC294" s="20">
        <v>1</v>
      </c>
      <c r="BD294" s="20">
        <v>1</v>
      </c>
      <c r="BE294" s="20">
        <v>0</v>
      </c>
      <c r="BF294" s="7">
        <v>0</v>
      </c>
      <c r="BG294" s="7">
        <v>0</v>
      </c>
      <c r="BH294" s="20">
        <v>0</v>
      </c>
      <c r="BI294" s="20">
        <v>0</v>
      </c>
      <c r="BJ294" s="7">
        <v>0</v>
      </c>
      <c r="BK294" s="38">
        <v>0</v>
      </c>
      <c r="BL294" s="28">
        <v>0</v>
      </c>
      <c r="BM294" s="38">
        <v>1.67</v>
      </c>
    </row>
    <row r="295" spans="1:65" s="28" customFormat="1" ht="25.05" customHeight="1" x14ac:dyDescent="0.3">
      <c r="A295" s="28" t="s">
        <v>18</v>
      </c>
      <c r="B295" s="28">
        <v>14</v>
      </c>
      <c r="C295" s="40">
        <v>44504</v>
      </c>
      <c r="D295" s="41">
        <v>0.25</v>
      </c>
      <c r="E295" s="27">
        <v>52</v>
      </c>
      <c r="F295" s="28">
        <v>0</v>
      </c>
      <c r="G295" s="28">
        <v>0</v>
      </c>
      <c r="H295" s="28">
        <v>0</v>
      </c>
      <c r="I295" s="28">
        <v>0</v>
      </c>
      <c r="J295" s="43"/>
      <c r="K295" s="43"/>
      <c r="L295" s="42"/>
      <c r="M295" s="38">
        <f t="shared" si="535"/>
        <v>1530</v>
      </c>
      <c r="N295" s="42"/>
      <c r="O295" s="42"/>
      <c r="P295" s="42"/>
      <c r="Q295" s="42"/>
      <c r="R295" s="42"/>
      <c r="S295" s="42"/>
      <c r="T295" s="42"/>
      <c r="U295" s="42"/>
      <c r="V295" s="42"/>
      <c r="W295" s="42"/>
      <c r="X295" s="42"/>
      <c r="Y295" s="42"/>
      <c r="Z295" s="28" t="s">
        <v>1478</v>
      </c>
      <c r="AA295" s="28" t="s">
        <v>1482</v>
      </c>
      <c r="AB295" s="38">
        <f>930+350+240+320+480+60+160</f>
        <v>2540</v>
      </c>
      <c r="AC295" s="38">
        <f>18+25+16+26+0+2+13</f>
        <v>100</v>
      </c>
      <c r="AD295" s="38">
        <f>3+15+10+3+0+1+2</f>
        <v>34</v>
      </c>
      <c r="AE295" s="38">
        <f>27+20+20+12+6+0+6</f>
        <v>91</v>
      </c>
      <c r="AF295" s="38">
        <f>159+0+4+16+114+9+8</f>
        <v>310</v>
      </c>
      <c r="AG295" s="38">
        <f>6+0+0+6+0+0+3</f>
        <v>15</v>
      </c>
      <c r="AH295" s="38">
        <f>2580+525+560+270+120+0+135</f>
        <v>4190</v>
      </c>
      <c r="AI295" s="38">
        <f t="shared" si="519"/>
        <v>3.937007874015748E-2</v>
      </c>
      <c r="AJ295" s="38">
        <f t="shared" si="520"/>
        <v>1.3385826771653543E-2</v>
      </c>
      <c r="AK295" s="38">
        <f t="shared" si="521"/>
        <v>3.582677165354331E-2</v>
      </c>
      <c r="AL295" s="38">
        <f t="shared" si="522"/>
        <v>0.12204724409448819</v>
      </c>
      <c r="AM295" s="38">
        <f t="shared" si="523"/>
        <v>5.905511811023622E-3</v>
      </c>
      <c r="AN295" s="38">
        <f t="shared" si="524"/>
        <v>1.6496062992125984</v>
      </c>
      <c r="AO295" s="27">
        <v>6</v>
      </c>
      <c r="AP295" s="27">
        <v>1</v>
      </c>
      <c r="AQ295" s="27">
        <v>0</v>
      </c>
      <c r="AR295" s="27">
        <v>0</v>
      </c>
      <c r="AS295" s="27">
        <v>0</v>
      </c>
      <c r="AT295" s="27">
        <v>0</v>
      </c>
      <c r="AU295" s="27">
        <v>0</v>
      </c>
      <c r="AV295" s="27">
        <v>0</v>
      </c>
      <c r="AW295" s="28">
        <v>1</v>
      </c>
      <c r="AX295" s="28">
        <v>1</v>
      </c>
      <c r="AY295" s="38">
        <v>4</v>
      </c>
      <c r="AZ295" s="26">
        <v>0</v>
      </c>
      <c r="BA295" s="28">
        <v>0</v>
      </c>
      <c r="BB295" s="27">
        <v>0</v>
      </c>
      <c r="BC295" s="27">
        <v>1</v>
      </c>
      <c r="BD295" s="27">
        <v>1</v>
      </c>
      <c r="BE295" s="27">
        <v>0</v>
      </c>
      <c r="BF295" s="27">
        <v>0</v>
      </c>
      <c r="BG295" s="27">
        <v>0</v>
      </c>
      <c r="BH295" s="27">
        <v>0</v>
      </c>
      <c r="BI295" s="26">
        <v>0</v>
      </c>
      <c r="BJ295" s="27">
        <v>0</v>
      </c>
      <c r="BK295" s="38">
        <v>2</v>
      </c>
      <c r="BL295" s="28" t="s">
        <v>1476</v>
      </c>
      <c r="BM295" s="38">
        <v>1.67</v>
      </c>
    </row>
    <row r="296" spans="1:65" s="25" customFormat="1" ht="25.05" customHeight="1" x14ac:dyDescent="0.3">
      <c r="A296" s="25" t="s">
        <v>137</v>
      </c>
      <c r="B296" s="25">
        <v>15</v>
      </c>
      <c r="C296" s="44">
        <v>44505</v>
      </c>
      <c r="D296" s="45">
        <v>0.25</v>
      </c>
      <c r="E296" s="46">
        <v>52</v>
      </c>
      <c r="F296" s="25">
        <v>0</v>
      </c>
      <c r="G296" s="25">
        <v>0</v>
      </c>
      <c r="H296" s="25">
        <v>0</v>
      </c>
      <c r="I296" s="25">
        <v>0</v>
      </c>
      <c r="J296" s="52"/>
      <c r="K296" s="52"/>
      <c r="L296" s="53"/>
      <c r="M296" s="38">
        <f t="shared" si="535"/>
        <v>2540</v>
      </c>
      <c r="N296" s="53"/>
      <c r="O296" s="53"/>
      <c r="P296" s="53"/>
      <c r="Q296" s="53"/>
      <c r="R296" s="53"/>
      <c r="S296" s="53"/>
      <c r="T296" s="48"/>
      <c r="U296" s="48"/>
      <c r="V296" s="48"/>
      <c r="W296" s="48"/>
      <c r="X296" s="48"/>
      <c r="Y296" s="48"/>
      <c r="Z296" s="25" t="s">
        <v>1480</v>
      </c>
      <c r="AA296" s="25" t="s">
        <v>1484</v>
      </c>
      <c r="AB296" s="49">
        <f>400+350+110+180+150+563+120</f>
        <v>1873</v>
      </c>
      <c r="AC296" s="49">
        <f>4+25+3+12+15+23+4</f>
        <v>86</v>
      </c>
      <c r="AD296" s="49">
        <f>0+15+1+8+9+13+2</f>
        <v>48</v>
      </c>
      <c r="AE296" s="49">
        <f>16+20+3+15+3+8+0</f>
        <v>65</v>
      </c>
      <c r="AF296" s="49">
        <f>76+0+19+3+3+86+18</f>
        <v>205</v>
      </c>
      <c r="AG296" s="49">
        <f>8+0+2+0+0+4+0</f>
        <v>14</v>
      </c>
      <c r="AH296" s="49">
        <f>800+525+340+420+158+1800+0</f>
        <v>4043</v>
      </c>
      <c r="AI296" s="6">
        <f t="shared" si="519"/>
        <v>4.591564335290977E-2</v>
      </c>
      <c r="AJ296" s="6">
        <f t="shared" si="520"/>
        <v>2.562733582487987E-2</v>
      </c>
      <c r="AK296" s="6">
        <f t="shared" si="521"/>
        <v>3.4703683929524824E-2</v>
      </c>
      <c r="AL296" s="6">
        <f t="shared" si="522"/>
        <v>0.10945008008542445</v>
      </c>
      <c r="AM296" s="6">
        <f t="shared" si="523"/>
        <v>7.4746396155899626E-3</v>
      </c>
      <c r="AN296" s="6">
        <f t="shared" si="524"/>
        <v>2.1585691404164442</v>
      </c>
      <c r="AO296" s="50">
        <v>6</v>
      </c>
      <c r="AP296" s="50">
        <v>1</v>
      </c>
      <c r="AQ296" s="50">
        <v>0</v>
      </c>
      <c r="AR296" s="51">
        <v>0</v>
      </c>
      <c r="AS296" s="51">
        <v>0</v>
      </c>
      <c r="AT296" s="51">
        <v>0</v>
      </c>
      <c r="AU296" s="50">
        <v>0</v>
      </c>
      <c r="AV296" s="51">
        <v>0</v>
      </c>
      <c r="AW296" s="25">
        <v>1</v>
      </c>
      <c r="AX296" s="25">
        <v>1</v>
      </c>
      <c r="AY296" s="49">
        <v>8</v>
      </c>
      <c r="AZ296" s="25">
        <v>0</v>
      </c>
      <c r="BA296" s="25">
        <v>0</v>
      </c>
      <c r="BB296" s="25">
        <v>0</v>
      </c>
      <c r="BC296" s="25">
        <v>1</v>
      </c>
      <c r="BD296" s="25">
        <v>1</v>
      </c>
      <c r="BE296" s="25">
        <v>0</v>
      </c>
      <c r="BF296" s="25">
        <v>1</v>
      </c>
      <c r="BG296" s="25">
        <v>20</v>
      </c>
      <c r="BH296" s="25">
        <v>0</v>
      </c>
      <c r="BI296" s="25">
        <v>0</v>
      </c>
      <c r="BJ296" s="25">
        <v>0</v>
      </c>
      <c r="BK296" s="47">
        <v>1</v>
      </c>
      <c r="BL296" s="25" t="s">
        <v>1479</v>
      </c>
      <c r="BM296" s="47">
        <v>1.6666666666666667</v>
      </c>
    </row>
    <row r="297" spans="1:65" ht="30" customHeight="1" x14ac:dyDescent="0.3">
      <c r="A297" s="3" t="s">
        <v>19</v>
      </c>
      <c r="B297" s="3">
        <v>16</v>
      </c>
      <c r="C297" s="8">
        <v>44506</v>
      </c>
      <c r="D297" s="9">
        <v>0.25</v>
      </c>
      <c r="E297" s="4">
        <v>56</v>
      </c>
      <c r="F297" s="3">
        <v>0</v>
      </c>
      <c r="G297" s="3">
        <v>0</v>
      </c>
      <c r="H297" s="3">
        <v>0</v>
      </c>
      <c r="I297" s="3">
        <v>0</v>
      </c>
      <c r="J297" s="54"/>
      <c r="K297" s="54"/>
      <c r="L297" s="55"/>
      <c r="M297" s="38">
        <f t="shared" si="535"/>
        <v>1873</v>
      </c>
      <c r="N297" s="55"/>
      <c r="O297" s="55"/>
      <c r="P297" s="55"/>
      <c r="Q297" s="55"/>
      <c r="R297" s="55"/>
      <c r="S297" s="55"/>
      <c r="T297" s="30"/>
      <c r="U297" s="30"/>
      <c r="V297" s="30"/>
      <c r="W297" s="30"/>
      <c r="X297" s="30"/>
      <c r="Y297" s="30"/>
      <c r="Z297" s="3" t="s">
        <v>1486</v>
      </c>
      <c r="AA297" s="10" t="s">
        <v>1489</v>
      </c>
      <c r="AB297" s="5">
        <f>360+120+210+320+340+560+280+110+480</f>
        <v>2780</v>
      </c>
      <c r="AC297" s="6">
        <f>0+8+15+26+30+0+8+3+16</f>
        <v>106</v>
      </c>
      <c r="AD297" s="6">
        <f>0+5+9+3+4+0+2+1+8</f>
        <v>32</v>
      </c>
      <c r="AE297" s="6">
        <f>12+10+12+12+12+7+8+3+0</f>
        <v>76</v>
      </c>
      <c r="AF297" s="6">
        <f>78+2+0+16+10+133+42+19+72</f>
        <v>372</v>
      </c>
      <c r="AG297" s="6">
        <f>2+0+0+6+4+0+2+2+0</f>
        <v>16</v>
      </c>
      <c r="AH297" s="6">
        <f>420+280+315+270+170+140+660+340+0</f>
        <v>2595</v>
      </c>
      <c r="AI297" s="38">
        <f t="shared" si="519"/>
        <v>3.8129496402877695E-2</v>
      </c>
      <c r="AJ297" s="38">
        <f t="shared" si="520"/>
        <v>1.1510791366906475E-2</v>
      </c>
      <c r="AK297" s="38">
        <f t="shared" si="521"/>
        <v>2.7338129496402876E-2</v>
      </c>
      <c r="AL297" s="38">
        <f t="shared" si="522"/>
        <v>0.13381294964028778</v>
      </c>
      <c r="AM297" s="38">
        <f t="shared" si="523"/>
        <v>5.7553956834532375E-3</v>
      </c>
      <c r="AN297" s="38">
        <f t="shared" si="524"/>
        <v>0.93345323741007191</v>
      </c>
      <c r="AO297" s="7">
        <v>6</v>
      </c>
      <c r="AP297" s="7">
        <v>2</v>
      </c>
      <c r="AQ297" s="7">
        <v>0</v>
      </c>
      <c r="AR297" s="28">
        <v>0</v>
      </c>
      <c r="AS297" s="28">
        <v>0</v>
      </c>
      <c r="AT297" s="28">
        <v>0</v>
      </c>
      <c r="AU297" s="27">
        <v>0</v>
      </c>
      <c r="AV297" s="28">
        <v>0</v>
      </c>
      <c r="AW297" s="28">
        <v>0</v>
      </c>
      <c r="AX297" s="28">
        <v>1</v>
      </c>
      <c r="AY297" s="5">
        <v>5</v>
      </c>
      <c r="AZ297" s="28">
        <v>0</v>
      </c>
      <c r="BA297" s="28">
        <v>0</v>
      </c>
      <c r="BB297" s="28">
        <v>0</v>
      </c>
      <c r="BC297" s="28">
        <v>1</v>
      </c>
      <c r="BD297" s="28">
        <v>1</v>
      </c>
      <c r="BE297" s="28">
        <v>0</v>
      </c>
      <c r="BF297" s="28">
        <v>0</v>
      </c>
      <c r="BG297" s="28">
        <v>0</v>
      </c>
      <c r="BH297" s="28">
        <v>0</v>
      </c>
      <c r="BI297" s="28">
        <v>0</v>
      </c>
      <c r="BJ297" s="28">
        <v>0</v>
      </c>
      <c r="BK297" s="11">
        <v>2</v>
      </c>
      <c r="BL297" s="3" t="s">
        <v>1485</v>
      </c>
      <c r="BM297" s="11">
        <v>1.67</v>
      </c>
    </row>
    <row r="298" spans="1:65" ht="30" customHeight="1" x14ac:dyDescent="0.3">
      <c r="A298" s="3" t="s">
        <v>23</v>
      </c>
      <c r="B298" s="3">
        <v>17</v>
      </c>
      <c r="C298" s="8">
        <v>44507</v>
      </c>
      <c r="D298" s="9">
        <v>0.20833333333333334</v>
      </c>
      <c r="E298" s="4">
        <v>52</v>
      </c>
      <c r="F298" s="3">
        <v>0</v>
      </c>
      <c r="G298" s="3">
        <v>0</v>
      </c>
      <c r="H298" s="3">
        <v>0</v>
      </c>
      <c r="I298" s="3">
        <v>0</v>
      </c>
      <c r="J298" s="54"/>
      <c r="K298" s="54"/>
      <c r="L298" s="55"/>
      <c r="M298" s="38">
        <f t="shared" si="535"/>
        <v>2780</v>
      </c>
      <c r="N298" s="55"/>
      <c r="O298" s="55"/>
      <c r="P298" s="55"/>
      <c r="Q298" s="55"/>
      <c r="R298" s="55"/>
      <c r="S298" s="55"/>
      <c r="T298" s="30"/>
      <c r="U298" s="30"/>
      <c r="V298" s="30"/>
      <c r="W298" s="30"/>
      <c r="X298" s="30"/>
      <c r="Y298" s="30"/>
      <c r="Z298" s="3" t="s">
        <v>1491</v>
      </c>
      <c r="AA298" s="10" t="s">
        <v>1493</v>
      </c>
      <c r="AB298" s="5">
        <f>1680+350+120+200+560</f>
        <v>2910</v>
      </c>
      <c r="AC298" s="6">
        <f>48+25+8+2+0</f>
        <v>83</v>
      </c>
      <c r="AD298" s="6">
        <f>12+15+5+0+0</f>
        <v>32</v>
      </c>
      <c r="AE298" s="6">
        <f>48+20+10+8+7</f>
        <v>93</v>
      </c>
      <c r="AF298" s="6">
        <f>252+0+2+38+133</f>
        <v>425</v>
      </c>
      <c r="AG298" s="6">
        <f>12+0+0+4+0</f>
        <v>16</v>
      </c>
      <c r="AH298" s="6">
        <f>3960+525+280+400+140</f>
        <v>5305</v>
      </c>
      <c r="AI298" s="38">
        <f t="shared" si="519"/>
        <v>2.8522336769759449E-2</v>
      </c>
      <c r="AJ298" s="38">
        <f t="shared" si="520"/>
        <v>1.0996563573883162E-2</v>
      </c>
      <c r="AK298" s="38">
        <f t="shared" si="521"/>
        <v>3.1958762886597936E-2</v>
      </c>
      <c r="AL298" s="38">
        <f t="shared" si="522"/>
        <v>0.14604810996563575</v>
      </c>
      <c r="AM298" s="38">
        <f t="shared" si="523"/>
        <v>5.4982817869415812E-3</v>
      </c>
      <c r="AN298" s="38">
        <f t="shared" si="524"/>
        <v>1.8230240549828178</v>
      </c>
      <c r="AO298" s="7">
        <v>6</v>
      </c>
      <c r="AP298" s="7">
        <v>1</v>
      </c>
      <c r="AQ298" s="7">
        <v>0</v>
      </c>
      <c r="AR298" s="28">
        <v>0</v>
      </c>
      <c r="AS298" s="28">
        <v>0</v>
      </c>
      <c r="AT298" s="28">
        <v>0</v>
      </c>
      <c r="AU298" s="27">
        <v>0</v>
      </c>
      <c r="AV298" s="28">
        <v>0</v>
      </c>
      <c r="AW298" s="28">
        <v>1</v>
      </c>
      <c r="AX298" s="28">
        <v>1</v>
      </c>
      <c r="AY298" s="5">
        <v>8.5</v>
      </c>
      <c r="AZ298" s="28">
        <v>0</v>
      </c>
      <c r="BA298" s="28">
        <v>1</v>
      </c>
      <c r="BB298" s="28">
        <v>0</v>
      </c>
      <c r="BC298" s="28">
        <v>1</v>
      </c>
      <c r="BD298" s="28">
        <v>1</v>
      </c>
      <c r="BE298" s="28">
        <v>0</v>
      </c>
      <c r="BF298" s="28">
        <v>0</v>
      </c>
      <c r="BG298" s="28">
        <v>0</v>
      </c>
      <c r="BH298" s="28">
        <v>0</v>
      </c>
      <c r="BI298" s="28">
        <v>0</v>
      </c>
      <c r="BJ298" s="28">
        <v>1</v>
      </c>
      <c r="BK298" s="11">
        <v>2</v>
      </c>
      <c r="BL298" s="3" t="s">
        <v>1485</v>
      </c>
      <c r="BM298" s="11">
        <v>1.67</v>
      </c>
    </row>
    <row r="299" spans="1:65" ht="30" customHeight="1" x14ac:dyDescent="0.3">
      <c r="A299" s="3" t="s">
        <v>15</v>
      </c>
      <c r="B299" s="3">
        <v>18</v>
      </c>
      <c r="C299" s="8">
        <v>44508</v>
      </c>
      <c r="D299" s="9">
        <v>0.25</v>
      </c>
      <c r="E299" s="4">
        <v>54</v>
      </c>
      <c r="F299" s="3">
        <v>0</v>
      </c>
      <c r="G299" s="3">
        <v>0</v>
      </c>
      <c r="H299" s="3">
        <v>0</v>
      </c>
      <c r="I299" s="3">
        <v>0</v>
      </c>
      <c r="K299" s="3">
        <v>144.4</v>
      </c>
      <c r="L299" s="55"/>
      <c r="M299" s="38">
        <f t="shared" si="535"/>
        <v>2910</v>
      </c>
      <c r="N299" s="11">
        <v>30.625</v>
      </c>
      <c r="O299" s="11">
        <v>32.25</v>
      </c>
      <c r="P299" s="11">
        <v>10.375</v>
      </c>
      <c r="Q299" s="11">
        <v>10.5</v>
      </c>
      <c r="R299" s="11">
        <v>20</v>
      </c>
      <c r="S299" s="11">
        <v>19.75</v>
      </c>
      <c r="T299" s="30"/>
      <c r="U299" s="30"/>
      <c r="V299" s="30"/>
      <c r="W299" s="30"/>
      <c r="X299" s="30"/>
      <c r="Y299" s="30"/>
      <c r="Z299" s="3" t="s">
        <v>1492</v>
      </c>
      <c r="AA299" s="10" t="s">
        <v>1494</v>
      </c>
      <c r="AB299" s="5">
        <f>1680+350+120+200+560+320</f>
        <v>3230</v>
      </c>
      <c r="AC299" s="6">
        <f>48+25+8+2+0+26</f>
        <v>109</v>
      </c>
      <c r="AD299" s="6">
        <f>12+15+5+0+0+3</f>
        <v>35</v>
      </c>
      <c r="AE299" s="6">
        <f>48+20+10+8+7+12</f>
        <v>105</v>
      </c>
      <c r="AF299" s="6">
        <f>252+0+2+38+133+16</f>
        <v>441</v>
      </c>
      <c r="AG299" s="6">
        <f>12+0+0+4+0+6</f>
        <v>22</v>
      </c>
      <c r="AH299" s="6">
        <f>3960+525+280+400+140+270</f>
        <v>5575</v>
      </c>
      <c r="AI299" s="38">
        <f t="shared" si="519"/>
        <v>3.3746130030959755E-2</v>
      </c>
      <c r="AJ299" s="38">
        <f t="shared" si="520"/>
        <v>1.0835913312693499E-2</v>
      </c>
      <c r="AK299" s="38">
        <f t="shared" si="521"/>
        <v>3.2507739938080496E-2</v>
      </c>
      <c r="AL299" s="38">
        <f t="shared" si="522"/>
        <v>0.13653250773993808</v>
      </c>
      <c r="AM299" s="38">
        <f t="shared" si="523"/>
        <v>6.8111455108359137E-3</v>
      </c>
      <c r="AN299" s="38">
        <f t="shared" si="524"/>
        <v>1.7260061919504643</v>
      </c>
      <c r="AO299" s="7">
        <v>6</v>
      </c>
      <c r="AP299" s="7">
        <v>1</v>
      </c>
      <c r="AQ299" s="7">
        <v>0</v>
      </c>
      <c r="AR299" s="28">
        <v>0</v>
      </c>
      <c r="AS299" s="28">
        <v>0</v>
      </c>
      <c r="AT299" s="28">
        <v>0</v>
      </c>
      <c r="AU299" s="27">
        <v>0</v>
      </c>
      <c r="AV299" s="28">
        <v>0</v>
      </c>
      <c r="AW299" s="28">
        <v>0</v>
      </c>
      <c r="AX299" s="28">
        <v>1</v>
      </c>
      <c r="AY299" s="5">
        <v>7</v>
      </c>
      <c r="AZ299" s="3">
        <v>0</v>
      </c>
      <c r="BA299" s="28">
        <v>0</v>
      </c>
      <c r="BB299" s="3">
        <v>0</v>
      </c>
      <c r="BC299" s="3">
        <v>1</v>
      </c>
      <c r="BD299" s="3">
        <v>1</v>
      </c>
      <c r="BE299" s="3">
        <v>0</v>
      </c>
      <c r="BF299" s="3">
        <v>0</v>
      </c>
      <c r="BG299" s="3">
        <v>0</v>
      </c>
      <c r="BH299" s="3">
        <v>0</v>
      </c>
      <c r="BI299" s="3">
        <v>0</v>
      </c>
      <c r="BJ299" s="3">
        <v>1</v>
      </c>
      <c r="BK299" s="11">
        <v>2</v>
      </c>
      <c r="BL299" s="3" t="s">
        <v>1485</v>
      </c>
      <c r="BM299" s="11">
        <v>1.67</v>
      </c>
    </row>
    <row r="300" spans="1:65" ht="30" customHeight="1" x14ac:dyDescent="0.3">
      <c r="A300" s="3" t="s">
        <v>16</v>
      </c>
      <c r="B300" s="3">
        <v>19</v>
      </c>
      <c r="C300" s="8">
        <v>44509</v>
      </c>
      <c r="D300" s="9">
        <v>0.25</v>
      </c>
      <c r="E300" s="4">
        <v>62</v>
      </c>
      <c r="F300" s="3">
        <v>0</v>
      </c>
      <c r="G300" s="3">
        <v>0</v>
      </c>
      <c r="H300" s="3">
        <v>0</v>
      </c>
      <c r="I300" s="3">
        <v>0</v>
      </c>
      <c r="J300" s="3">
        <v>0</v>
      </c>
      <c r="K300" s="3">
        <v>0</v>
      </c>
      <c r="T300" s="30"/>
      <c r="U300" s="30"/>
      <c r="V300" s="30"/>
      <c r="W300" s="30"/>
      <c r="X300" s="30"/>
      <c r="Y300" s="30"/>
      <c r="Z300" s="3" t="s">
        <v>1495</v>
      </c>
      <c r="AA300" s="10" t="s">
        <v>1501</v>
      </c>
      <c r="AO300" s="7">
        <v>6</v>
      </c>
      <c r="AP300" s="7">
        <v>1</v>
      </c>
      <c r="AQ300" s="7">
        <v>0</v>
      </c>
      <c r="AR300" s="28">
        <v>0</v>
      </c>
      <c r="AS300" s="28">
        <v>0</v>
      </c>
      <c r="AT300" s="28">
        <v>0</v>
      </c>
      <c r="AU300" s="27">
        <v>0</v>
      </c>
      <c r="AV300" s="28">
        <v>0</v>
      </c>
      <c r="AW300" s="28">
        <v>0</v>
      </c>
      <c r="AX300" s="28">
        <v>0</v>
      </c>
      <c r="AY300" s="5">
        <v>8</v>
      </c>
      <c r="AZ300" s="28">
        <v>0</v>
      </c>
      <c r="BA300" s="28">
        <v>0</v>
      </c>
      <c r="BB300" s="28">
        <v>0</v>
      </c>
      <c r="BC300" s="28">
        <v>1</v>
      </c>
      <c r="BD300" s="28">
        <v>1</v>
      </c>
      <c r="BE300" s="28">
        <v>0</v>
      </c>
      <c r="BF300" s="28">
        <v>0</v>
      </c>
      <c r="BG300" s="28">
        <v>0</v>
      </c>
      <c r="BH300" s="28">
        <v>0</v>
      </c>
      <c r="BI300" s="28">
        <v>0</v>
      </c>
      <c r="BJ300" s="28">
        <v>1</v>
      </c>
      <c r="BK300" s="11">
        <v>1</v>
      </c>
      <c r="BL300" s="3" t="s">
        <v>1485</v>
      </c>
      <c r="BM300" s="11">
        <v>1.67</v>
      </c>
    </row>
    <row r="301" spans="1:65" ht="30" customHeight="1" x14ac:dyDescent="0.3">
      <c r="A301" s="3" t="s">
        <v>17</v>
      </c>
      <c r="B301" s="3">
        <v>20</v>
      </c>
      <c r="C301" s="8">
        <v>44510</v>
      </c>
      <c r="D301" s="9">
        <v>0.25</v>
      </c>
      <c r="E301" s="4">
        <v>57</v>
      </c>
      <c r="F301" s="3">
        <v>0</v>
      </c>
      <c r="G301" s="3">
        <v>0</v>
      </c>
      <c r="H301" s="3">
        <v>0</v>
      </c>
      <c r="I301" s="3">
        <v>0</v>
      </c>
      <c r="J301" s="3">
        <v>0</v>
      </c>
      <c r="T301" s="30"/>
      <c r="U301" s="30"/>
      <c r="V301" s="30"/>
      <c r="W301" s="30"/>
      <c r="X301" s="30"/>
      <c r="Y301" s="30"/>
      <c r="Z301" s="3" t="s">
        <v>1496</v>
      </c>
      <c r="AA301" s="10" t="s">
        <v>1502</v>
      </c>
      <c r="AO301" s="7">
        <v>7</v>
      </c>
      <c r="AP301" s="7">
        <v>1</v>
      </c>
      <c r="AQ301" s="7">
        <v>0</v>
      </c>
      <c r="AR301" s="28">
        <v>0</v>
      </c>
      <c r="AS301" s="28">
        <v>0</v>
      </c>
      <c r="AT301" s="28">
        <v>0</v>
      </c>
      <c r="AU301" s="27">
        <v>0</v>
      </c>
      <c r="AV301" s="28">
        <v>0</v>
      </c>
      <c r="AW301" s="28">
        <v>0</v>
      </c>
      <c r="AX301" s="28">
        <v>1</v>
      </c>
      <c r="AY301" s="5">
        <v>8</v>
      </c>
      <c r="AZ301" s="28">
        <v>0</v>
      </c>
      <c r="BA301" s="28">
        <v>0</v>
      </c>
      <c r="BB301" s="28">
        <v>0</v>
      </c>
      <c r="BC301" s="28">
        <v>1</v>
      </c>
      <c r="BD301" s="28">
        <v>1</v>
      </c>
      <c r="BE301" s="28">
        <v>0</v>
      </c>
      <c r="BF301" s="28">
        <v>0</v>
      </c>
      <c r="BG301" s="28">
        <v>0</v>
      </c>
      <c r="BH301" s="28">
        <v>0</v>
      </c>
      <c r="BI301" s="28">
        <v>0</v>
      </c>
      <c r="BJ301" s="28">
        <v>1</v>
      </c>
      <c r="BK301" s="11">
        <v>1</v>
      </c>
      <c r="BL301" s="3" t="s">
        <v>1485</v>
      </c>
      <c r="BM301" s="11">
        <v>1.67</v>
      </c>
    </row>
    <row r="302" spans="1:65" ht="30" customHeight="1" x14ac:dyDescent="0.3">
      <c r="A302" s="3" t="s">
        <v>18</v>
      </c>
      <c r="B302" s="3">
        <v>21</v>
      </c>
      <c r="C302" s="8">
        <v>44511</v>
      </c>
      <c r="D302" s="9">
        <v>0.25</v>
      </c>
      <c r="E302" s="4">
        <v>56</v>
      </c>
      <c r="F302" s="3">
        <v>0</v>
      </c>
      <c r="G302" s="3">
        <v>0</v>
      </c>
      <c r="H302" s="3">
        <v>0</v>
      </c>
      <c r="I302" s="3">
        <v>0</v>
      </c>
      <c r="T302" s="30"/>
      <c r="U302" s="30"/>
      <c r="V302" s="30"/>
      <c r="W302" s="30"/>
      <c r="X302" s="30"/>
      <c r="Y302" s="30"/>
      <c r="Z302" s="3" t="s">
        <v>1503</v>
      </c>
      <c r="AA302" s="10" t="s">
        <v>1500</v>
      </c>
      <c r="AO302" s="7">
        <v>6</v>
      </c>
      <c r="AP302" s="7">
        <v>1</v>
      </c>
      <c r="AQ302" s="7">
        <v>0</v>
      </c>
      <c r="AR302" s="28">
        <v>0</v>
      </c>
      <c r="AS302" s="28">
        <v>0</v>
      </c>
      <c r="AT302" s="28">
        <v>0</v>
      </c>
      <c r="AU302" s="27">
        <v>0</v>
      </c>
      <c r="AV302" s="28">
        <v>0</v>
      </c>
      <c r="AW302" s="28">
        <v>0</v>
      </c>
      <c r="AX302" s="28">
        <v>0</v>
      </c>
      <c r="AY302" s="5">
        <v>6.5</v>
      </c>
      <c r="AZ302" s="28">
        <v>0</v>
      </c>
      <c r="BA302" s="28">
        <v>0</v>
      </c>
      <c r="BB302" s="28">
        <v>0</v>
      </c>
      <c r="BC302" s="28">
        <v>1</v>
      </c>
      <c r="BD302" s="28">
        <v>1</v>
      </c>
      <c r="BE302" s="28">
        <v>0</v>
      </c>
      <c r="BF302" s="28">
        <v>0</v>
      </c>
      <c r="BG302" s="28">
        <v>0</v>
      </c>
      <c r="BH302" s="28">
        <v>0</v>
      </c>
      <c r="BI302" s="28">
        <v>0</v>
      </c>
      <c r="BJ302" s="28">
        <v>1</v>
      </c>
      <c r="BK302" s="11">
        <v>2</v>
      </c>
      <c r="BL302" s="3" t="s">
        <v>1485</v>
      </c>
      <c r="BM302" s="11">
        <v>1.67</v>
      </c>
    </row>
    <row r="303" spans="1:65" x14ac:dyDescent="0.3">
      <c r="T303" s="30"/>
      <c r="U303" s="30"/>
      <c r="V303" s="30"/>
      <c r="W303" s="30"/>
      <c r="X303" s="30"/>
      <c r="Y303" s="30"/>
    </row>
    <row r="304" spans="1:65" x14ac:dyDescent="0.3">
      <c r="T304" s="30"/>
      <c r="U304" s="30"/>
      <c r="V304" s="30"/>
      <c r="W304" s="30"/>
      <c r="X304" s="30"/>
      <c r="Y304" s="30"/>
    </row>
    <row r="305" spans="20:25" x14ac:dyDescent="0.3">
      <c r="T305" s="30"/>
      <c r="U305" s="30"/>
      <c r="V305" s="30"/>
      <c r="W305" s="30"/>
      <c r="X305" s="30"/>
      <c r="Y305" s="30"/>
    </row>
    <row r="306" spans="20:25" x14ac:dyDescent="0.3">
      <c r="T306" s="30"/>
      <c r="U306" s="30"/>
      <c r="V306" s="30"/>
      <c r="W306" s="30"/>
      <c r="X306" s="30"/>
      <c r="Y306" s="30"/>
    </row>
    <row r="307" spans="20:25" x14ac:dyDescent="0.3">
      <c r="T307" s="30"/>
      <c r="U307" s="30"/>
      <c r="V307" s="30"/>
      <c r="W307" s="30"/>
      <c r="X307" s="30"/>
      <c r="Y307" s="30"/>
    </row>
    <row r="308" spans="20:25" x14ac:dyDescent="0.3">
      <c r="T308" s="30"/>
      <c r="U308" s="30"/>
      <c r="V308" s="30"/>
      <c r="W308" s="30"/>
      <c r="X308" s="30"/>
      <c r="Y308" s="30"/>
    </row>
    <row r="309" spans="20:25" x14ac:dyDescent="0.3">
      <c r="T309" s="30"/>
      <c r="U309" s="30"/>
      <c r="V309" s="30"/>
      <c r="W309" s="30"/>
      <c r="X309" s="30"/>
      <c r="Y309" s="30"/>
    </row>
    <row r="310" spans="20:25" x14ac:dyDescent="0.3">
      <c r="T310" s="30"/>
      <c r="U310" s="30"/>
      <c r="V310" s="30"/>
      <c r="W310" s="30"/>
      <c r="X310" s="30"/>
      <c r="Y310" s="30"/>
    </row>
    <row r="311" spans="20:25" x14ac:dyDescent="0.3">
      <c r="T311" s="30"/>
      <c r="U311" s="30"/>
      <c r="V311" s="30"/>
      <c r="W311" s="30"/>
      <c r="X311" s="30"/>
      <c r="Y311" s="30"/>
    </row>
    <row r="312" spans="20:25" x14ac:dyDescent="0.3">
      <c r="T312" s="30"/>
      <c r="U312" s="30"/>
      <c r="V312" s="30"/>
      <c r="W312" s="30"/>
      <c r="X312" s="30"/>
      <c r="Y312" s="30"/>
    </row>
    <row r="313" spans="20:25" x14ac:dyDescent="0.3">
      <c r="T313" s="30"/>
      <c r="U313" s="30"/>
      <c r="V313" s="30"/>
      <c r="W313" s="30"/>
      <c r="X313" s="30"/>
      <c r="Y313" s="30"/>
    </row>
    <row r="314" spans="20:25" x14ac:dyDescent="0.3">
      <c r="T314" s="30"/>
      <c r="U314" s="30"/>
      <c r="V314" s="30"/>
      <c r="W314" s="30"/>
      <c r="X314" s="30"/>
      <c r="Y314" s="30"/>
    </row>
    <row r="315" spans="20:25" x14ac:dyDescent="0.3">
      <c r="T315" s="30"/>
      <c r="U315" s="30"/>
      <c r="V315" s="30"/>
      <c r="W315" s="30"/>
      <c r="X315" s="30"/>
      <c r="Y315" s="30"/>
    </row>
    <row r="316" spans="20:25" x14ac:dyDescent="0.3">
      <c r="T316" s="30"/>
      <c r="U316" s="30"/>
      <c r="V316" s="30"/>
      <c r="W316" s="30"/>
      <c r="X316" s="30"/>
      <c r="Y316" s="30"/>
    </row>
    <row r="317" spans="20:25" x14ac:dyDescent="0.3">
      <c r="T317" s="30"/>
      <c r="U317" s="30"/>
      <c r="V317" s="30"/>
      <c r="W317" s="30"/>
      <c r="X317" s="30"/>
      <c r="Y317" s="30"/>
    </row>
    <row r="318" spans="20:25" x14ac:dyDescent="0.3">
      <c r="T318" s="30"/>
      <c r="U318" s="30"/>
      <c r="V318" s="30"/>
      <c r="W318" s="30"/>
      <c r="X318" s="30"/>
      <c r="Y318" s="30"/>
    </row>
    <row r="319" spans="20:25" x14ac:dyDescent="0.3">
      <c r="T319" s="30"/>
      <c r="U319" s="30"/>
      <c r="V319" s="30"/>
      <c r="W319" s="30"/>
      <c r="X319" s="30"/>
      <c r="Y319" s="30"/>
    </row>
    <row r="320" spans="20:25" x14ac:dyDescent="0.3">
      <c r="T320" s="30"/>
      <c r="U320" s="30"/>
      <c r="V320" s="30"/>
      <c r="W320" s="30"/>
      <c r="X320" s="30"/>
      <c r="Y320" s="30"/>
    </row>
    <row r="321" spans="20:25" x14ac:dyDescent="0.3">
      <c r="T321" s="30"/>
      <c r="U321" s="30"/>
      <c r="V321" s="30"/>
      <c r="W321" s="30"/>
      <c r="X321" s="30"/>
      <c r="Y321" s="30"/>
    </row>
    <row r="322" spans="20:25" x14ac:dyDescent="0.3">
      <c r="T322" s="30"/>
      <c r="U322" s="30"/>
      <c r="V322" s="30"/>
      <c r="W322" s="30"/>
      <c r="X322" s="30"/>
      <c r="Y322" s="30"/>
    </row>
    <row r="323" spans="20:25" x14ac:dyDescent="0.3">
      <c r="T323" s="30"/>
      <c r="U323" s="30"/>
      <c r="V323" s="30"/>
      <c r="W323" s="30"/>
      <c r="X323" s="30"/>
      <c r="Y323" s="30"/>
    </row>
    <row r="324" spans="20:25" x14ac:dyDescent="0.3">
      <c r="T324" s="30"/>
      <c r="U324" s="30"/>
      <c r="V324" s="30"/>
      <c r="W324" s="30"/>
      <c r="X324" s="30"/>
      <c r="Y324" s="30"/>
    </row>
    <row r="325" spans="20:25" x14ac:dyDescent="0.3">
      <c r="T325" s="30"/>
      <c r="U325" s="30"/>
      <c r="V325" s="30"/>
      <c r="W325" s="30"/>
      <c r="X325" s="30"/>
      <c r="Y325" s="30"/>
    </row>
    <row r="326" spans="20:25" x14ac:dyDescent="0.3">
      <c r="T326" s="30"/>
      <c r="U326" s="30"/>
      <c r="V326" s="30"/>
      <c r="W326" s="30"/>
      <c r="X326" s="30"/>
      <c r="Y326" s="30"/>
    </row>
    <row r="327" spans="20:25" x14ac:dyDescent="0.3">
      <c r="T327" s="30"/>
      <c r="U327" s="30"/>
      <c r="V327" s="30"/>
      <c r="W327" s="30"/>
      <c r="X327" s="30"/>
      <c r="Y327" s="30"/>
    </row>
    <row r="328" spans="20:25" x14ac:dyDescent="0.3">
      <c r="T328" s="30"/>
      <c r="U328" s="30"/>
      <c r="V328" s="30"/>
      <c r="W328" s="30"/>
      <c r="X328" s="30"/>
      <c r="Y328" s="30"/>
    </row>
    <row r="329" spans="20:25" x14ac:dyDescent="0.3">
      <c r="T329" s="30"/>
      <c r="U329" s="30"/>
      <c r="V329" s="30"/>
      <c r="W329" s="30"/>
      <c r="X329" s="30"/>
      <c r="Y329" s="30"/>
    </row>
    <row r="330" spans="20:25" x14ac:dyDescent="0.3">
      <c r="T330" s="30"/>
      <c r="U330" s="30"/>
      <c r="V330" s="30"/>
      <c r="W330" s="30"/>
      <c r="X330" s="30"/>
      <c r="Y330" s="30"/>
    </row>
    <row r="331" spans="20:25" x14ac:dyDescent="0.3">
      <c r="T331" s="30"/>
      <c r="U331" s="30"/>
      <c r="V331" s="30"/>
      <c r="W331" s="30"/>
      <c r="X331" s="30"/>
      <c r="Y331" s="30"/>
    </row>
    <row r="332" spans="20:25" x14ac:dyDescent="0.3">
      <c r="T332" s="30"/>
      <c r="U332" s="30"/>
      <c r="V332" s="30"/>
      <c r="W332" s="30"/>
      <c r="X332" s="30"/>
      <c r="Y332" s="30"/>
    </row>
    <row r="333" spans="20:25" x14ac:dyDescent="0.3">
      <c r="T333" s="30"/>
      <c r="U333" s="30"/>
      <c r="V333" s="30"/>
      <c r="W333" s="30"/>
      <c r="X333" s="30"/>
      <c r="Y333" s="30"/>
    </row>
    <row r="334" spans="20:25" x14ac:dyDescent="0.3">
      <c r="T334" s="30"/>
      <c r="U334" s="30"/>
      <c r="V334" s="30"/>
      <c r="W334" s="30"/>
      <c r="X334" s="30"/>
      <c r="Y334" s="30"/>
    </row>
    <row r="335" spans="20:25" x14ac:dyDescent="0.3">
      <c r="T335" s="30"/>
      <c r="U335" s="30"/>
      <c r="V335" s="30"/>
      <c r="W335" s="30"/>
      <c r="X335" s="30"/>
      <c r="Y335" s="30"/>
    </row>
    <row r="336" spans="20:25" x14ac:dyDescent="0.3">
      <c r="T336" s="30"/>
      <c r="U336" s="30"/>
      <c r="V336" s="30"/>
      <c r="W336" s="30"/>
      <c r="X336" s="30"/>
      <c r="Y336" s="30"/>
    </row>
    <row r="337" spans="20:25" x14ac:dyDescent="0.3">
      <c r="T337" s="30"/>
      <c r="U337" s="30"/>
      <c r="V337" s="30"/>
      <c r="W337" s="30"/>
      <c r="X337" s="30"/>
      <c r="Y337" s="30"/>
    </row>
    <row r="338" spans="20:25" x14ac:dyDescent="0.3">
      <c r="T338" s="30"/>
      <c r="U338" s="30"/>
      <c r="V338" s="30"/>
      <c r="W338" s="30"/>
      <c r="X338" s="30"/>
      <c r="Y338" s="30"/>
    </row>
    <row r="339" spans="20:25" x14ac:dyDescent="0.3">
      <c r="T339" s="30"/>
      <c r="U339" s="30"/>
      <c r="V339" s="30"/>
      <c r="W339" s="30"/>
      <c r="X339" s="30"/>
      <c r="Y339" s="30"/>
    </row>
    <row r="340" spans="20:25" x14ac:dyDescent="0.3">
      <c r="T340" s="30"/>
      <c r="U340" s="30"/>
      <c r="V340" s="30"/>
      <c r="W340" s="30"/>
      <c r="X340" s="30"/>
      <c r="Y340" s="30"/>
    </row>
    <row r="341" spans="20:25" x14ac:dyDescent="0.3">
      <c r="T341" s="30"/>
      <c r="U341" s="30"/>
      <c r="V341" s="30"/>
      <c r="W341" s="30"/>
      <c r="X341" s="30"/>
      <c r="Y341" s="30"/>
    </row>
    <row r="342" spans="20:25" x14ac:dyDescent="0.3">
      <c r="T342" s="30"/>
      <c r="U342" s="30"/>
      <c r="V342" s="30"/>
      <c r="W342" s="30"/>
      <c r="X342" s="30"/>
      <c r="Y342" s="30"/>
    </row>
    <row r="343" spans="20:25" x14ac:dyDescent="0.3">
      <c r="T343" s="30"/>
      <c r="U343" s="30"/>
      <c r="V343" s="30"/>
      <c r="W343" s="30"/>
      <c r="X343" s="30"/>
      <c r="Y343" s="30"/>
    </row>
    <row r="344" spans="20:25" x14ac:dyDescent="0.3">
      <c r="T344" s="30"/>
      <c r="U344" s="30"/>
      <c r="V344" s="30"/>
      <c r="W344" s="30"/>
      <c r="X344" s="30"/>
      <c r="Y344" s="30"/>
    </row>
    <row r="345" spans="20:25" x14ac:dyDescent="0.3">
      <c r="T345" s="30"/>
      <c r="U345" s="30"/>
      <c r="V345" s="30"/>
      <c r="W345" s="30"/>
      <c r="X345" s="30"/>
      <c r="Y345" s="30"/>
    </row>
    <row r="346" spans="20:25" x14ac:dyDescent="0.3">
      <c r="T346" s="30"/>
      <c r="U346" s="30"/>
      <c r="V346" s="30"/>
      <c r="W346" s="30"/>
      <c r="X346" s="30"/>
      <c r="Y346" s="30"/>
    </row>
    <row r="347" spans="20:25" x14ac:dyDescent="0.3">
      <c r="T347" s="30"/>
      <c r="U347" s="30"/>
      <c r="V347" s="30"/>
      <c r="W347" s="30"/>
      <c r="X347" s="30"/>
      <c r="Y347" s="30"/>
    </row>
    <row r="348" spans="20:25" x14ac:dyDescent="0.3">
      <c r="T348" s="30"/>
      <c r="U348" s="30"/>
      <c r="V348" s="30"/>
      <c r="W348" s="30"/>
      <c r="X348" s="30"/>
      <c r="Y348" s="30"/>
    </row>
    <row r="349" spans="20:25" x14ac:dyDescent="0.3">
      <c r="T349" s="30"/>
      <c r="U349" s="30"/>
      <c r="V349" s="30"/>
      <c r="W349" s="30"/>
      <c r="X349" s="30"/>
      <c r="Y349" s="30"/>
    </row>
    <row r="350" spans="20:25" x14ac:dyDescent="0.3">
      <c r="T350" s="30"/>
      <c r="U350" s="30"/>
      <c r="V350" s="30"/>
      <c r="W350" s="30"/>
      <c r="X350" s="30"/>
      <c r="Y350" s="30"/>
    </row>
    <row r="351" spans="20:25" x14ac:dyDescent="0.3">
      <c r="T351" s="30"/>
      <c r="U351" s="30"/>
      <c r="V351" s="30"/>
      <c r="W351" s="30"/>
      <c r="X351" s="30"/>
      <c r="Y351" s="30"/>
    </row>
    <row r="352" spans="20:25" x14ac:dyDescent="0.3">
      <c r="T352" s="30"/>
      <c r="U352" s="30"/>
      <c r="V352" s="30"/>
      <c r="W352" s="30"/>
      <c r="X352" s="30"/>
      <c r="Y352" s="30"/>
    </row>
    <row r="353" spans="20:25" x14ac:dyDescent="0.3">
      <c r="T353" s="30"/>
      <c r="U353" s="30"/>
      <c r="V353" s="30"/>
      <c r="W353" s="30"/>
      <c r="X353" s="30"/>
      <c r="Y353" s="30"/>
    </row>
    <row r="354" spans="20:25" x14ac:dyDescent="0.3">
      <c r="T354" s="30"/>
      <c r="U354" s="30"/>
      <c r="V354" s="30"/>
      <c r="W354" s="30"/>
      <c r="X354" s="30"/>
      <c r="Y354" s="30"/>
    </row>
    <row r="355" spans="20:25" x14ac:dyDescent="0.3">
      <c r="T355" s="30"/>
      <c r="U355" s="30"/>
      <c r="V355" s="30"/>
      <c r="W355" s="30"/>
      <c r="X355" s="30"/>
      <c r="Y355" s="30"/>
    </row>
    <row r="356" spans="20:25" x14ac:dyDescent="0.3">
      <c r="T356" s="30"/>
      <c r="U356" s="30"/>
      <c r="V356" s="30"/>
      <c r="W356" s="30"/>
      <c r="X356" s="30"/>
      <c r="Y356" s="30"/>
    </row>
    <row r="357" spans="20:25" x14ac:dyDescent="0.3">
      <c r="T357" s="30"/>
      <c r="U357" s="30"/>
      <c r="V357" s="30"/>
      <c r="W357" s="30"/>
      <c r="X357" s="30"/>
      <c r="Y357" s="30"/>
    </row>
    <row r="358" spans="20:25" x14ac:dyDescent="0.3">
      <c r="T358" s="30"/>
      <c r="U358" s="30"/>
      <c r="V358" s="30"/>
      <c r="W358" s="30"/>
      <c r="X358" s="30"/>
      <c r="Y358" s="30"/>
    </row>
    <row r="359" spans="20:25" x14ac:dyDescent="0.3">
      <c r="T359" s="30"/>
      <c r="U359" s="30"/>
      <c r="V359" s="30"/>
      <c r="W359" s="30"/>
      <c r="X359" s="30"/>
      <c r="Y359" s="30"/>
    </row>
    <row r="360" spans="20:25" x14ac:dyDescent="0.3">
      <c r="T360" s="30"/>
      <c r="U360" s="30"/>
      <c r="V360" s="30"/>
      <c r="W360" s="30"/>
      <c r="X360" s="30"/>
      <c r="Y360" s="30"/>
    </row>
    <row r="361" spans="20:25" x14ac:dyDescent="0.3">
      <c r="T361" s="30"/>
      <c r="U361" s="30"/>
      <c r="V361" s="30"/>
      <c r="W361" s="30"/>
      <c r="X361" s="30"/>
      <c r="Y361" s="30"/>
    </row>
    <row r="362" spans="20:25" x14ac:dyDescent="0.3">
      <c r="T362" s="30"/>
      <c r="U362" s="30"/>
      <c r="V362" s="30"/>
      <c r="W362" s="30"/>
      <c r="X362" s="30"/>
      <c r="Y362" s="30"/>
    </row>
    <row r="363" spans="20:25" x14ac:dyDescent="0.3">
      <c r="T363" s="30"/>
      <c r="U363" s="30"/>
      <c r="V363" s="30"/>
      <c r="W363" s="30"/>
      <c r="X363" s="30"/>
      <c r="Y363" s="30"/>
    </row>
    <row r="364" spans="20:25" x14ac:dyDescent="0.3">
      <c r="T364" s="30"/>
      <c r="U364" s="30"/>
      <c r="V364" s="30"/>
      <c r="W364" s="30"/>
      <c r="X364" s="30"/>
      <c r="Y364" s="30"/>
    </row>
    <row r="365" spans="20:25" x14ac:dyDescent="0.3">
      <c r="T365" s="30"/>
      <c r="U365" s="30"/>
      <c r="V365" s="30"/>
      <c r="W365" s="30"/>
      <c r="X365" s="30"/>
      <c r="Y365" s="30"/>
    </row>
    <row r="366" spans="20:25" x14ac:dyDescent="0.3">
      <c r="T366" s="30"/>
      <c r="U366" s="30"/>
      <c r="V366" s="30"/>
      <c r="W366" s="30"/>
      <c r="X366" s="30"/>
      <c r="Y366" s="30"/>
    </row>
    <row r="367" spans="20:25" x14ac:dyDescent="0.3">
      <c r="T367" s="30"/>
      <c r="U367" s="30"/>
      <c r="V367" s="30"/>
      <c r="W367" s="30"/>
      <c r="X367" s="30"/>
      <c r="Y367" s="30"/>
    </row>
    <row r="368" spans="20:25" x14ac:dyDescent="0.3">
      <c r="T368" s="30"/>
      <c r="U368" s="30"/>
      <c r="V368" s="30"/>
      <c r="W368" s="30"/>
      <c r="X368" s="30"/>
      <c r="Y368" s="30"/>
    </row>
    <row r="369" spans="20:25" x14ac:dyDescent="0.3">
      <c r="T369" s="30"/>
      <c r="U369" s="30"/>
      <c r="V369" s="30"/>
      <c r="W369" s="30"/>
      <c r="X369" s="30"/>
      <c r="Y369" s="30"/>
    </row>
    <row r="370" spans="20:25" x14ac:dyDescent="0.3">
      <c r="T370" s="30"/>
      <c r="U370" s="30"/>
      <c r="V370" s="30"/>
      <c r="W370" s="30"/>
      <c r="X370" s="30"/>
      <c r="Y370" s="30"/>
    </row>
    <row r="371" spans="20:25" x14ac:dyDescent="0.3">
      <c r="T371" s="30"/>
      <c r="U371" s="30"/>
      <c r="V371" s="30"/>
      <c r="W371" s="30"/>
      <c r="X371" s="30"/>
      <c r="Y371" s="30"/>
    </row>
    <row r="372" spans="20:25" x14ac:dyDescent="0.3">
      <c r="T372" s="30"/>
      <c r="U372" s="30"/>
      <c r="V372" s="30"/>
      <c r="W372" s="30"/>
      <c r="X372" s="30"/>
      <c r="Y372" s="30"/>
    </row>
    <row r="373" spans="20:25" x14ac:dyDescent="0.3">
      <c r="T373" s="30"/>
      <c r="U373" s="30"/>
      <c r="V373" s="30"/>
      <c r="W373" s="30"/>
      <c r="X373" s="30"/>
      <c r="Y373" s="30"/>
    </row>
    <row r="374" spans="20:25" x14ac:dyDescent="0.3">
      <c r="T374" s="30"/>
      <c r="U374" s="30"/>
      <c r="V374" s="30"/>
      <c r="W374" s="30"/>
      <c r="X374" s="30"/>
      <c r="Y374" s="30"/>
    </row>
    <row r="375" spans="20:25" x14ac:dyDescent="0.3">
      <c r="T375" s="30"/>
      <c r="U375" s="30"/>
      <c r="V375" s="30"/>
      <c r="W375" s="30"/>
      <c r="X375" s="30"/>
      <c r="Y375" s="30"/>
    </row>
    <row r="376" spans="20:25" x14ac:dyDescent="0.3">
      <c r="T376" s="30"/>
      <c r="U376" s="30"/>
      <c r="V376" s="30"/>
      <c r="W376" s="30"/>
      <c r="X376" s="30"/>
      <c r="Y376" s="30"/>
    </row>
    <row r="377" spans="20:25" x14ac:dyDescent="0.3">
      <c r="T377" s="30"/>
      <c r="U377" s="30"/>
      <c r="V377" s="30"/>
      <c r="W377" s="30"/>
      <c r="X377" s="30"/>
      <c r="Y377" s="30"/>
    </row>
    <row r="378" spans="20:25" x14ac:dyDescent="0.3">
      <c r="T378" s="30"/>
      <c r="U378" s="30"/>
      <c r="V378" s="30"/>
      <c r="W378" s="30"/>
      <c r="X378" s="30"/>
      <c r="Y378" s="30"/>
    </row>
    <row r="379" spans="20:25" x14ac:dyDescent="0.3">
      <c r="T379" s="30"/>
      <c r="U379" s="30"/>
      <c r="V379" s="30"/>
      <c r="W379" s="30"/>
      <c r="X379" s="30"/>
      <c r="Y379" s="30"/>
    </row>
    <row r="380" spans="20:25" x14ac:dyDescent="0.3">
      <c r="T380" s="30"/>
      <c r="U380" s="30"/>
      <c r="V380" s="30"/>
      <c r="W380" s="30"/>
      <c r="X380" s="30"/>
      <c r="Y380" s="30"/>
    </row>
    <row r="381" spans="20:25" x14ac:dyDescent="0.3">
      <c r="T381" s="30"/>
      <c r="U381" s="30"/>
      <c r="V381" s="30"/>
      <c r="W381" s="30"/>
      <c r="X381" s="30"/>
      <c r="Y381" s="30"/>
    </row>
    <row r="382" spans="20:25" x14ac:dyDescent="0.3">
      <c r="T382" s="30"/>
      <c r="U382" s="30"/>
      <c r="V382" s="30"/>
      <c r="W382" s="30"/>
      <c r="X382" s="30"/>
      <c r="Y382" s="30"/>
    </row>
    <row r="383" spans="20:25" x14ac:dyDescent="0.3">
      <c r="T383" s="30"/>
      <c r="U383" s="30"/>
      <c r="V383" s="30"/>
      <c r="W383" s="30"/>
      <c r="X383" s="30"/>
      <c r="Y383" s="30"/>
    </row>
    <row r="384" spans="20:25" x14ac:dyDescent="0.3">
      <c r="T384" s="30"/>
      <c r="U384" s="30"/>
      <c r="V384" s="30"/>
      <c r="W384" s="30"/>
      <c r="X384" s="30"/>
      <c r="Y384" s="30"/>
    </row>
    <row r="385" spans="20:25" x14ac:dyDescent="0.3">
      <c r="T385" s="30"/>
      <c r="U385" s="30"/>
      <c r="V385" s="30"/>
      <c r="W385" s="30"/>
      <c r="X385" s="30"/>
      <c r="Y385" s="30"/>
    </row>
    <row r="386" spans="20:25" x14ac:dyDescent="0.3">
      <c r="T386" s="30"/>
      <c r="U386" s="30"/>
      <c r="V386" s="30"/>
      <c r="W386" s="30"/>
      <c r="X386" s="30"/>
      <c r="Y386" s="30"/>
    </row>
    <row r="387" spans="20:25" x14ac:dyDescent="0.3">
      <c r="T387" s="30"/>
      <c r="U387" s="30"/>
      <c r="V387" s="30"/>
      <c r="W387" s="30"/>
      <c r="X387" s="30"/>
      <c r="Y387" s="30"/>
    </row>
    <row r="388" spans="20:25" x14ac:dyDescent="0.3">
      <c r="T388" s="30"/>
      <c r="U388" s="30"/>
      <c r="V388" s="30"/>
      <c r="W388" s="30"/>
      <c r="X388" s="30"/>
      <c r="Y388" s="30"/>
    </row>
    <row r="389" spans="20:25" x14ac:dyDescent="0.3">
      <c r="T389" s="30"/>
      <c r="U389" s="30"/>
      <c r="V389" s="30"/>
      <c r="W389" s="30"/>
      <c r="X389" s="30"/>
      <c r="Y389" s="30"/>
    </row>
    <row r="390" spans="20:25" x14ac:dyDescent="0.3">
      <c r="T390" s="30"/>
      <c r="U390" s="30"/>
      <c r="V390" s="30"/>
      <c r="W390" s="30"/>
      <c r="X390" s="30"/>
      <c r="Y390" s="30"/>
    </row>
    <row r="391" spans="20:25" x14ac:dyDescent="0.3">
      <c r="T391" s="30"/>
      <c r="U391" s="30"/>
      <c r="V391" s="30"/>
      <c r="W391" s="30"/>
      <c r="X391" s="30"/>
      <c r="Y391" s="30"/>
    </row>
    <row r="392" spans="20:25" x14ac:dyDescent="0.3">
      <c r="T392" s="30"/>
      <c r="U392" s="30"/>
      <c r="V392" s="30"/>
      <c r="W392" s="30"/>
      <c r="X392" s="30"/>
      <c r="Y392" s="30"/>
    </row>
    <row r="393" spans="20:25" x14ac:dyDescent="0.3">
      <c r="T393" s="30"/>
      <c r="U393" s="30"/>
      <c r="V393" s="30"/>
      <c r="W393" s="30"/>
      <c r="X393" s="30"/>
      <c r="Y393" s="30"/>
    </row>
    <row r="394" spans="20:25" x14ac:dyDescent="0.3">
      <c r="T394" s="30"/>
      <c r="U394" s="30"/>
      <c r="V394" s="30"/>
      <c r="W394" s="30"/>
      <c r="X394" s="30"/>
      <c r="Y394" s="30"/>
    </row>
    <row r="395" spans="20:25" x14ac:dyDescent="0.3">
      <c r="T395" s="30"/>
      <c r="U395" s="30"/>
      <c r="V395" s="30"/>
      <c r="W395" s="30"/>
      <c r="X395" s="30"/>
      <c r="Y395" s="30"/>
    </row>
    <row r="396" spans="20:25" x14ac:dyDescent="0.3">
      <c r="T396" s="30"/>
      <c r="U396" s="30"/>
      <c r="V396" s="30"/>
      <c r="W396" s="30"/>
      <c r="X396" s="30"/>
      <c r="Y396" s="30"/>
    </row>
    <row r="397" spans="20:25" x14ac:dyDescent="0.3">
      <c r="T397" s="30"/>
      <c r="U397" s="30"/>
      <c r="V397" s="30"/>
      <c r="W397" s="30"/>
      <c r="X397" s="30"/>
      <c r="Y397" s="30"/>
    </row>
    <row r="398" spans="20:25" x14ac:dyDescent="0.3">
      <c r="T398" s="30"/>
      <c r="U398" s="30"/>
      <c r="V398" s="30"/>
      <c r="W398" s="30"/>
      <c r="X398" s="30"/>
      <c r="Y398" s="30"/>
    </row>
    <row r="399" spans="20:25" x14ac:dyDescent="0.3">
      <c r="T399" s="30"/>
      <c r="U399" s="30"/>
      <c r="V399" s="30"/>
      <c r="W399" s="30"/>
      <c r="X399" s="30"/>
      <c r="Y399" s="30"/>
    </row>
    <row r="400" spans="20:25" x14ac:dyDescent="0.3">
      <c r="T400" s="30"/>
      <c r="U400" s="30"/>
      <c r="V400" s="30"/>
      <c r="W400" s="30"/>
      <c r="X400" s="30"/>
      <c r="Y400" s="30"/>
    </row>
    <row r="401" spans="20:25" x14ac:dyDescent="0.3">
      <c r="T401" s="30"/>
      <c r="U401" s="30"/>
      <c r="V401" s="30"/>
      <c r="W401" s="30"/>
      <c r="X401" s="30"/>
      <c r="Y401" s="30"/>
    </row>
    <row r="402" spans="20:25" x14ac:dyDescent="0.3">
      <c r="T402" s="30"/>
      <c r="U402" s="30"/>
      <c r="V402" s="30"/>
      <c r="W402" s="30"/>
      <c r="X402" s="30"/>
      <c r="Y402" s="30"/>
    </row>
    <row r="403" spans="20:25" x14ac:dyDescent="0.3">
      <c r="T403" s="30"/>
      <c r="U403" s="30"/>
      <c r="V403" s="30"/>
      <c r="W403" s="30"/>
      <c r="X403" s="30"/>
      <c r="Y403" s="30"/>
    </row>
    <row r="404" spans="20:25" x14ac:dyDescent="0.3">
      <c r="T404" s="30"/>
      <c r="U404" s="30"/>
      <c r="V404" s="30"/>
      <c r="W404" s="30"/>
      <c r="X404" s="30"/>
      <c r="Y404" s="30"/>
    </row>
    <row r="405" spans="20:25" x14ac:dyDescent="0.3">
      <c r="T405" s="30"/>
      <c r="U405" s="30"/>
      <c r="V405" s="30"/>
      <c r="W405" s="30"/>
      <c r="X405" s="30"/>
      <c r="Y405" s="30"/>
    </row>
    <row r="406" spans="20:25" x14ac:dyDescent="0.3">
      <c r="T406" s="30"/>
      <c r="U406" s="30"/>
      <c r="V406" s="30"/>
      <c r="W406" s="30"/>
      <c r="X406" s="30"/>
      <c r="Y406" s="30"/>
    </row>
    <row r="407" spans="20:25" x14ac:dyDescent="0.3">
      <c r="T407" s="30"/>
      <c r="U407" s="30"/>
      <c r="V407" s="30"/>
      <c r="W407" s="30"/>
      <c r="X407" s="30"/>
      <c r="Y407" s="30"/>
    </row>
    <row r="408" spans="20:25" x14ac:dyDescent="0.3">
      <c r="T408" s="30"/>
      <c r="U408" s="30"/>
      <c r="V408" s="30"/>
      <c r="W408" s="30"/>
      <c r="X408" s="30"/>
      <c r="Y408" s="30"/>
    </row>
    <row r="409" spans="20:25" x14ac:dyDescent="0.3">
      <c r="T409" s="30"/>
      <c r="U409" s="30"/>
      <c r="V409" s="30"/>
      <c r="W409" s="30"/>
      <c r="X409" s="30"/>
      <c r="Y409" s="30"/>
    </row>
    <row r="410" spans="20:25" x14ac:dyDescent="0.3">
      <c r="T410" s="30"/>
      <c r="U410" s="30"/>
      <c r="V410" s="30"/>
      <c r="W410" s="30"/>
      <c r="X410" s="30"/>
      <c r="Y410" s="30"/>
    </row>
    <row r="411" spans="20:25" x14ac:dyDescent="0.3">
      <c r="T411" s="30"/>
      <c r="U411" s="30"/>
      <c r="V411" s="30"/>
      <c r="W411" s="30"/>
      <c r="X411" s="30"/>
      <c r="Y411" s="30"/>
    </row>
    <row r="412" spans="20:25" x14ac:dyDescent="0.3">
      <c r="T412" s="30"/>
      <c r="U412" s="30"/>
      <c r="V412" s="30"/>
      <c r="W412" s="30"/>
      <c r="X412" s="30"/>
      <c r="Y412" s="30"/>
    </row>
    <row r="413" spans="20:25" x14ac:dyDescent="0.3">
      <c r="T413" s="30"/>
      <c r="U413" s="30"/>
      <c r="V413" s="30"/>
      <c r="W413" s="30"/>
      <c r="X413" s="30"/>
      <c r="Y413" s="30"/>
    </row>
    <row r="414" spans="20:25" x14ac:dyDescent="0.3">
      <c r="T414" s="30"/>
      <c r="U414" s="30"/>
      <c r="V414" s="30"/>
      <c r="W414" s="30"/>
      <c r="X414" s="30"/>
      <c r="Y414" s="30"/>
    </row>
    <row r="415" spans="20:25" x14ac:dyDescent="0.3">
      <c r="T415" s="30"/>
      <c r="U415" s="30"/>
      <c r="V415" s="30"/>
      <c r="W415" s="30"/>
      <c r="X415" s="30"/>
      <c r="Y415" s="30"/>
    </row>
    <row r="416" spans="20:25" x14ac:dyDescent="0.3">
      <c r="T416" s="30"/>
      <c r="U416" s="30"/>
      <c r="V416" s="30"/>
      <c r="W416" s="30"/>
      <c r="X416" s="30"/>
      <c r="Y416" s="30"/>
    </row>
    <row r="417" spans="20:25" x14ac:dyDescent="0.3">
      <c r="T417" s="30"/>
      <c r="U417" s="30"/>
      <c r="V417" s="30"/>
      <c r="W417" s="30"/>
      <c r="X417" s="30"/>
      <c r="Y417" s="30"/>
    </row>
    <row r="418" spans="20:25" x14ac:dyDescent="0.3">
      <c r="T418" s="30"/>
      <c r="U418" s="30"/>
      <c r="V418" s="30"/>
      <c r="W418" s="30"/>
      <c r="X418" s="30"/>
      <c r="Y418" s="30"/>
    </row>
    <row r="419" spans="20:25" x14ac:dyDescent="0.3">
      <c r="T419" s="30"/>
      <c r="U419" s="30"/>
      <c r="V419" s="30"/>
      <c r="W419" s="30"/>
      <c r="X419" s="30"/>
      <c r="Y419" s="30"/>
    </row>
    <row r="420" spans="20:25" x14ac:dyDescent="0.3">
      <c r="T420" s="30"/>
      <c r="U420" s="30"/>
      <c r="V420" s="30"/>
      <c r="W420" s="30"/>
      <c r="X420" s="30"/>
      <c r="Y420" s="30"/>
    </row>
    <row r="421" spans="20:25" x14ac:dyDescent="0.3">
      <c r="T421" s="30"/>
      <c r="U421" s="30"/>
      <c r="V421" s="30"/>
      <c r="W421" s="30"/>
      <c r="X421" s="30"/>
      <c r="Y421" s="30"/>
    </row>
    <row r="422" spans="20:25" x14ac:dyDescent="0.3">
      <c r="T422" s="30"/>
      <c r="U422" s="30"/>
      <c r="V422" s="30"/>
      <c r="W422" s="30"/>
      <c r="X422" s="30"/>
      <c r="Y422" s="30"/>
    </row>
    <row r="423" spans="20:25" x14ac:dyDescent="0.3">
      <c r="T423" s="30"/>
      <c r="U423" s="30"/>
      <c r="V423" s="30"/>
      <c r="W423" s="30"/>
      <c r="X423" s="30"/>
      <c r="Y423" s="30"/>
    </row>
    <row r="424" spans="20:25" x14ac:dyDescent="0.3">
      <c r="T424" s="30"/>
      <c r="U424" s="30"/>
      <c r="V424" s="30"/>
      <c r="W424" s="30"/>
      <c r="X424" s="30"/>
      <c r="Y424" s="30"/>
    </row>
    <row r="425" spans="20:25" x14ac:dyDescent="0.3">
      <c r="T425" s="30"/>
      <c r="U425" s="30"/>
      <c r="V425" s="30"/>
      <c r="W425" s="30"/>
      <c r="X425" s="30"/>
      <c r="Y425" s="30"/>
    </row>
    <row r="426" spans="20:25" x14ac:dyDescent="0.3">
      <c r="T426" s="30"/>
      <c r="U426" s="30"/>
      <c r="V426" s="30"/>
      <c r="W426" s="30"/>
      <c r="X426" s="30"/>
      <c r="Y426" s="30"/>
    </row>
    <row r="427" spans="20:25" x14ac:dyDescent="0.3">
      <c r="T427" s="30"/>
      <c r="U427" s="30"/>
      <c r="V427" s="30"/>
      <c r="W427" s="30"/>
      <c r="X427" s="30"/>
      <c r="Y427" s="30"/>
    </row>
    <row r="428" spans="20:25" x14ac:dyDescent="0.3">
      <c r="T428" s="30"/>
      <c r="U428" s="30"/>
      <c r="V428" s="30"/>
      <c r="W428" s="30"/>
      <c r="X428" s="30"/>
      <c r="Y428" s="30"/>
    </row>
    <row r="429" spans="20:25" x14ac:dyDescent="0.3">
      <c r="T429" s="30"/>
      <c r="U429" s="30"/>
      <c r="V429" s="30"/>
      <c r="W429" s="30"/>
      <c r="X429" s="30"/>
      <c r="Y429" s="30"/>
    </row>
    <row r="430" spans="20:25" x14ac:dyDescent="0.3">
      <c r="T430" s="30"/>
      <c r="U430" s="30"/>
      <c r="V430" s="30"/>
      <c r="W430" s="30"/>
      <c r="X430" s="30"/>
      <c r="Y430" s="30"/>
    </row>
    <row r="431" spans="20:25" x14ac:dyDescent="0.3">
      <c r="T431" s="30"/>
      <c r="U431" s="30"/>
      <c r="V431" s="30"/>
      <c r="W431" s="30"/>
      <c r="X431" s="30"/>
      <c r="Y431" s="30"/>
    </row>
    <row r="432" spans="20:25" x14ac:dyDescent="0.3">
      <c r="T432" s="30"/>
      <c r="U432" s="30"/>
      <c r="V432" s="30"/>
      <c r="W432" s="30"/>
      <c r="X432" s="30"/>
      <c r="Y432" s="30"/>
    </row>
    <row r="433" spans="20:25" x14ac:dyDescent="0.3">
      <c r="T433" s="30"/>
      <c r="U433" s="30"/>
      <c r="V433" s="30"/>
      <c r="W433" s="30"/>
      <c r="X433" s="30"/>
      <c r="Y433" s="30"/>
    </row>
    <row r="434" spans="20:25" x14ac:dyDescent="0.3">
      <c r="T434" s="30"/>
      <c r="U434" s="30"/>
      <c r="V434" s="30"/>
      <c r="W434" s="30"/>
      <c r="X434" s="30"/>
      <c r="Y434" s="30"/>
    </row>
    <row r="435" spans="20:25" x14ac:dyDescent="0.3">
      <c r="T435" s="30"/>
      <c r="U435" s="30"/>
      <c r="V435" s="30"/>
      <c r="W435" s="30"/>
      <c r="X435" s="30"/>
      <c r="Y435" s="30"/>
    </row>
    <row r="436" spans="20:25" x14ac:dyDescent="0.3">
      <c r="T436" s="30"/>
      <c r="U436" s="30"/>
      <c r="V436" s="30"/>
      <c r="W436" s="30"/>
      <c r="X436" s="30"/>
      <c r="Y436" s="30"/>
    </row>
    <row r="437" spans="20:25" x14ac:dyDescent="0.3">
      <c r="T437" s="30"/>
      <c r="U437" s="30"/>
      <c r="V437" s="30"/>
      <c r="W437" s="30"/>
      <c r="X437" s="30"/>
      <c r="Y437" s="30"/>
    </row>
    <row r="438" spans="20:25" x14ac:dyDescent="0.3">
      <c r="T438" s="30"/>
      <c r="U438" s="30"/>
      <c r="V438" s="30"/>
      <c r="W438" s="30"/>
      <c r="X438" s="30"/>
      <c r="Y438" s="30"/>
    </row>
    <row r="439" spans="20:25" x14ac:dyDescent="0.3">
      <c r="T439" s="30"/>
      <c r="U439" s="30"/>
      <c r="V439" s="30"/>
      <c r="W439" s="30"/>
      <c r="X439" s="30"/>
      <c r="Y439" s="30"/>
    </row>
    <row r="440" spans="20:25" x14ac:dyDescent="0.3">
      <c r="T440" s="30"/>
      <c r="U440" s="30"/>
      <c r="V440" s="30"/>
      <c r="W440" s="30"/>
      <c r="X440" s="30"/>
      <c r="Y440" s="30"/>
    </row>
    <row r="441" spans="20:25" x14ac:dyDescent="0.3">
      <c r="T441" s="30"/>
      <c r="U441" s="30"/>
      <c r="V441" s="30"/>
      <c r="W441" s="30"/>
      <c r="X441" s="30"/>
      <c r="Y441" s="30"/>
    </row>
    <row r="442" spans="20:25" x14ac:dyDescent="0.3">
      <c r="T442" s="30"/>
      <c r="U442" s="30"/>
      <c r="V442" s="30"/>
      <c r="W442" s="30"/>
      <c r="X442" s="30"/>
      <c r="Y442" s="30"/>
    </row>
    <row r="443" spans="20:25" x14ac:dyDescent="0.3">
      <c r="T443" s="30"/>
      <c r="U443" s="30"/>
      <c r="V443" s="30"/>
      <c r="W443" s="30"/>
      <c r="X443" s="30"/>
      <c r="Y443" s="30"/>
    </row>
    <row r="444" spans="20:25" x14ac:dyDescent="0.3">
      <c r="T444" s="30"/>
      <c r="U444" s="30"/>
      <c r="V444" s="30"/>
      <c r="W444" s="30"/>
      <c r="X444" s="30"/>
      <c r="Y444" s="30"/>
    </row>
    <row r="445" spans="20:25" x14ac:dyDescent="0.3">
      <c r="T445" s="30"/>
      <c r="U445" s="30"/>
      <c r="V445" s="30"/>
      <c r="W445" s="30"/>
      <c r="X445" s="30"/>
      <c r="Y445" s="30"/>
    </row>
    <row r="446" spans="20:25" x14ac:dyDescent="0.3">
      <c r="T446" s="30"/>
      <c r="U446" s="30"/>
      <c r="V446" s="30"/>
      <c r="W446" s="30"/>
      <c r="X446" s="30"/>
      <c r="Y446" s="30"/>
    </row>
    <row r="447" spans="20:25" x14ac:dyDescent="0.3">
      <c r="T447" s="30"/>
      <c r="U447" s="30"/>
      <c r="V447" s="30"/>
      <c r="W447" s="30"/>
      <c r="X447" s="30"/>
      <c r="Y447" s="30"/>
    </row>
    <row r="448" spans="20:25" x14ac:dyDescent="0.3">
      <c r="T448" s="30"/>
      <c r="U448" s="30"/>
      <c r="V448" s="30"/>
      <c r="W448" s="30"/>
      <c r="X448" s="30"/>
      <c r="Y448" s="30"/>
    </row>
    <row r="449" spans="20:25" x14ac:dyDescent="0.3">
      <c r="T449" s="30"/>
      <c r="U449" s="30"/>
      <c r="V449" s="30"/>
      <c r="W449" s="30"/>
      <c r="X449" s="30"/>
      <c r="Y449" s="30"/>
    </row>
    <row r="450" spans="20:25" x14ac:dyDescent="0.3">
      <c r="T450" s="30"/>
      <c r="U450" s="30"/>
      <c r="V450" s="30"/>
      <c r="W450" s="30"/>
      <c r="X450" s="30"/>
      <c r="Y450" s="30"/>
    </row>
    <row r="451" spans="20:25" x14ac:dyDescent="0.3">
      <c r="T451" s="30"/>
      <c r="U451" s="30"/>
      <c r="V451" s="30"/>
      <c r="W451" s="30"/>
      <c r="X451" s="30"/>
      <c r="Y451" s="30"/>
    </row>
    <row r="452" spans="20:25" x14ac:dyDescent="0.3">
      <c r="T452" s="30"/>
      <c r="U452" s="30"/>
      <c r="V452" s="30"/>
      <c r="W452" s="30"/>
      <c r="X452" s="30"/>
      <c r="Y452" s="30"/>
    </row>
    <row r="453" spans="20:25" x14ac:dyDescent="0.3">
      <c r="T453" s="30"/>
      <c r="U453" s="30"/>
      <c r="V453" s="30"/>
      <c r="W453" s="30"/>
      <c r="X453" s="30"/>
      <c r="Y453" s="30"/>
    </row>
    <row r="454" spans="20:25" x14ac:dyDescent="0.3">
      <c r="T454" s="30"/>
      <c r="U454" s="30"/>
      <c r="V454" s="30"/>
      <c r="W454" s="30"/>
      <c r="X454" s="30"/>
      <c r="Y454" s="30"/>
    </row>
    <row r="455" spans="20:25" x14ac:dyDescent="0.3">
      <c r="T455" s="30"/>
      <c r="U455" s="30"/>
      <c r="V455" s="30"/>
      <c r="W455" s="30"/>
      <c r="X455" s="30"/>
      <c r="Y455" s="30"/>
    </row>
    <row r="456" spans="20:25" x14ac:dyDescent="0.3">
      <c r="T456" s="30"/>
      <c r="U456" s="30"/>
      <c r="V456" s="30"/>
      <c r="W456" s="30"/>
      <c r="X456" s="30"/>
      <c r="Y456" s="30"/>
    </row>
    <row r="457" spans="20:25" x14ac:dyDescent="0.3">
      <c r="T457" s="30"/>
      <c r="U457" s="30"/>
      <c r="V457" s="30"/>
      <c r="W457" s="30"/>
      <c r="X457" s="30"/>
      <c r="Y457" s="30"/>
    </row>
    <row r="458" spans="20:25" x14ac:dyDescent="0.3">
      <c r="T458" s="30"/>
      <c r="U458" s="30"/>
      <c r="V458" s="30"/>
      <c r="W458" s="30"/>
      <c r="X458" s="30"/>
      <c r="Y458" s="30"/>
    </row>
    <row r="459" spans="20:25" x14ac:dyDescent="0.3">
      <c r="T459" s="30"/>
      <c r="U459" s="30"/>
      <c r="V459" s="30"/>
      <c r="W459" s="30"/>
      <c r="X459" s="30"/>
      <c r="Y459" s="30"/>
    </row>
    <row r="460" spans="20:25" x14ac:dyDescent="0.3">
      <c r="T460" s="30"/>
      <c r="U460" s="30"/>
      <c r="V460" s="30"/>
      <c r="W460" s="30"/>
      <c r="X460" s="30"/>
      <c r="Y460" s="30"/>
    </row>
    <row r="461" spans="20:25" x14ac:dyDescent="0.3">
      <c r="T461" s="30"/>
      <c r="U461" s="30"/>
      <c r="V461" s="30"/>
      <c r="W461" s="30"/>
      <c r="X461" s="30"/>
      <c r="Y461" s="30"/>
    </row>
    <row r="462" spans="20:25" x14ac:dyDescent="0.3">
      <c r="T462" s="30"/>
      <c r="U462" s="30"/>
      <c r="V462" s="30"/>
      <c r="W462" s="30"/>
      <c r="X462" s="30"/>
      <c r="Y462" s="30"/>
    </row>
    <row r="463" spans="20:25" x14ac:dyDescent="0.3">
      <c r="T463" s="30"/>
      <c r="U463" s="30"/>
      <c r="V463" s="30"/>
      <c r="W463" s="30"/>
      <c r="X463" s="30"/>
      <c r="Y463" s="30"/>
    </row>
    <row r="464" spans="20:25" x14ac:dyDescent="0.3">
      <c r="T464" s="30"/>
      <c r="U464" s="30"/>
      <c r="V464" s="30"/>
      <c r="W464" s="30"/>
      <c r="X464" s="30"/>
      <c r="Y464" s="30"/>
    </row>
    <row r="465" spans="20:25" x14ac:dyDescent="0.3">
      <c r="T465" s="30"/>
      <c r="U465" s="30"/>
      <c r="V465" s="30"/>
      <c r="W465" s="30"/>
      <c r="X465" s="30"/>
      <c r="Y465" s="30"/>
    </row>
    <row r="466" spans="20:25" x14ac:dyDescent="0.3">
      <c r="T466" s="30"/>
      <c r="U466" s="30"/>
      <c r="V466" s="30"/>
      <c r="W466" s="30"/>
      <c r="X466" s="30"/>
      <c r="Y466" s="30"/>
    </row>
    <row r="467" spans="20:25" x14ac:dyDescent="0.3">
      <c r="T467" s="30"/>
      <c r="U467" s="30"/>
      <c r="V467" s="30"/>
      <c r="W467" s="30"/>
      <c r="X467" s="30"/>
      <c r="Y467" s="30"/>
    </row>
    <row r="468" spans="20:25" x14ac:dyDescent="0.3">
      <c r="T468" s="30"/>
      <c r="U468" s="30"/>
      <c r="V468" s="30"/>
      <c r="W468" s="30"/>
      <c r="X468" s="30"/>
      <c r="Y468" s="30"/>
    </row>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7" sqref="B67"/>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NutritionalData</vt:lpstr>
      <vt:lpstr>researchMeasures</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2021-11-12T00:27:58Z</dcterms:modified>
</cp:coreProperties>
</file>