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4D2B1A5C-EC7E-4D84-B70B-0818ACC8DCA7}"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Sheet1" sheetId="7" r:id="rId3"/>
    <sheet name="dataDictionary" sheetId="5" r:id="rId4"/>
    <sheet name="vacationRedondo" sheetId="6" r:id="rId5"/>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44" i="1" l="1"/>
  <c r="M244" i="1"/>
  <c r="AH243" i="1"/>
  <c r="AG243" i="1"/>
  <c r="AF243" i="1"/>
  <c r="AE243" i="1"/>
  <c r="AD243" i="1"/>
  <c r="AC243" i="1"/>
  <c r="AI243" i="1" s="1"/>
  <c r="AB243" i="1"/>
  <c r="AU243" i="1"/>
  <c r="AJ243" i="1"/>
  <c r="L243" i="1"/>
  <c r="M243" i="1"/>
  <c r="AI242" i="1"/>
  <c r="AJ242" i="1"/>
  <c r="AK242" i="1"/>
  <c r="AL242" i="1"/>
  <c r="AM242" i="1"/>
  <c r="AN242" i="1"/>
  <c r="AH242" i="1"/>
  <c r="AG242" i="1"/>
  <c r="AF242" i="1"/>
  <c r="AE242" i="1"/>
  <c r="AD242" i="1"/>
  <c r="AC242" i="1"/>
  <c r="AB242" i="1"/>
  <c r="L242" i="1"/>
  <c r="M242" i="1"/>
  <c r="AH241" i="1"/>
  <c r="AG241" i="1"/>
  <c r="AF241" i="1"/>
  <c r="AE241" i="1"/>
  <c r="AD241" i="1"/>
  <c r="AC241" i="1"/>
  <c r="AB241" i="1"/>
  <c r="L241" i="1"/>
  <c r="M241" i="1"/>
  <c r="AH240" i="1"/>
  <c r="AG240" i="1"/>
  <c r="AF240" i="1"/>
  <c r="AE240" i="1"/>
  <c r="AD240" i="1"/>
  <c r="AC240" i="1"/>
  <c r="AB240" i="1"/>
  <c r="AK240" i="1" s="1"/>
  <c r="AI240" i="1"/>
  <c r="AJ240" i="1"/>
  <c r="AN240" i="1"/>
  <c r="L240" i="1"/>
  <c r="M240" i="1"/>
  <c r="AH239" i="1"/>
  <c r="AN239" i="1" s="1"/>
  <c r="AG239" i="1"/>
  <c r="AE239" i="1"/>
  <c r="AF239" i="1"/>
  <c r="AC239" i="1"/>
  <c r="AB239" i="1"/>
  <c r="AD239" i="1"/>
  <c r="AK239" i="1"/>
  <c r="AI239" i="1"/>
  <c r="AJ239" i="1"/>
  <c r="AM239" i="1"/>
  <c r="L239" i="1"/>
  <c r="M239" i="1"/>
  <c r="AI238" i="1"/>
  <c r="AJ238" i="1"/>
  <c r="AK238" i="1"/>
  <c r="AL238" i="1"/>
  <c r="AM238" i="1"/>
  <c r="AN238" i="1"/>
  <c r="AH238" i="1"/>
  <c r="AG238" i="1"/>
  <c r="AF238" i="1"/>
  <c r="AE238" i="1"/>
  <c r="AD238" i="1"/>
  <c r="AC238" i="1"/>
  <c r="AB238" i="1"/>
  <c r="L238" i="1"/>
  <c r="M238" i="1"/>
  <c r="AI237" i="1"/>
  <c r="AJ237" i="1"/>
  <c r="AK237" i="1"/>
  <c r="AL237" i="1"/>
  <c r="AM237" i="1"/>
  <c r="AN237" i="1"/>
  <c r="AH237" i="1"/>
  <c r="AG237" i="1"/>
  <c r="AF237" i="1"/>
  <c r="AE237" i="1"/>
  <c r="AD237" i="1"/>
  <c r="AC237" i="1"/>
  <c r="AB237" i="1"/>
  <c r="L237" i="1"/>
  <c r="M237" i="1"/>
  <c r="AI236" i="1"/>
  <c r="AJ236" i="1"/>
  <c r="AK236" i="1"/>
  <c r="AL236" i="1"/>
  <c r="AM236" i="1"/>
  <c r="AN236" i="1"/>
  <c r="AH236" i="1"/>
  <c r="AG236" i="1"/>
  <c r="AF236" i="1"/>
  <c r="AE236" i="1"/>
  <c r="AD236" i="1"/>
  <c r="AC236" i="1"/>
  <c r="AB236" i="1"/>
  <c r="L236" i="1"/>
  <c r="M236" i="1"/>
  <c r="AH235" i="1"/>
  <c r="AG235" i="1"/>
  <c r="AF235" i="1"/>
  <c r="AE235" i="1"/>
  <c r="AD235" i="1"/>
  <c r="AC235" i="1"/>
  <c r="AB235" i="1"/>
  <c r="AI235" i="1"/>
  <c r="AJ235" i="1"/>
  <c r="L235" i="1"/>
  <c r="M235" i="1"/>
  <c r="AH234" i="1"/>
  <c r="AN234" i="1" s="1"/>
  <c r="AG234" i="1"/>
  <c r="AF234" i="1"/>
  <c r="AE234" i="1"/>
  <c r="AD234" i="1"/>
  <c r="AC234" i="1"/>
  <c r="AB234" i="1"/>
  <c r="AH233" i="1"/>
  <c r="AG233" i="1"/>
  <c r="AF233" i="1"/>
  <c r="AE233" i="1"/>
  <c r="AK233" i="1" s="1"/>
  <c r="AD233" i="1"/>
  <c r="AC233" i="1"/>
  <c r="AB233" i="1"/>
  <c r="AI234" i="1"/>
  <c r="AJ234" i="1"/>
  <c r="AK234" i="1"/>
  <c r="AL234" i="1"/>
  <c r="AM234" i="1"/>
  <c r="L234" i="1"/>
  <c r="AJ233" i="1"/>
  <c r="L233" i="1"/>
  <c r="M233" i="1"/>
  <c r="AH232" i="1"/>
  <c r="AG232" i="1"/>
  <c r="AF232" i="1"/>
  <c r="AE232" i="1"/>
  <c r="AD232" i="1"/>
  <c r="AC232" i="1"/>
  <c r="AB232" i="1"/>
  <c r="AN232" i="1" s="1"/>
  <c r="AI230" i="1"/>
  <c r="AJ230" i="1"/>
  <c r="AK230" i="1"/>
  <c r="AL230" i="1"/>
  <c r="AM230" i="1"/>
  <c r="AN230" i="1"/>
  <c r="AI231" i="1"/>
  <c r="AJ231" i="1"/>
  <c r="AK231" i="1"/>
  <c r="AL231" i="1"/>
  <c r="AM231" i="1"/>
  <c r="AN231" i="1"/>
  <c r="AM232" i="1"/>
  <c r="L232" i="1"/>
  <c r="M232" i="1"/>
  <c r="AH231" i="1"/>
  <c r="AG231" i="1"/>
  <c r="AF231" i="1"/>
  <c r="AE231" i="1"/>
  <c r="AD231" i="1"/>
  <c r="AC231" i="1"/>
  <c r="AB231" i="1"/>
  <c r="L231" i="1"/>
  <c r="M231" i="1"/>
  <c r="AH230" i="1"/>
  <c r="AG230" i="1"/>
  <c r="AF230" i="1"/>
  <c r="AE230" i="1"/>
  <c r="AD230" i="1"/>
  <c r="AC230" i="1"/>
  <c r="AB230" i="1"/>
  <c r="L230" i="1"/>
  <c r="M230" i="1"/>
  <c r="AH229" i="1"/>
  <c r="AG229" i="1"/>
  <c r="AF229" i="1"/>
  <c r="AE229" i="1"/>
  <c r="AK229" i="1" s="1"/>
  <c r="AD229" i="1"/>
  <c r="AC229" i="1"/>
  <c r="AI229" i="1" s="1"/>
  <c r="AB229" i="1"/>
  <c r="AJ229" i="1"/>
  <c r="AL229" i="1"/>
  <c r="AM229" i="1"/>
  <c r="AN229" i="1"/>
  <c r="C555" i="4"/>
  <c r="D555" i="4"/>
  <c r="E555" i="4"/>
  <c r="F555" i="4"/>
  <c r="G555" i="4"/>
  <c r="H555" i="4"/>
  <c r="B555" i="4"/>
  <c r="L229" i="1"/>
  <c r="M229" i="1"/>
  <c r="AI228" i="1"/>
  <c r="AJ228" i="1"/>
  <c r="AK228" i="1"/>
  <c r="AL228" i="1"/>
  <c r="AM228" i="1"/>
  <c r="AN228" i="1"/>
  <c r="AH228" i="1"/>
  <c r="AG228" i="1"/>
  <c r="AF228" i="1"/>
  <c r="AE228" i="1"/>
  <c r="AD228" i="1"/>
  <c r="AC228" i="1"/>
  <c r="AB228" i="1"/>
  <c r="L228" i="1"/>
  <c r="M228" i="1"/>
  <c r="AH227" i="1"/>
  <c r="AG227" i="1"/>
  <c r="AF227" i="1"/>
  <c r="AE227" i="1"/>
  <c r="AD227" i="1"/>
  <c r="AC227" i="1"/>
  <c r="AB227" i="1"/>
  <c r="M227" i="1"/>
  <c r="L227" i="1"/>
  <c r="AI226" i="1"/>
  <c r="AJ226" i="1"/>
  <c r="AK226" i="1"/>
  <c r="AL226" i="1"/>
  <c r="AM226" i="1"/>
  <c r="AN226" i="1"/>
  <c r="AH226" i="1"/>
  <c r="AG226" i="1"/>
  <c r="AF226" i="1"/>
  <c r="AE226" i="1"/>
  <c r="AD226" i="1"/>
  <c r="AC226" i="1"/>
  <c r="AB226" i="1"/>
  <c r="L226" i="1"/>
  <c r="M226" i="1"/>
  <c r="AC221" i="1"/>
  <c r="AH225" i="1"/>
  <c r="AG225" i="1"/>
  <c r="AM225" i="1" s="1"/>
  <c r="AF225" i="1"/>
  <c r="AE225" i="1"/>
  <c r="AD225" i="1"/>
  <c r="AC225" i="1"/>
  <c r="AB225" i="1"/>
  <c r="L225" i="1"/>
  <c r="M225" i="1"/>
  <c r="AN225" i="1"/>
  <c r="H551" i="4"/>
  <c r="G551" i="4"/>
  <c r="F551" i="4"/>
  <c r="E551" i="4"/>
  <c r="D551" i="4"/>
  <c r="C551" i="4"/>
  <c r="B551" i="4"/>
  <c r="AI224" i="1"/>
  <c r="AJ224" i="1"/>
  <c r="AK224" i="1"/>
  <c r="AL224" i="1"/>
  <c r="AM224" i="1"/>
  <c r="AN224" i="1"/>
  <c r="AH224" i="1"/>
  <c r="AF224" i="1"/>
  <c r="AG224" i="1"/>
  <c r="AE224" i="1"/>
  <c r="AD224" i="1"/>
  <c r="AC224" i="1"/>
  <c r="AB224" i="1"/>
  <c r="C550" i="4"/>
  <c r="D550" i="4"/>
  <c r="E550" i="4"/>
  <c r="F550" i="4"/>
  <c r="G550" i="4"/>
  <c r="H550" i="4"/>
  <c r="B550" i="4"/>
  <c r="L224" i="1"/>
  <c r="M224" i="1"/>
  <c r="AH223" i="1"/>
  <c r="AG223" i="1"/>
  <c r="AF223" i="1"/>
  <c r="AE223" i="1"/>
  <c r="AD223" i="1"/>
  <c r="AJ223" i="1" s="1"/>
  <c r="AC223" i="1"/>
  <c r="AB223" i="1"/>
  <c r="C545" i="4"/>
  <c r="D545" i="4"/>
  <c r="E545" i="4"/>
  <c r="F545" i="4"/>
  <c r="G545" i="4"/>
  <c r="H545" i="4"/>
  <c r="B545" i="4"/>
  <c r="L223" i="1"/>
  <c r="M223" i="1"/>
  <c r="AI222" i="1"/>
  <c r="AJ222" i="1"/>
  <c r="AK222" i="1"/>
  <c r="AL222" i="1"/>
  <c r="AM222" i="1"/>
  <c r="AN222" i="1"/>
  <c r="AH222" i="1"/>
  <c r="AG222" i="1"/>
  <c r="AF222" i="1"/>
  <c r="AE222" i="1"/>
  <c r="AD222" i="1"/>
  <c r="AC222" i="1"/>
  <c r="AB222" i="1"/>
  <c r="L222" i="1"/>
  <c r="M222" i="1"/>
  <c r="AI221" i="1"/>
  <c r="AJ221" i="1"/>
  <c r="AK221" i="1"/>
  <c r="AL221" i="1"/>
  <c r="AM221" i="1"/>
  <c r="AN221" i="1"/>
  <c r="AH221" i="1"/>
  <c r="AG221" i="1"/>
  <c r="AF221" i="1"/>
  <c r="AE221" i="1"/>
  <c r="AD221" i="1"/>
  <c r="AB221" i="1"/>
  <c r="L221" i="1"/>
  <c r="M221" i="1"/>
  <c r="AI220" i="1"/>
  <c r="AJ220" i="1"/>
  <c r="AK220" i="1"/>
  <c r="AL220" i="1"/>
  <c r="AM220" i="1"/>
  <c r="AN220" i="1"/>
  <c r="AH220" i="1"/>
  <c r="AG220" i="1"/>
  <c r="AF220" i="1"/>
  <c r="AE220" i="1"/>
  <c r="AD220" i="1"/>
  <c r="AC220" i="1"/>
  <c r="AB220" i="1"/>
  <c r="L220" i="1"/>
  <c r="M220" i="1"/>
  <c r="AH219" i="1"/>
  <c r="AF219" i="1"/>
  <c r="AE219" i="1"/>
  <c r="AD219" i="1"/>
  <c r="AC219" i="1"/>
  <c r="AB219" i="1"/>
  <c r="AN219" i="1" s="1"/>
  <c r="AG219" i="1"/>
  <c r="AI218" i="1"/>
  <c r="AJ218" i="1"/>
  <c r="AK218" i="1"/>
  <c r="AL218" i="1"/>
  <c r="AM218" i="1"/>
  <c r="AN218" i="1"/>
  <c r="AH218" i="1"/>
  <c r="AG218" i="1"/>
  <c r="AF218" i="1"/>
  <c r="AE218" i="1"/>
  <c r="AD218" i="1"/>
  <c r="AC218" i="1"/>
  <c r="AB218" i="1"/>
  <c r="M219" i="1" s="1"/>
  <c r="L219" i="1"/>
  <c r="L218" i="1"/>
  <c r="M218" i="1"/>
  <c r="AI217" i="1"/>
  <c r="AJ217" i="1"/>
  <c r="AK217" i="1"/>
  <c r="AL217" i="1"/>
  <c r="AM217" i="1"/>
  <c r="AN217" i="1"/>
  <c r="AH217" i="1"/>
  <c r="AG217" i="1"/>
  <c r="AF217" i="1"/>
  <c r="AE217" i="1"/>
  <c r="AD217" i="1"/>
  <c r="AC217" i="1"/>
  <c r="AB217" i="1"/>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N243" i="1" l="1"/>
  <c r="AK243" i="1"/>
  <c r="AM243" i="1"/>
  <c r="AL243" i="1"/>
  <c r="AN241" i="1"/>
  <c r="AI241" i="1"/>
  <c r="AM241" i="1"/>
  <c r="AL241" i="1"/>
  <c r="AK241" i="1"/>
  <c r="AJ241" i="1"/>
  <c r="AM240" i="1"/>
  <c r="AL240" i="1"/>
  <c r="AL239" i="1"/>
  <c r="AK235" i="1"/>
  <c r="AN235" i="1"/>
  <c r="AM235" i="1"/>
  <c r="AL235" i="1"/>
  <c r="AL233" i="1"/>
  <c r="AI233" i="1"/>
  <c r="M234" i="1"/>
  <c r="AM233" i="1"/>
  <c r="AN233" i="1"/>
  <c r="AK232" i="1"/>
  <c r="AL232" i="1"/>
  <c r="AJ232" i="1"/>
  <c r="AI232" i="1"/>
  <c r="AJ227" i="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<sst xmlns="http://schemas.openxmlformats.org/spreadsheetml/2006/main" count="5207" uniqueCount="1285">
  <si>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</si>
  <si>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</si>
  <si>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</si>
  <si>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</si>
  <si>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</si>
  <si>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</si>
  <si>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</si>
  <si>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</si>
  <si>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</si>
  <si>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</si>
  <si>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</si>
  <si>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</si>
  <si>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</si>
  <si>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</si>
  <si>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</si>
  <si>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</si>
  <si>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</si>
  <si>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</si>
  <si>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</si>
  <si>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</si>
  <si>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</si>
  <si>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</si>
  <si>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</si>
  <si>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</si>
  <si>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</si>
  <si>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</si>
  <si>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</si>
  <si>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</si>
  <si>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</si>
  <si>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</si>
  <si>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</si>
  <si>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</si>
  <si>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</si>
  <si>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</si>
  <si>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</si>
  <si>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</si>
  <si>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</si>
  <si>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</si>
  <si>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</si>
  <si>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</si>
  <si>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</si>
  <si>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</si>
  <si>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</si>
  <si>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</si>
  <si>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</si>
  <si>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</si>
  <si>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</si>
  <si>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</si>
  <si>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</si>
  <si>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</si>
  <si>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</si>
  <si>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</si>
  <si>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</si>
  <si>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</si>
  <si>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</si>
  <si>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</si>
  <si>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</si>
  <si>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</si>
  <si>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</si>
  <si>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</si>
  <si>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</si>
  <si>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</si>
  <si>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</si>
  <si>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</si>
  <si>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</si>
  <si>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</si>
  <si>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</si>
  <si>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</si>
  <si>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</si>
  <si>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</si>
  <si>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</si>
  <si>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</si>
  <si>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</si>
  <si>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</si>
  <si>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</si>
  <si>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</si>
  <si>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</si>
  <si>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</si>
  <si>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</si>
  <si>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</si>
  <si>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</si>
  <si>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</si>
  <si>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</si>
  <si>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</si>
  <si>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</si>
  <si>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</si>
  <si>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</si>
  <si>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</si>
  <si>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</si>
  <si>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</si>
  <si>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</si>
  <si>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</si>
  <si>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</si>
  <si>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</si>
  <si>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</si>
  <si>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</si>
  <si>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</si>
  <si>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</si>
  <si>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</si>
  <si>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</si>
  <si>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</si>
  <si>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</si>
  <si>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</si>
  <si>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</si>
  <si>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</si>
  <si>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</si>
  <si>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</si>
  <si>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</si>
  <si>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</si>
  <si>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</si>
  <si>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</si>
  <si>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</si>
  <si>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</si>
  <si>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</si>
  <si>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</si>
  <si>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</si>
  <si>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</si>
  <si>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</si>
  <si>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</si>
  <si>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</si>
  <si>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</si>
  <si>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</si>
  <si>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</si>
  <si>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</si>
  <si>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</si>
  <si>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</si>
  <si>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</si>
  <si>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</si>
  <si>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</si>
  <si>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</si>
  <si>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</si>
  <si>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</si>
  <si>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</si>
  <si>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</si>
  <si>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</si>
  <si>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</si>
  <si>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</si>
  <si>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</si>
  <si>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</si>
  <si>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</si>
  <si>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</si>
  <si>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</si>
  <si>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</si>
  <si>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</si>
  <si>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</si>
  <si>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</si>
  <si>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</si>
  <si>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</si>
  <si>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</si>
  <si>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</si>
  <si>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</si>
  <si>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</si>
  <si>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</si>
  <si>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</si>
  <si>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</si>
  <si>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</si>
  <si>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</si>
  <si>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</si>
  <si>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</si>
  <si>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</si>
  <si>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</si>
  <si>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</si>
  <si>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</si>
  <si>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</si>
  <si>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</si>
  <si>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</si>
  <si>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</si>
  <si>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</si>
  <si>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</si>
  <si>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</si>
  <si>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</si>
  <si>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</si>
  <si>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</si>
  <si>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</si>
  <si>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</si>
  <si>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</si>
  <si>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</si>
  <si>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</si>
  <si>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</si>
  <si>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</si>
  <si>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</si>
  <si>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</si>
  <si>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</si>
  <si>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</si>
  <si>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</si>
  <si>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</si>
  <si>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</si>
  <si>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</si>
  <si>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</si>
  <si>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</si>
  <si>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</si>
  <si>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</si>
  <si>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</si>
  <si>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</si>
  <si>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</si>
  <si>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</si>
  <si>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</si>
  <si>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</si>
  <si>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</si>
  <si>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</si>
  <si>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</si>
  <si>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</si>
  <si>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</si>
  <si>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</si>
  <si>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</si>
  <si>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</si>
  <si>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</si>
  <si>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</si>
  <si>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</si>
  <si>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</si>
  <si>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</si>
  <si>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</si>
  <si>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</si>
  <si>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</si>
  <si>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</si>
  <si>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</si>
  <si>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</si>
  <si>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</si>
  <si>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</si>
  <si>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</si>
  <si>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</si>
  <si>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</si>
  <si>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</si>
  <si>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</si>
  <si>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</si>
  <si>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</si>
  <si>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</si>
  <si>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</si>
  <si>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</si>
  <si>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</si>
  <si>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</si>
  <si>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</si>
  <si>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</si>
  <si>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</si>
  <si>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</si>
  <si>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</si>
  <si>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</si>
  <si>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</si>
  <si>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</si>
  <si>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</si>
  <si>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</si>
  <si>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</si>
  <si>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</si>
  <si>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</si>
  <si>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</si>
  <si>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</si>
  <si>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</si>
  <si>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</si>
  <si>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</si>
  <si>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</si>
  <si>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</si>
  <si>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</si>
  <si>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</si>
  <si>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</si>
  <si>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</si>
  <si>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</si>
  <si>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</si>
  <si>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</si>
  <si>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</si>
  <si>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</si>
  <si>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</si>
  <si>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</si>
  <si>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</si>
  <si>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</si>
  <si>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</si>
  <si>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</si>
  <si>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</si>
  <si>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</si>
  <si>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</si>
  <si>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</si>
  <si>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</si>
  <si>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</si>
  <si>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</si>
  <si>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</si>
  <si>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</si>
  <si>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</si>
  <si>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</si>
  <si>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</si>
  <si>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</si>
  <si>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</si>
  <si>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</si>
  <si>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</si>
  <si>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</si>
  <si>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</si>
  <si>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</si>
  <si>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</si>
  <si>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</si>
  <si>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</si>
  <si>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</si>
  <si>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</si>
  <si>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</si>
  <si>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</si>
  <si>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</si>
  <si>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</si>
  <si>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</si>
  <si>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</si>
  <si>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</si>
  <si>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</si>
  <si>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</si>
  <si>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</si>
  <si>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</si>
  <si>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</si>
  <si>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</si>
  <si>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</si>
  <si>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</si>
  <si>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</si>
  <si>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</si>
  <si>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</si>
  <si>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</si>
  <si>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</si>
  <si>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</si>
  <si>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</si>
  <si>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</si>
  <si>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</si>
  <si>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</si>
  <si>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</si>
  <si>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</si>
  <si>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</si>
  <si>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</si>
  <si>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</si>
  <si>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</si>
  <si>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</si>
  <si>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</si>
  <si>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</si>
  <si>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</si>
  <si>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</si>
  <si>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</si>
  <si>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</si>
  <si>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</si>
  <si>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</si>
  <si>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</si>
  <si>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</si>
  <si>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</si>
  <si>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</si>
  <si>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</si>
  <si>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</si>
  <si>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</si>
  <si>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</si>
  <si>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</si>
  <si>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</si>
  <si>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</si>
  <si>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</si>
  <si>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</si>
  <si>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</si>
  <si>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</si>
  <si>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</si>
  <si>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</si>
  <si>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</si>
  <si>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</si>
  <si>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</si>
  <si>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</si>
  <si>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</si>
  <si>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</si>
  <si>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</si>
  <si>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</si>
  <si>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</si>
  <si>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</si>
  <si>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</si>
  <si>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</si>
  <si>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</si>
  <si>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</si>
  <si>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</si>
  <si>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</si>
  <si>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</si>
  <si>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</si>
  <si>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</si>
  <si>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</si>
  <si>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</si>
  <si>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</si>
  <si>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</si>
  <si>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</si>
  <si>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</si>
  <si>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</si>
  <si>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</si>
  <si>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</si>
  <si>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</si>
  <si>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</si>
  <si>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</si>
  <si>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</si>
  <si>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</si>
  <si>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</si>
  <si>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</si>
  <si>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</si>
  <si>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</si>
  <si>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</si>
  <si>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</si>
  <si>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</si>
  <si>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</si>
  <si>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</si>
  <si>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</si>
  <si>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</si>
  <si>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</si>
  <si>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</si>
  <si>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</si>
  <si>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</si>
  <si>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</si>
  <si>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</si>
  <si>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</si>
  <si>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</si>
  <si>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</si>
  <si>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</si>
  <si>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</si>
  <si>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</si>
  <si>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</si>
  <si>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</si>
  <si>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</si>
  <si>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</si>
  <si>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</si>
  <si>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</si>
  <si>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</si>
  <si>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</si>
  <si>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</si>
  <si>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</si>
  <si>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</si>
  <si>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</si>
  <si>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</si>
  <si>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</si>
  <si>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</si>
  <si>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</si>
  <si>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</si>
  <si>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</si>
  <si>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</si>
  <si>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</si>
  <si>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</si>
  <si>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</si>
  <si>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</si>
  <si>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</si>
  <si>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</si>
  <si>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</si>
  <si>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</si>
  <si>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</si>
  <si>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</si>
  <si>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</si>
  <si>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</si>
  <si>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</si>
  <si>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</si>
  <si>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</si>
  <si>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</si>
  <si>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</si>
  <si>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</si>
  <si>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</si>
  <si>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</si>
  <si>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</si>
  <si>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</si>
  <si>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</si>
  <si>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</si>
  <si>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</si>
  <si>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</si>
  <si>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</si>
  <si>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</si>
  <si>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</si>
  <si>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</si>
  <si>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</si>
  <si>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</si>
  <si>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</si>
  <si>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</si>
  <si>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</si>
  <si>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</si>
  <si>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</si>
  <si>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</si>
  <si>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</si>
  <si>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</si>
  <si>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</si>
  <si>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</si>
  <si>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</si>
  <si>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</si>
  <si>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</si>
  <si>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</si>
  <si>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</si>
  <si>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</si>
  <si>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</si>
  <si>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</si>
  <si>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</si>
  <si>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</si>
  <si>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</si>
  <si>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</si>
  <si>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</si>
  <si>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</si>
  <si>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</si>
  <si>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</si>
  <si>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</si>
  <si>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</si>
  <si>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</si>
  <si>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</si>
  <si>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</si>
  <si>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</si>
  <si>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</si>
  <si>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</si>
  <si>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</si>
  <si>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</si>
  <si>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</si>
  <si>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</si>
  <si>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</si>
  <si>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</si>
  <si>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</si>
  <si>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</si>
  <si>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</si>
  <si>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</si>
  <si>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</si>
  <si>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</si>
  <si>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</si>
  <si>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</si>
  <si>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</si>
  <si>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</si>
  <si>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</si>
  <si>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</si>
  <si>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</si>
  <si>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</si>
  <si>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</si>
  <si>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</si>
  <si>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</si>
  <si>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</si>
  <si>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</si>
  <si>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</si>
  <si>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</si>
  <si>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</si>
  <si>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</si>
  <si>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</si>
  <si>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</si>
  <si>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</si>
  <si>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</si>
  <si>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</si>
  <si>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</si>
  <si>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</si>
  <si>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</si>
  <si>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</si>
  <si>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</si>
  <si>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</si>
  <si>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</si>
  <si>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</si>
  <si>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</si>
  <si>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</si>
  <si>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</si>
  <si>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</si>
  <si>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</si>
  <si>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</si>
  <si>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</si>
  <si>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</si>
  <si>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</si>
  <si>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</si>
  <si>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</si>
  <si>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</si>
  <si>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</si>
  <si>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</si>
  <si>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</si>
  <si>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</si>
  <si>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</si>
  <si>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</si>
  <si>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</si>
  <si>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</si>
  <si>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</si>
  <si>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</si>
  <si>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</si>
  <si>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</si>
  <si>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</si>
  <si>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</si>
  <si>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</si>
  <si>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</si>
  <si>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</si>
  <si>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</si>
  <si>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</si>
  <si>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</si>
  <si>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</si>
  <si>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</si>
  <si>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</si>
  <si>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</si>
  <si>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</si>
  <si>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</si>
  <si>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</si>
  <si>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</si>
  <si>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</si>
  <si>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</si>
  <si>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</si>
  <si>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</si>
  <si>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</si>
  <si>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</si>
  <si>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</si>
  <si>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</si>
  <si>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</si>
  <si>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</si>
  <si>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</si>
  <si>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</si>
  <si>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</si>
  <si>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</si>
  <si>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</si>
  <si>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</si>
  <si>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</si>
  <si>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</si>
  <si>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</si>
  <si>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</si>
  <si>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</si>
  <si>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</si>
  <si>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</si>
  <si>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</si>
  <si>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</si>
  <si>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</si>
  <si>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</si>
  <si>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</si>
  <si>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</si>
  <si>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</si>
  <si>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</si>
  <si>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</si>
  <si>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</si>
  <si>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</si>
  <si>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</si>
  <si>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</si>
  <si>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</si>
  <si>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</si>
  <si>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</si>
  <si>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</si>
  <si>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</si>
  <si>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</si>
  <si>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</si>
  <si>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</si>
  <si>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</si>
  <si>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</si>
  <si>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</si>
  <si>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</si>
  <si>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</si>
  <si>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</si>
  <si>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</si>
  <si>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</si>
  <si>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</si>
  <si>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</si>
  <si>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</si>
  <si>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</si>
  <si>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</si>
  <si>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</si>
  <si>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</si>
  <si>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</si>
  <si>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</si>
  <si>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</si>
  <si>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</si>
  <si>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</si>
  <si>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</si>
  <si>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</si>
  <si>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</si>
  <si>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</si>
  <si>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</si>
  <si>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</si>
  <si>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</si>
  <si>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</si>
  <si>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</si>
  <si>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</si>
  <si>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</si>
  <si>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</si>
  <si>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</si>
  <si>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</si>
  <si>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</si>
  <si>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</si>
  <si>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</si>
  <si>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</si>
  <si>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</si>
  <si>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</si>
  <si>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</si>
  <si>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</si>
  <si>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</si>
  <si>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</si>
  <si>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</si>
  <si>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</si>
  <si>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</si>
  <si>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</si>
  <si>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</si>
  <si>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</si>
  <si>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</si>
  <si>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</si>
  <si>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</si>
  <si>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</si>
  <si>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</si>
  <si>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</si>
  <si>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</si>
  <si>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</si>
  <si>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</si>
  <si>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</si>
  <si>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</si>
  <si>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</si>
  <si>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</si>
  <si>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</si>
  <si>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</si>
  <si>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</si>
  <si>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</si>
  <si>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</si>
  <si>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</si>
  <si>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</si>
  <si>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</si>
  <si>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</si>
  <si>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</si>
  <si>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</si>
  <si>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</si>
  <si>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</si>
  <si>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</si>
  <si>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</si>
  <si>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</si>
  <si>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</si>
  <si>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</si>
  <si>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</si>
  <si>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</si>
  <si>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</si>
  <si>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</si>
  <si>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</si>
  <si>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</si>
  <si>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</si>
  <si>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</si>
  <si>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</si>
  <si>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</si>
  <si>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</si>
  <si>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</si>
  <si>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</si>
  <si>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</si>
  <si>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</si>
  <si>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</si>
  <si>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</si>
  <si>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</si>
  <si>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</si>
  <si>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</si>
  <si>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</si>
  <si>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</si>
  <si>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</si>
  <si>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</si>
  <si>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</si>
  <si>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</si>
  <si>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</si>
  <si>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</si>
  <si>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</si>
  <si>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</si>
  <si>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</si>
  <si>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</si>
  <si>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</si>
  <si>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</si>
  <si>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</si>
  <si>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</si>
  <si>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</si>
  <si>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</si>
  <si>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</si>
  <si>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</si>
  <si>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</si>
  <si>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</si>
  <si>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</si>
  <si>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</si>
  <si>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</si>
  <si>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</si>
  <si>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</si>
  <si>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</si>
  <si>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</si>
  <si>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</si>
  <si>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</si>
  <si>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</si>
  <si>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</si>
  <si>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</si>
  <si>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</si>
  <si>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</si>
  <si>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</si>
  <si>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</si>
  <si>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</si>
  <si>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</si>
  <si>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</si>
  <si>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</si>
  <si>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</si>
  <si>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</si>
  <si>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</si>
  <si>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</si>
  <si>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</si>
  <si>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</si>
  <si>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</si>
  <si>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</si>
  <si>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</si>
  <si>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</si>
  <si>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</si>
  <si>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</si>
  <si>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</si>
  <si>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</si>
  <si>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</si>
  <si>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</si>
  <si>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</si>
  <si>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</si>
  <si>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</si>
  <si>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</si>
  <si>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</si>
  <si>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</si>
  <si>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</si>
  <si>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</si>
  <si>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</si>
  <si>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</si>
  <si>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</si>
  <si>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</si>
  <si>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</si>
  <si>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</si>
  <si>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</si>
  <si>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</si>
  <si>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</si>
  <si>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</si>
  <si>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</si>
  <si>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</si>
  <si>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</si>
  <si>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</si>
  <si>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</si>
  <si>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</si>
  <si>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</si>
  <si>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</si>
  <si>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</si>
  <si>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</si>
  <si>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</si>
  <si>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</si>
  <si>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</si>
  <si>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</si>
  <si>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</si>
  <si>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</si>
  <si>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</si>
  <si>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</si>
  <si>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</si>
  <si>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</si>
  <si>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</si>
  <si>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</si>
  <si>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</si>
  <si>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</si>
  <si>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</si>
  <si>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</si>
  <si>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</si>
  <si>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</si>
  <si>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</si>
  <si>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</si>
  <si>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</si>
  <si>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</si>
  <si>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</si>
  <si>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</si>
  <si>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</si>
  <si>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</si>
  <si>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</si>
  <si>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</si>
  <si>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</si>
  <si>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</si>
  <si>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</si>
  <si>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</si>
  <si>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</si>
  <si>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</si>
  <si>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</si>
  <si>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</si>
  <si>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</si>
  <si>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</si>
  <si>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</si>
  <si>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</si>
  <si>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</si>
  <si>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</si>
  <si>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</si>
  <si>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</si>
  <si>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</si>
  <si>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</si>
  <si>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</si>
  <si>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</si>
  <si>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</si>
  <si>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</si>
  <si>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</si>
  <si>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</si>
  <si>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</si>
  <si>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</si>
  <si>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</si>
  <si>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</si>
  <si>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</si>
  <si>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</si>
  <si>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</si>
  <si>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</si>
  <si>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</si>
  <si>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</si>
  <si>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</si>
  <si>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</si>
  <si>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</si>
  <si>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</si>
  <si>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</si>
  <si>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</si>
  <si>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</si>
  <si>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</si>
  <si>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</si>
  <si>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</si>
  <si>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</si>
  <si>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</si>
  <si>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</si>
  <si>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</si>
  <si>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</si>
  <si>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</si>
  <si>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</si>
  <si>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</si>
  <si>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</si>
  <si>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</si>
  <si>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</si>
  <si>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</si>
  <si>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</si>
  <si>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</si>
  <si>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</si>
  <si>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</si>
  <si>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</si>
  <si>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</si>
  <si>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</si>
  <si>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</si>
  <si>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</si>
  <si>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</si>
  <si>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</si>
  <si>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</si>
  <si>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</si>
  <si>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</si>
  <si>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</si>
  <si>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</si>
  <si>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</si>
  <si>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</si>
  <si>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</si>
  <si>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</si>
  <si>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</si>
  <si>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</si>
  <si>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</si>
  <si>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</si>
  <si>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</si>
  <si>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</si>
  <si>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</si>
  <si>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</si>
  <si>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</si>
  <si>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</si>
  <si>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</si>
  <si>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</si>
  <si>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</si>
  <si>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</si>
  <si>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</si>
  <si>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</si>
  <si>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</si>
  <si>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</si>
  <si>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</si>
  <si>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</si>
  <si>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</si>
  <si>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</si>
  <si>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</si>
  <si>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</si>
  <si>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</si>
  <si>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</si>
  <si>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</si>
  <si>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</si>
  <si>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</si>
  <si>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</si>
  <si>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</si>
  <si>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</si>
  <si>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</si>
  <si>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</si>
  <si>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</si>
  <si>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</si>
  <si>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</si>
  <si>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</si>
  <si>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</si>
  <si>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</si>
  <si>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</si>
  <si>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</si>
  <si>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</si>
  <si>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</si>
  <si>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</si>
  <si>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</si>
  <si>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</si>
  <si>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</si>
  <si>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</si>
  <si>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</si>
  <si>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</si>
  <si>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</si>
  <si>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</si>
  <si>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</si>
  <si>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</si>
  <si>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</si>
  <si>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</si>
  <si>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</si>
  <si>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</si>
  <si>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</si>
  <si>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</si>
  <si>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</si>
  <si>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</si>
  <si>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</si>
  <si>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</si>
  <si>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</si>
  <si>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</si>
  <si>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</si>
  <si>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</si>
  <si>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</si>
  <si>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</si>
  <si>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</si>
  <si>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</si>
  <si>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</si>
  <si>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</si>
  <si>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</si>
  <si>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</si>
  <si>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</si>
  <si>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</si>
  <si>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</si>
  <si>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</si>
  <si>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</si>
  <si>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</si>
  <si>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</si>
  <si>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</si>
  <si>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</si>
  <si>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</si>
  <si>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</si>
  <si>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</si>
  <si>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</si>
  <si>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</si>
  <si>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</si>
  <si>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</si>
  <si>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</si>
  <si>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</si>
  <si>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</si>
  <si>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</si>
  <si>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</si>
  <si>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</si>
  <si>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</si>
  <si>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</si>
  <si>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</si>
  <si>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</si>
  <si>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</si>
  <si>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</si>
  <si>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</si>
  <si>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</si>
  <si>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</si>
  <si>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</si>
  <si>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</si>
  <si>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</si>
  <si>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</si>
  <si>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</si>
  <si>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</si>
  <si>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</si>
  <si>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</si>
  <si>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</si>
  <si>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</si>
  <si>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</si>
  <si>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</si>
  <si>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</si>
  <si>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</si>
  <si>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</si>
  <si>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</si>
  <si>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</si>
  <si>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</si>
  <si>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</si>
  <si>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</si>
  <si>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</si>
  <si>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</si>
  <si>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</si>
  <si>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</si>
  <si>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</si>
  <si>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</si>
  <si>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</si>
  <si>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</si>
  <si>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</si>
  <si>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</si>
  <si>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</si>
  <si>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</si>
  <si>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</si>
  <si>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</si>
  <si>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</si>
  <si>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</si>
  <si>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</si>
  <si>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</si>
  <si>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</si>
  <si>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</si>
  <si>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</si>
  <si>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</si>
  <si>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</si>
  <si>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</si>
  <si>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</si>
  <si>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</si>
  <si>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</si>
  <si>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</si>
  <si>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</si>
  <si>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</si>
  <si>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</si>
  <si>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</si>
  <si>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</si>
  <si>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</si>
  <si>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</si>
  <si>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</si>
  <si>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</si>
  <si>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</si>
  <si>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</si>
  <si>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</si>
  <si>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</si>
  <si>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</si>
  <si>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</si>
  <si>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</si>
  <si>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</si>
  <si>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</si>
  <si>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</si>
  <si>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</si>
  <si>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</si>
  <si>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</si>
  <si>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</si>
  <si>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</si>
  <si>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</si>
  <si>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</si>
  <si>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</si>
  <si>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</si>
  <si>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</si>
  <si>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</si>
  <si>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</si>
  <si>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</si>
  <si>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</si>
  <si>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</si>
  <si>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</si>
  <si>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</si>
  <si>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</si>
  <si>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</si>
  <si>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</si>
  <si>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</si>
  <si>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</si>
  <si>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</si>
  <si>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</si>
  <si>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</si>
  <si>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</si>
  <si>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</si>
  <si>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</si>
  <si>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</si>
  <si>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</si>
  <si>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</si>
  <si>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</si>
  <si>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</si>
  <si>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</si>
  <si>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</si>
  <si>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</si>
  <si>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</si>
  <si>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</si>
  <si>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</si>
  <si>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</si>
  <si>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</si>
  <si>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</si>
  <si>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</si>
  <si>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</si>
  <si>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</si>
  <si>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</si>
  <si>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</si>
  <si>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</si>
  <si>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</si>
  <si>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</si>
  <si>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</si>
  <si>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</si>
  <si>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</si>
  <si>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</si>
  <si>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</si>
  <si>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</si>
  <si>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</si>
  <si>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</si>
  <si>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</si>
  <si>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</si>
  <si>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</si>
  <si>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</si>
  <si>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</si>
  <si>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</si>
  <si>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</si>
  <si>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</si>
  <si>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</si>
  <si>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</si>
  <si>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</si>
  <si>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</si>
  <si>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</si>
  <si>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</si>
  <si>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</si>
  <si>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</si>
  <si>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</si>
  <si>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</si>
  <si>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</si>
  <si>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</si>
  <si>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</si>
  <si>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</si>
  <si>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</si>
  <si>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</si>
  <si>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</si>
  <si>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</si>
  <si>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</si>
  <si>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</si>
  <si>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</si>
  <si>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</si>
  <si>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</si>
  <si>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</si>
  <si>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</si>
  <si>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</si>
  <si>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</si>
  <si>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</si>
  <si>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</si>
  <si>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</si>
  <si>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</si>
  <si>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</si>
  <si>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</si>
  <si>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</si>
  <si>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</si>
  <si>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</si>
  <si>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</si>
  <si>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</si>
  <si>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</si>
  <si>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</si>
  <si>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</si>
  <si>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</si>
  <si>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X</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</si>
  <si>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</si>
  <si>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</si>
  <si>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</si>
  <si>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</si>
  <si>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</si>
  <si>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</si>
  <si>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</si>
  <si>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</si>
  <si>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</si>
  <si>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</si>
  <si>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</si>
  <si>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</si>
  <si>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</si>
  <si>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</si>
  <si>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</si>
  <si>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</si>
  <si>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</si>
  <si>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</si>
  <si>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</si>
  <si>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</si>
  <si>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</si>
  <si>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</si>
  <si>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</si>
  <si>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</si>
  <si>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I also watched The Quiet Place 2 on vudu.com formerly fandango.com for $5.99 rental, and made a blog on my genomics brief results and explaining why my yfull mitochondrial free partner information on inheritance or familial linkages only shows my mom's side, bc mitochondrial DNA is inherited from the mom.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</si>
  <si>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 For lunch had a belief single burger with tomato, lettuce, and pickles, and cheese only. No sauce. And a 4th kpod cup coffee. Told boss that we were for sure leaving for an FMLA to visit my mom in TX and would be able to work starting again on Sat, bc driving there but I'm flying back. At home gave Growly his meds in a beef snack the roommate said to give him but he didn't eat it and I tossed it under the bed for him when he went under there, and it was gone later. I went to the couples massage of the MLD client I owe 4 to that is using them as a credit towards another service. She now has a $20 balance, didn't say to make it my tip. Got home, did laundry, the roommate was making his own closet that rolls of wood but the same flimsy wheels on the metal plastic one he broke from putting too much weight of clothes on it. He always talks to me like shit too, I just got home and he was like go inside get out of my way, I don't want you here. I had him bring me a cat food to feed miss kiki the outdoor cat and he did but bitched, then I was walking up the stairs and he said, this broad! or brawd, to nobody like its his inisible racist, misogynist friend he runs his mouth to and tells stupid racist impersonations to. I told him that and he said to shut up. He bitched at me like normal when looking for Growly under the bed about my bed having a lot of plastic bowls under it, him feeding the cat (who btw he took the food from when I put in the fridge to keep ants off it and the water is in the other room that the cat also drinks and the dogs drink her water he puts under my bed) and on and on about me. I lost it and threw my empty porcelain dollar tree mug at mantle and again and his flashlight told him that he cannot stop always berating me when I do his dirty dishes he can't do even when I was gone on vacation, I clean the scum off the tub bc he never does, I clean the house, I buy all the toilet paper and paper towels and cleaning supplies, and on and on, and told him I wasn't going to clean the mug that shattered and he can look at it and remind himself of the reason its there, him starting and escalating his need to always bitch about something, and when he wakes up in the morning or goes to sleep he can look at it and have something to immediately bitch about. He cleaned it up hours later. Hes a piece of shit. I was sitting there trying to unwind with my ice and peach cirroc I took from his room when he was fiddling with that stupid closet and he just had to go bitching and running his mouth like he is some old man entitle white fucking nigger that can do that shit, boss people around talk shit to them don't give a damn. I called his ass those names too. I fucking hate this loser. bald, tattoed, white fucking nigger fucking talking his fucking shit day in and day out like a fucking entitled white piece of shit that nobody ever says anything to. He can go fuck off. I got some rest and was in the middle of sending out their SOAP notes and receipts from earlier when I yelled at this scumbag. Went to bed around 11 pm, because I got home around 845, did laundry, argued, put it in dryer, and then went to bed. </t>
  </si>
  <si>
    <t xml:space="preserve">serving vanilla honey greek yogurt
(180.00	6.00	3.00	14.00	19.00	0.00	50.00)
3 servings gummy bears
(300	0	0	0	69	0	15)
1/3 chocolate Choceur candy bar
(360	24	10	8	28	4	40)
beyond meat patty
(260	18	5	20	5	2	350)
bun
(190.00	2.00	0.50	6.00	36.00	1.00	380.00)
3 servings baked cheddar sourcream Aldi brand potato chips
(480	27	6	6	45	3	540)
=180+300+360+260+190+480
=6+0+24+18+2+27
=3+0+10+5+0.5+6
=14+0+8+20+6+6
=19+69+28+5+36+45
=0+0+4+2+1+3
=50+15+40+350+380+540
</t>
  </si>
  <si>
    <t>cirroc peach</t>
  </si>
  <si>
    <t>Pot of Everything Legendary plant based meat with green bell pepper and 3 zucchini, makes 3-4 bowls:</t>
  </si>
  <si>
    <t>Oreida french fries, serving is 3 oz or 27 pieces</t>
  </si>
  <si>
    <t>motts fruit snacks, box of little bags holding about 6-7 fruit snack pcs, serving is 1 pouch:</t>
  </si>
  <si>
    <t>snack size bag baked cheetos</t>
  </si>
  <si>
    <t>snack size bag white cheddar popcorn</t>
  </si>
  <si>
    <t>Woke up at 630 am by alarm and leaving today assuming Mo gets the rental at the time she planned on it yesterday, today at noon. I need to get some paper towels and toilet paper and cat food for the house for the retard. He is almost out and never buys his own. He can't even sit still to see how to run the washing machine and will have a bunch of clothes piled up waiting for my return. Loser. Did the normal routine, fed Growly his stubborn butt his meds and the babies their food. He hasn't been eating his food right away for last few days but is up and ready to eat. I need to make sure I bring the necessities bc I plan on flying home. Want laptop, phone, charger for phone, tooth brush, soap, body soap, rubbing alchol, disinfecting spray and wipes, washcloths, pillow, small blanket, vitamins, checkbook balancing book, plain notepad for notes, underwear, bras, light shorts tshirt, scrubs both regular ones, shoes, makeup. Need the instant coffee, water, and mug too, and face masks. Some sandwhich baggies too. Also the weight scale and my tape measure and caliper measurer and a book, the R programming of genomics one. Easier to read or review the images. Measurements taken after a small BM and after eating my multivitamins with a serving of vanilla honey yogurt and after packing most of the things needed. Packed some little bottles and baggies of lotion and in the bottles dish soap, body wash, rubbing alcohol, shampoo and conditioner, got the toothbrush and toothepaste, some qtips, wash cloths, disinfecting wipes, 3 approx bottles some used up already, not completely filled, undies, socks, scrubs, massage gun infrared light hand held, guasha tools, bath towel. Quite a bit of stuff, about to shower and haven't spoken to my older sis or nieces since yesterday. Just Mo anyways. Not mom either. Hopefully she is good. About to make 3rd cup of coffee. Will bring instant coffee for trip. Mo cancelled bc she said that we couldn't see Mom in the hospital and we can't help with funeral arrangements or cremation until Mom gets better and gets her wedding license to get a TX license. Mom is in a hospital that has her on her stomach and giving her 5 doses of antivirals that make her really tired. She was in the hospital yesterday, but I called 1st of 3 hospitals that she was by chance in while waiting to start work and got her room number 242 in ICU that gave me her phone but it kept ringing. She didn't answer her cell phone in morning, and it went straight to voicemail on my break 3 hours later around 615 pm. Mo told me about her doseage and why she isn't answering the phone probably bc she called the ICU unit and they told her when she asked bc I asked if she knew about MOM and told her I knew her hospital and that it kept going to ICU charge station and ringing. They moved her to ICU from wherever she was yesterday, which is good, bc I talked to a doctor that said they make those calls and select those best able to survive to go to ICU. I have an appointment tomorrow at 6 pm, and work on Wed till 3 pm but am considering going down there WEd late and coming back Thur late on day off just to see how things are going with her, if I can see her. I ate a bunch of chips on my break. I had 1 cheese doritos, a white cheddar popcorn, a cheetos bakedd, and 3 motts fruit snacks, but before break and before work had 5 motts fruit snacks, 2 puffs chips, and a ranch doritos chips. After work, a full schedule even though they had to cancel all yesterday they were able to refill today and didn't check rest of the week. After work had another serving of that peach ciroque. The roommate has his little closet up and it looks like an old relic of past or something some hermit put together living somewhere like the guy living on property not his in New Jersey or close to it that was there for 30+ years and was 86 living off the land and collecting stuff and building a shack with little knick knacks that was 2 story high but burnt to ground while he was in jail for not vacating premises. Happened in last few months. It does hold up his clothes sturdily, he used a bit of the old clothes rack and built around it with wood parts he had from scrap of landlord's outside and his saw that he had. Yesterday I told him I didn't think he should be near things like that and worried for him before he gave me the cat food to feed kiki meow meow outside. and the fight/argument/sreaming festival/breaking mugs break. Growly escaped to the basement from it being wide open and he crawled in there to get him yesterday, but the landlord was over today and closed it up. There was a junk removal guy to inspect and give him an estimate. He told me the truck is $600. I told him to talk to the landlord who showed up a few minutes later before starting his work for the day on the other side of this duplex. Ate a lot of sodium foods today and ankles show it. Had to take off waist trimmer after 7 pm due to the pressure and broken grommets digging into my lower R side of back LB and around front too. Took it back home with me and didn't forget it in the ottoman at work that holds the day's linens/face cradles. Got home around 1030 pm and cleaned up a few spills and fed ms kiki meow meow, and saw her outside eating. She is a sweet cat. Not scared of Princess who alerted me to her presence after leaving the food bc of her constant barking. I brought them inside. I had that one serving of the peach cirroq alcohol while watching the last 20-30 minutes of The Third Day episode 3 that I actually didn't finish a few days ago and ate a bowl of the vegan meat and zucchini with pickles and tortilla round chips before going to bed around 1215 am.</t>
  </si>
  <si>
    <t>snack size cheetos puffs</t>
  </si>
  <si>
    <t>snack size doritos ranch</t>
  </si>
  <si>
    <t>snack size doritos cheese</t>
  </si>
  <si>
    <t xml:space="preserve">1/4 bowl of the PB EL meat zucc green peppers 
(64.19	4.35	1.13	4.13	2.05	0.49	84.71)
1 servings the french fries baked Orita Brand
(130	7	1	2	17	1	450)
5 bags motts fruit snacks
(400	0	0	0	95	0	150)
1 serving yogurt vanilla honey greek
(180.00	6.00	3.00	14.00	19.00	0.00	50.00)
1 snack bag white cheddar popcorn
(80	5	1	2	7	1	120)
1 snack sz baked cheetos
(120	4	0.5	2	18	1	210)
8 bags motts fruit snacks
(640.00	0.00	0.00	0.00	152.00	0.00	240.00)
2 cheetos puffs snack sz
(280	18	3	4	28	2	460)
1 ranch doritos snack
(150	8	1	2	18	1	190)
1 baked cheetos snack
(120	4	0.5	2	18	1	210)
1 white cheddar popcorn snack
(80	5	1	2	7	1	120)
1 doritos cheddar
(150	8	1	2	18	1	210)
1 bowl vegan meat zucc grn blppr
(342.33	23.20	6.03	22.03	10.93	2.60	451.80)
1 serving tortilla rounds
(140.00	7.00	0.50	2.00	16.00	1.00	80.00)
serving pickles
(30	0	0	0	8	1	150)
=64+130+400+180+80+120+640+280+150+120+80+150+342+140+30
=4.4+7+0+6+5+4+0+18+8+4+5+8+23+7+0
=1+1+0+3+1+1+0+3+1+1+1+1+6+1+0
=4+2+0+14+2+2+0+4+2+2+2+2+22+2+0
=2+17+95+19+7+18+152+28+18+18+7+18+7+18+11+16+8
=0.5+1+0+0+1+1+0+2+1+1+1+1+3+1+1
=85+450+150+50+120+210+240+460+190+210+120+210+452+80+150
</t>
  </si>
  <si>
    <t xml:space="preserve">1 bowl vegan meat zucc grn blppr
(342.33	23.20	6.03	22.03	10.93	2.60	451.80)
1 serving tortilla rounds
(140.00	7.00	0.50	2.00	16.00	1.00	80.00)
serving pickles
(30	0	0	0	8	1	150)
22 pizza rolls cheese totinos
(288.75	11	2.75	6.875	42.625	1.375	440)
2 sm avocados	
(322	29	4	4	17	18	14)
2 white cheddar popcorn snack sz
(160	10	2	4	14	2	240)
2 fruit snacks
(160	0	0	0	38	0	60)
1/2 bag gummy bears Haribo
(450	0	0	9	103.5	63	22.5)
1/2 choceur chocolate candy bar
(540	36	15	12	42	6	60)
1 bowl vegan meat zucc grn blppr
(342.33	23.20	6.03	22.03	10.93	2.60	451.80)
1 serving tortilla rounds
(140.00	7.00	0.50	2.00	16.00	1.00	80.00)
serving pickles
(30	0	0	0	8	1	150)
2 fruit snacks
(160	0	0	0	38	0	60)
cheetos puffs
(140.00	9.00	1.50	2.00	14.00	1.00	230.00)
=342+140+30+289+322+160+160+450+540+342+140+30+160+140
=23+7+0+11+29+10+0+0+36+23+7+0+0+9
=6+1+0+3+4+2+0+0+15+6+1+0+0+2
=22+2+0+7+4+4+0+9+12+22+2+0+0+2
=11+16+8+43+17+14+38+104+42+11+16+8+38+14
=3+1+1+1+18+2+0+63+6+3+1+1+0+1
=452+80+150+440+14+240+60+22.5+60+452+80+150+60+230
</t>
  </si>
  <si>
    <t>Woke up at 630 am by alarm, got out of bed at 7 am. Got about 7 hours sleep or 6.5 hours sleep, cleaned up a bunch of pet messes. Gave Growly his meds and only one water pill instead of double in morning, bc I noticed the roommate on my blink camera giving him meds yesterday and I think but didn't ask him if he is also giving him his meds. But he gave him his snack and that is how he puts Growly's meds to give him in a useable form by him. Made my 1st kcup coffee looked at the SCUHS documents for my cohort I didn't get around to yet. Pretty informative and clearly outlined. Can't wait to start. Had a sm BM after 1st cup coffee. Noticed spotty that started yesterday but didn't go away. I started spotting right before work but it increased only slightly at work but no light flow. It was so minimal before work I didn't think to put a pad on. Didn't need to at work. I might be starting my rag yesterday but will mark it and see if it is actually a full week of menstruation. I haven't had the med-heavy or heavy flow in a month or more. Had a 2nd cup of coffee and finished looking at the DC docs online and downloading them to save to the folder before finishing the cup of coffee. I also saw my financial aid went through and paid this term and I get back a little under $4k to help with expenses and will put on credit card to reduce interest and have for emergencies as needed. That's reassuring. I feel like I can do this and will do great in the program and they have a clear outline to move us along for each exam and making sure we understand all of what the exams go over. Had my 3 multivitamins with 3rd cup coffee kpod and bowl vegan meat and serving tortilla rounds chips with serving pickles. Called and checked on RV prices and saw one nearby for $720-750/month. Mom has a trailer pulled by a truck at least 250 power. The lady estimated 30 ft once I called her after speaking to mom a 2nd time. I am so happy and relieved she is doing well. After realizing I wouldn't be able to visit her bc she is in orange no visit unit and once moved to green then only face time and I will be too busy with school when it starts and work until Dec and in Dec travel is impacted and super expensive, I bought my 2nd half of textbooks, and have to wait up to 2 weeks for some of them. Measurements taken after a BM, breakfast, and 3 cups coffee. Had some pizza rolls and a couple small avocados for lunch and then snacked on the last half of gummy bears from a bag and last 1/2 chocolate almond candy bar of Choceur while looking at the facebook content to comment on current affairs in nation. Then while watching a new tv series on Hulu that has Steve Martin and Selena Gomez in it, the murders in the building or something like that, first 3 episodes, had 2 popcorn snack chips and 2 motts fruit snacks. Rearranged my desk bc the roommate keeps moving my bench and pushing the large table into it against the wall. Of course this asshole complains about it and wants me to fix it. He needs to be out of my desk and study space, he has no respect or decency , he never goes over there and now wants it avoided. I cannot stand this loser. He gets the larger room and has his boxes of toys and the boxes to package them stacked all over his room and the side room off that, and I have the little room and literally 1/4 the living room next to his room and it makes him so upset like a little bitch thats just got to have more than me and he cannot let my space be mine. He gets on my nerves so badly. I took a nap for 20-25 minutes at 3 pm but his loud video podcasts woke me, he always has them super loud. I have my alarm set for 5 pm to get ready for the 6 pm of the daughter of the client I had before whose house I went to last time and nobody showed up but the grandma let me set it up but it turns out my ringcentral app didn't notify me that I had a missed text from the client 4 hours before the appt to cancel it. I will check in with them 15 minutes before the appointment to make sure to drive out there. She gets out of class at 530 pm she said but I have to see if that was only Wed. Today is Tues. I broke a pair of earrings I literally bought yesterday at Macy's and returned them after my client at 6 pm. They are doing great, her mom was there. A lovely family. They wanted the MLD 10 massage pkg so I let them buy it. Thats cool, then after Macys, I actually got a refund of $3 and some change on card for Macys bc there was a better sale today when I returned/exchanged the earrings. Originally I was in line at the returns/exchanges but it took 10 minutes at least for one lady trying to get the only assistant there to try and find her package. I decided to go directly to the counter and bring the exact earrings as I didn't have actual packaging of the plastic and the individual receipt they place on it. I wasn't about to dig in trash with pet messes in it for the receipt. The lady understood. Then went to Winco to get the money orders for rent and put on porch, and had a drink of peach ciroq and did the laundry. Texted the landlord the rent is on the porch. They could be going out of town this week due to the Labor Day holiday. Not sure. The roommate let me transfer the money after he tried bitching at me some more about the amount of space I am taking up with my study space in this crammed place due to all his stuff. The guy who I sold the car to randomly texted me while I was massaging my client today too. I texted him and asked how he was doing too as a friend. So he doesn't try hitting on me again like he did some months ago. I also got a text from my chiropractic program advisor about the recorded zoom meetings of meet the Dean and EXXAT being available in the orientation links now with a passcode. I had the last bowl of vegan meat and pickles last of about 2 servings with a serving of tortilla rounds, and 2 fruit snacks, and last bit of the chocolate bar I didn't eat earlier that I already calculated in nutrition. Also had a snack size of cheetos puffs before going into Winco. My rag started getting more light than spotty before leaving to the client's house, so I put a thin pad on. Bed time after updating nutrition for day and having laundry in dryer. That was about 1045 pm.</t>
  </si>
  <si>
    <t>jack and coke</t>
  </si>
  <si>
    <t>snack sz baked BBQ potato chips</t>
  </si>
  <si>
    <t>snack sz baked potato chips</t>
  </si>
  <si>
    <t>reg frito lays cheetos not baked snack size chips</t>
  </si>
  <si>
    <t xml:space="preserve">3 servings pizza rolls totinos cheese
(630	24	6	15	93	3	960)
5 fruit snacks
(400	0	0	0	95	0	150)
1 sm avocado
(241.5	21.75	3	3	12.75	13.5	10.5)
1 BBQ baked snack sz potato chips
(110	3	0	2	19	1	125)
1 baked potato chips snack sz
(110	3	0	2	19	1	220)
3 cheetos snack sz
(480	30	4.5	6	45	3	750)
coca cola about 1.25 servings from a 2 L bottle or 1.25 of a mini size cola
(112.5	0	0	0	31.25	0	37.5)
=630+400+241.5+110+110+480+112.5
=24+0+21.75+3+3+30+0
=6+0+3+0+0+4.5+0
=15+0+3+2+2+6+0
=93+95+12.75+19+19+45+31.25
=3+0+13.5+1+1+3+0
=960+150+10.5+125+220+750+37.5
</t>
  </si>
  <si>
    <t xml:space="preserve">Woke up at 530 am by alarm, laid in bed while the roommate got home, cleaned pet messes, and did whatever, tried to nap but kept waking up every 5-10 minutes thinking I missed my alarm. Got out of bed a little before my 630 am alarm went off, did normal routine with coffee and feeding the babies with Growly his meds. Restarted dryer and had 1st cup of coffee, folded laundry made 2nd cup, took measurements, had lg BM, and got ready for work. I did have an MLD client after work I haven't seen in a month but she rescheduled for Thur 7 pm and today earlier it said it was going to rain 89% chance but now at 720 am says just cloudy. After a lg BM retook measurements and my waistline was 30. 75 and 32.25 and weight was 145.0 five minutes after taking measurements after 1st cup coffee and before breakfast. Yogurt for breakfast then multivitamins. Had about 15 cheese pizza rolls for breakfast on the way to work and 15 more approximately for lunch, and 3 bags of cheetos between lunch and on the drive home and cheese doritos. Left my nieces' gift cards with their step dad bc they weren't there like always to get them. So whatever. Went to Vons and got a bottle of Jack Daniels and a 2 L coca cola. Got home, the roommate was home and was feeding the babies and gave Growly one of his water pills. I will give him his other water pill and his heart pill in a few hours. Wanted to reorganize the room and my bedroom in particular and take out the litter box and put in the living room and move the shelfs around because of my little bitchy roommate bitching about me taking this study space as my own to study and getting in his way. Why can't he just shut his fucking mouth!? He always harrasses me and talks about me to his invisible racist misogynist friend out loudly like everything I do wrong. He is a loser. I wasn't able to speak with my mom when I called her cell phone and room at the hospital at lunch time. And checked the messages and the landlord did reply thanks yesterday at 920 pm approx. On the way home I saw a flattened possum by my house in road on 8th street by crosswalk of Grand BLvd. Made me think it was that cute little guy that climbed around at night a few weeks ago. It was so adorable. Poor little guy. I moved around furniture and fit my desk and bench in the bedroom of mine and emptied out the area in the living room by moving one of my 3 drawer laundry cabinets on top of another in the bedroom and moving the white moving table to block the sunroom and put the electronics for the video feeds of outdoor cams and the wifi and internet by 7 pm. Had 2 total jack daniels and coke all day at this point and made some french fried from Oreida about 2 servings. By 8 pm had the 3rd and final jack and coke and serving pizza rolls with 1 sm avocado a snack sized BBQ potato baked chips and reg baked potato chips snack sz. Went to bed by 12 am. After putting my laundry in the washer and whatever the roommate had rerunning on the dryer cycle on. Looked over a few of the med school text books on my new desk set up in my bedroom away from the roommate's negative energy. Just need a curtain to put up to keep him out of my vision. Watched a few movies while drinking and eating one Hotel Mumbai, good movie dramatic insane, and other The Nightingale about a bunch of scummy people and rape scenes and murder painting the Australian conquerers from England as rapists and murderers in one small faction that killed the aboriginal peoples and raped the convict women and aboriginal females and murdered them like rodents. Doesn't sit well with me on the other angle as I am female, had a criminal record of domestic violence, and am Filipino or a mix of south east asian islander that shares more satellite DNA with the aboriginals of that location when looking for those populations that share more Denisovan ( a type of neanderthal homonid that isn't related to each other but did mix at some point in the last millions of years). The white scumbags of the 1600-late 1800s were the most scummy, narcissistic, ignorant peoples of the world. They killed off, the soldiers in search of land and conquering, people like roadkill everywhere to get them off the land to bring in their own and the basic viking rape and pillage. But also the dialogue acting of the main character was kind of bad at some points. </t>
  </si>
  <si>
    <t xml:space="preserve">Woke up at 530 am when the roommate got home so that I could put in my clothes in the dryer without him touching them and dropping them on the ground then went back to bed, and turned off 630 am alarm. Started getting a slight headache from not having caffeine at normal time around 715 am and got up and out of bed by 730 am. Did the normal routine, the dryer was still running, made my kpod coffee and need more kpods, then fed Growly his meds with the babies' food. Then updated nutrition from yesterday and had a 2nd cup of coffee and a lg BM. Then took measurements. I haven't been on my rag, just a little light the other day, two days ago, but then just spotty. Last night not spotty at all. So not marking today as menstruation unless I start spotting more throughout the day. A weird cycle, might be going into premenopause early, and that can last 10 years. Had yogurt with my multivitamins afterwards while finishing my 2nd cup of coffee by 9 am. I also fed the cat around the time of doing the laundry 8 am the one outside, it wasn't waiting but I saw it on the camera a few minutes later eating the food and crossing the side house. I noticed the trash wasn't collected at 8 am and it is normally collected for waste trash not recyclables or lawn trash around 630 am. Later heard a few trash trucks but didn't check. Next week is a holiday, labor day, not this week. So thought that was odd. Had 3rd cup of coffee while putting away laundry. Spotty today on rag by later in the day. Had a serving pizza rolls and french fries later then a half serving or last of bag of pizza rolls and french fries an hour after that while watching the orientation video of EXXAT and meat the dean and putting away my chemistry supplies and throwing out the boxes, bc the mid shelf fell back again, and I just decided to not fasten it to the little plastic sides that aren't able to meet it as they don't touch exactly and laid it on top of the middle layer that it thankfully fit. It would be a great shelf if it didn't take long to put together the storage cabinet and the plastic didn't break. I also had the 3rd cup of coffee before watching the video I didn't get to finish bc I started it after 1030 am. and later had my 4th cup of coffee before the shower to get to the Murrieta appointment that took almost an hour to get to due to traffic. Snacked on a baked potato chips watching movie and had 1 sm avocado with first set of pizza cheese rolls and on the way to the client's house had a reg cheetos and doritos not baked either one full sodium and calories. The client was new and nice. The 7 pm rescheduled for Saturday after work. I got home did laundry had one jack and coke and one jack and just ice with water on side. Then ate an impossible frozen patty with some cinnomon bun english muffins and another sm avocado made in air fryer bc the avocado was too firm and with pickles. I also stopped by Target right after the client in Murrieta and before arriving home to start the laundry to get school supplies, sciccors, papertowels that they had cheap ones bc the roommate uses too many papertowels that aren't needed. Already out from an 8 pack of good quality paper towels after 2 days. They absorb much better than the cheap ones but he layers them on all the time like they aren't cheap. As long as he isn't buying them. I actually folded his clothes out the dryer too but not his boxers or socks because he is particular about how they need to be folded. </t>
  </si>
  <si>
    <t>Thomas' cinnamon bun english muffins</t>
  </si>
  <si>
    <t xml:space="preserve">serving yogurt
(180.00	6.00	3.00	14.00	19.00	0.00	50.00)
1.5 servings pizza cheese totino rolls
(315	12	3	7.5	46.5	1.5	480)
2 servings french fries
(260	14	2	4	34	2	900)
2 sm avocados
(322	29	4	4	17	18	14)
1 impossible frozen burger patty
(240	14	8	19	9	3	370)
1 set english muffins cinnabun flavor
(150	1.5	0.5	5	30	1	200)
4-5 pickles
(30	0	0	0	8	1	150)
1 bag baked potato chips
(110	3	0	2	19	1	220)
1 bag cheetos
(160	10	1.5	2	15	1	250)
1 bag doritos
(150	8	1	2	18	1	210)
mini coca cola for 1 jack and coke
(90	0	0	0	25	0	30)
=180+315+260+322+240+150+30+110+160+150+90
=6+12+14+29+14+1.5+0+3+10+8+0
=3+3+2+4+8+0.5+0+0+1.5+1+0
=14+7.5+4+4+19+5+0+2+2+2+0
=19+46.5+34+17+9+30+8+19+15+18+25
=0+1.5+2+18+3+1+1+1+1+1+0
=50+480+900+14+370+200+150+220+250+210+30
</t>
  </si>
  <si>
    <t xml:space="preserve">Woke up at 530 am by alarm, but slept till 630 am bc the roommate was in my way and just getting home. Did normal routine but Goody decided not to eat and Princess ate his food. He went outside to potty and took a while coming back in. I will feed him before leaving for the day. Restarted laundry in dryer, and updated nutrition. Still spotty and ankles still kind of swollen. Growly was given his meds in his food and ate it but not right away. Started the 1st cup of the vanilla bean flavored G&amp;G kpod coffee for 1st cup and started 2nd cup but had a lg BM after updating this nutrition database and other features and before folding laundry and eating breakfast with my multivitamins. Measurements taken after folding and putting away laundry and before breakfast and before 3rd cup of coffee but after 2nd cup of coffee. Had multivitamins with yogurt. The alarm went off before measurements and putting away laundry had to get ready for work. Last of the yogurt about 2/3 servings or 1/2 cup with multivitamins, at work had 4th cup coffee kpod carmel machiato G&amp;G, Had 2 vanilla Bean G&amp;G this morning with 1 carmel machiato G&amp;G for 4 total cups coffee, and 2 bags cheetos where 1 at breakfast before work and 1 at lunch with one bag each of the doritos ranch and cheddar and after work 1 doritos cheddar. AFter work a jack and ice water with serving of about 20 pizza rolls with last serving french fries airfryed. The 7 pm cancelled. Thats ok. She's a nice lady I told her as long as she cancels at least 2 hours before appointment not to worry. She is a nurse and probably has been picking up some shifts but also a mom of young children under 10, 3 of them. The roommate is probably the one who packed the trash cans filled with the junk. I know the junk people were over for estimate a few days ago, then were here again with landlord both times meeting him a few minutes later, but yesterday it looked like they didn't pick anything up and today it was cleaned but some junk left organized in piles. I just found out it was the junk people who packed our trash cans full of junk or the landlord or his workers but definitely not the roommate. He always claims any idiot thing he does and says not to go against it like its not an idiot thing to do as the trash won't come by until Friday instead of Thursday next week and all are filled, the waste, the recyclable, and the lawn of the junk wood pieces that were piled in the back. The junk people did organize the different types of junk into piles like laundry sorting, but dumb for filling our trash bins. Not cool. Had another drink of jack daniels over ice water and watched the 4th episode of The Third Day on HBO while snacking on a serving of pizza rolls and a small avocado made in the airfryer. Went to bed around 1015 pm but right when I was about to go to bed the neighbor revved up his motorcycle and kept at it intermittently until about 1115 1120 pm so I moved my van to the front where the horn faces their window and set off my alarm around 12 am, 2-4 am, 430 am and 530 am. If I don't get good sleep, neither do they. And they have a toddler. The neighbors are inconsiderate. </t>
  </si>
  <si>
    <t>back, machine rows mid trapz/deltoids/rhomboids 3 sets 12, 40 lbs
back, lower trapz/deltoids/latts/teres minor 3 sets 12, 50 lbs
inner thighs, 3 sets 12, 40 lbs
outer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shoulders/hips/hams/quads/neck/triceps/deltoids/pecs</t>
  </si>
  <si>
    <t xml:space="preserve">baked cheddar sourcream chips
(110	3	0	2	19	1	125)
2 doritos
(300	16	2	4	36	2	420)
2 cheetos
(320	20	3	4	30	2	500)
1 ranch doritos
(150	8	1	2	18	1	190)
36 pizza rolls cheese totinos
(472.5	18	4.5	11.25	69.75	2.25	720)
1 small avocado
(241.5	21.75	3	3	12.75	13.5	10.5)
serving french fries
(130	7	1	2	17	1	450)
hasbro gummy bears bag
(2025	0	0	40.5	465.75	0	101.25)
=110+300+320+150+472.5+241.5+130+2025
=3+16+20+8+18+21.75+7+0
=0+2+3+1+4.5+3+1+0
=2+4+4+2+11.25+3+2+40.5
=19+36+30+18+69.75+12.75+17+465.75
=1+2+2+1+2.25+13.5+1+0
=125+420+500+190+720+10.5+450+101.25
</t>
  </si>
  <si>
    <t xml:space="preserve">baked potato chips
(110	3	0	2	19	1	220)
2 baked cheetos
(240	8	1	4	36	2	420)
1 impossible patty
(240	14	8	19	9	3	370)
1 Thomas English muffin cinnabon
(150	1.5	0.5	5	30	1	200)
1 serving pickles
(30	0	0	0	8	1	150)
1 Everything legendary plant based patty
(100.00	6.00	4.00	8.00	2.00	0.00	280.00)
1 Thomas English muffin cinnabon
(150	1.5	0.5	5	30	1	200)
1 serving pickles
(30	0	0	0	8	1	150)
1 baked cheetos
(120	4	0.5	2	18	1	210)
1 baked BBQ chips
(110	3	0	2	19	1	125)
20 cheese pizza rolls totino
(262.5	10	2.5	6.25	38.75	1.25	400)
=110+240+240+150+30+100+150+30+120+110+262.5
=3+8+14+1.5+0+6+1.5+0+4+3+10
=0+1+8+0.5+0+4+0.5+0+0.5+0+2.5
=2+4+19+5+0+8+5+0+2+2+6.25
=19+36+9+30+8+2+30+8+18+19+38.75
=1+2+3+1+1+0+1+1+1+1+1.25
=220+420+370+200+150+280+200+150+210+125+400
</t>
  </si>
  <si>
    <t xml:space="preserve">Woke up at 530 am by alarm, did normal routine after setting off alarm one last time. The roommate got home at that time and asked why I parked in the front instead. Didn't tell him why, but I do have better video of the vehicle. Gave Growly his meds by oral syringe, and noticed when cleaning the pet messes the ants are going after their poop and it was bloody in the mess the ants weren't on. Supposed to be a hot weekend. I guess I can predict that from the ants all over everything. They disappear when no food is there. Usually they don't go after dog poop. Just the canned cat food I leave outside. But also the radio hosts say it is going to be hot today and this weekend and Labor Day weekend. Got paid and paid some bills. and transferred money I didn't earn yet from prepaid accounts into savings. Keeping one lady's because she rescheduled the 2 appointments she made. Had a bag of baked chips with my multivitamins, making an impossible burger for lunch with chips. Thought I ate all the baked cheetos but still have 2 bags for lunch. Short day, long days start next weekend. Only ate 1/2 the bag of snack sized chips with vitamins, had a lg BM, then packed up the stuff for lunch and took measurements before taking a quick shower before work. At work I arrived a few minutes bc I forgot to set my waze back to allow freeways and it had me taking side streets and I didn't realize until half way to work that I could have taken the freeway. I called work at 735 to let them know 3 minutes late and they informed my regular who I have been 15 minutes late on before. Nice lady. I got there exactly 3 minutes after time to take client in for 8 am appt. Not too bad, but could have been avoided had I remembered to turn back on the app to allow freeways. After my 2nd client, she seemed so wise with the misogynist and toxic types as she divorced one too who didn't father her kids but spent many years with. They don't change, refuse to until too late and I think revert back even if they do for a little while bc they don't respect women and are misogynists that are entitled. She brought up the gym just to get dressed and show up even 20 minutes. So I decided I would go as my last appt was a no show but I got paid. Got there and planned on 20 minutes but of course turned into 45 min to an hour. Its ok, at least I worked out with machines and some barbells and did some stretching. It was hot today and checking right now it is 98 degrees. For lunch had the impossible patty, on a cinnabon Thomas english muffin with pickles and the rest of the baked potato chips and 2 of the baked cheetos. And a 4 th kpod coffee. Then after work, worked out from about 2 pm until 250 pm. Got home around 3 pm, and fed the babies and Growly his 2nd half of his meds. Didn't see any of my text books that are arriving in next 3 weeks. Found out by looking at one of the campus store orientation ppts in my dashboard that we will get our medical kits in 3 weeks after school starts and they will send out an email, to check our student emails to see if we have anything. I have most of my courses up on canvas. I need to look at the syllabus' of each course and see the exam dates and times and plan for blocking my side biz schedule to study for those exams to do well, and for major assignments that could be possible like in general chemistry 1A with assignments that took 5-7 hours in first few weeks for mastering chemistry homework questions. The workout earlier wasn't a total body workout so I put down 0.75 for the feature of that name. And indoors it was air conditioned, but outdoors around this time was 99 degrees. I had a jack and ice water at home after eating some pizza rolls. And looking at the few syllabus up for 2/5 classes. Not something to plan for exactly, bc need the exact date, but it has the week with two classes in one and a quiz, estimates 1-2 hours to study for each quiz. Still spotty today, and waited about 3 hours after 1st drink to have the 2nd drink around 740 pm. same jack and ice water watching some old stuff on tv hbo max westworld tried a few other shows didn't peak my interest. This one isn't either, but the Third Day is gross, has creeps and sickos in it and the material and carnage is yuck. </t>
  </si>
  <si>
    <t xml:space="preserve">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obliques/deltoids side raises and lowering, 3 sets 12 reps 15 lbs each arm
obliques side twists, 1 set 12 reps 7.5 setting, 2 sets 12 reps 10.5 setting each side
</t>
  </si>
  <si>
    <t xml:space="preserve">baked chips
(110	3	0	2	19	1	220)
24 pizza cheese rolls totino
(315	12	3	7.5	46.5	1.5	480)
double poki salmon bowl, brown rice, ponzu sauce, cucumbers, ginger, misago, sesame seeds
(605.50	16.28	5.35	18.90	96.95	8.35	944.00)
EL PB patty
(100.00	6.00	4.00	8.00	2.00	0.00	280.00)
2 slices oat bread
(220.00	4.00	0.00	8.00	38.00	4.00	270.00)
1/4 cup mozz/parm
(100.00	6.00	4.00	8.00	2.00	0.00	280.00)
serving pickles
(30	0	0	0	8	1	150)
bag bbq chips
(110	3	0	2	19	1	125)
=110+315+605.5+100+220+100+30+110
=3+12+16.28+6+4+6+0+3
=0+3+5.35+4+0+4+0+0
=2+7.5+18.9+8+8+8+0+2
=19+46.5+96.95+2+38+2+8+19
=1+1.5+8.35+0+4+0+1+1
=220+480+944+280+270+280+150+125
</t>
  </si>
  <si>
    <t>Woke up by alarm at 530 am but was very tired, exhausted. I laid in bed until 615 am and got up to make my 1st cup of kpod coffee vanilla bean and make the babies their food and Growly his meds by oral syringe. The roommate was home last night and dishes of his are in the sink but it was empty when I went to bed. I have laundry in the dryer that I restarted. I watched the end of the Westworld series and finished it by about 1045 pm and went to bed by 11 pm. I was looking through my textbooks last night for first time on all of them. Seems interesting, more in debth, a bunch of anatomy. The models look like the same ones in some other books like the MBLEX test prep book and weird showing a bunch of the models' butt cracks in some texts. I forget which one. The photos look old like the 70s or 80s. I got about 6 1/2 hours sleep. My body is feeling tired from the workout yesterday and probably dehydrated. Feeling sore in my pecs/chest/anterior deltoids. I looked at my ankles and they're not swollen, but were when I went to bed last night. And still just spotting on menstruation. Haven't had an actual flow in a while. I should have an MLD client that is prepaid today after work, but will check with her to see. Measurements taken after a reg lg BM and 2 cups coffee. 3 cups coffee before leaving for work and after showering. Vitamins taken with a bag of baked chips. planned to have pizza rolls for lunch and breakfast on way to work. But ate all pizza rolls about 24 of them or 1 1/2 servings pizza rolls on the way to work. At lunch time had a double salmon poki bowl with brown rice, ponzu sauce, misago, cucumbers, ginger, and cream cheese and a 4th cup of kpod coffee. I sent the LMTs I had in my phone from Massage Heights Newport Beach Tierian, Elena, and Madison and the Massage Heights Chino Hills Dahlbert a photo of the sign saying to bring an LMT to get hired at my work and get $500 if full time and after 90 days or $250 if part time. And a previous text as group message added to the initial message sent the other day of work I think yesterday, and I finally got a reply from Dahlbert to stfu and that he and they get it that we need workers but to stop sending them stuff. I told him I was trying to help him out bc I know they don't make as much, aren't respected or treated civilly as human beings by making them use used toilet paper rolls instead of client toilet paper and having to wait 11 days after pay cycle and getting paid after holidays or weekends if the pay day falls on that day and also being yelled at by lead massage therapists at work, and that he can see how it seems I am bragging about being paid living wages instead of trying to help him and he also said its people I don't know or like, and he doesn't know them. One is a person I stay updated on instagram and facebook but rarely like any of his stuff Tiernan or get any likes on my posts by him that I didn't tell him. He can go fuck off for all I care. Trying to help some loser abused out and they do that to me, they can go fuck off. Not interested. He will be taken off my contacts. I just looked and he isn't in my contacts before taking him off of my contacts. But he shows up on the text. He also said that 'with my android ass' like that means I am cheap or don't make enough for an iphone, or everyone else has an iphone. Not sure what that means. I have stopped 'liking' photos of shares and posts on instagram and facebook because the feed of mine will only populate it with their posts if those are the only posts I 'like'. Time to take a break from that crap probably for a long time or near forever. Time consuming and negative for self esteem and not much added worth for social media aquired business. I tried to confirm over RingCentral app the 5pm today and didn't get a reply but it is confirmed in the app, but I have been to her house before and it wasn't a good outcome as I didn't get the message in time that she cancelled, and I set up and waited, but more importantly, the time there, preparing, setting up, waiting, then leaving took about an hour just for that. I don't want to waste my time. Tempted to refund all my clients just so I don't have to be obligated to keep their appointments. I don't know and have no way of knowing when she confirmed the appointment. It just says confirmed in the app for square and the no show policy is checked but its also the wrong service. She booked the one hour $60 when it should be the $0 prepaid already MLD massage. None of the appointments should have the no-show protection confirmed. She was all good. Her 2nd. Need to make SOAP notes and receipt for her. Very nice young lady and her mom. I went to work out after the client and did about a 35 minute workout of arms and obliques, the side twists with 10.5 setting at arms 90 degree at sides pulling, and the downward oblique side flex with some deltoid shoulder lifts 15 lbs each side 3 sets 12 for all exercises, except the triceps pull down for the 30 lb only 10 reps each set of 3, and the dumbbells for the deltoids side lifts 5 lb, the military press 30 lbs of dumbells 15 each side, and the tricep extension on bench making an arm kick back, and the shoulder shrugs upper trapz, and biceps, all 3 sets 12 reps with 15 lbs. Went to Winco next and got more canned cat food, another sweet but skittish kitten, black with yellow eyes has befriended us and the bigger more docile street savy black cat with green eyes. I fed it when I got home, the side diagonal neighbors are having a BBQ gathering and I smell their meat like brisket or something in a smoker, it was on before when leaving to clients and after but with people gathered about 10-15. I got 2 40 pack waters, two of the upgraded winco paper towels that are $4/6 pack instead of $3/6 pack, and 2 of their toilet papers, 3 rubbing alcohol 70% strength, some foil, some chocolate candy bars, Andes mints/Hersheys toffee almond, cadbury type choc almond large size candy bars and box of the small box Andes. Also some more cleaner spray and wipes and dish soap. Not the other two items I have been thinking about like the shower curtain rings and the dish soap that is mid size bw $9-11 instead of the small at $6-8 or the large at $14-18. They didn't have it, nor could I find the shower rings for curtain. The ones I got from Ross months ago suck and it has been on my mind to get the good regular ones that aren't 1/3 a circle and just big enough to not slide on the shower rod but get stuck in place and have to manually be babied to open and close or else they fall off. They were only $5 at the time, probably thought a $5 savings off an expected $10 for the no hassle kind. I didn't like the others and assumed I would like these when I replaced them before trying them out and that was a mistake to throw out the other ones as soon as I put these loser ones on. I also drank a drink after doing a bunch of dishes and fed the babies 1 tiny bit of the cadbury type chocolate with almonds. They can't have too much. I also gave Growly his meds when I got home from work before leaving for the client's house. When I went to the gym after the client's appointment around 6 pm it was still 103 degrees approximately and stayed that way pretty much all day bw 102 and 103. Also, a long time ago I was in a foxy boxing video where I learned to box, not proud of it, but will get defensive if any person tries to use that against me in trying to improve myself, the theme song for that video, look it up if you can and want to see me a sexy beast at age 22, I am now 39, anyways WGFC.net, the video last I checked was $10, Sabrina was who I made out with fourplay, not counted in my count as my husband is #40 ever, but three females I do believe are. Not my thing for permanent, it was just for thrill and in wild days. Very submissive to a point but easily reverse psychology sqeeze theorem controlled into doing things I would not have done had I a better more positive outlook on life and prospects for my future. Wild Girls Fight Club. I am Janice, as they spelled my name wrong, the only good looking one, wink wink, just kidding. This was 2003, I actually technically knocked out the video material for the 2nd DVD, but they didn't raise enough for this one so I end up as a win on one fight and a technical knockout on other, they called me Taz because I spin fist punched Sabrina, the girl I made out with, when she was punching me in the back of the head and back kicked her. She is actually the reason my jaw  made my front tooth slide out of alignment and stay that way for years. I was 111 lbs and she was 135 lbs and I wasn't experienced in boxing, but I got my experience in my break and next promo for the other 2 fights. You really only learn those skills in the ring in competition, bc its all for show and no momentum or balance or placement of feet until that point. Kind of like throwing a baby in the water to sink or swim. But your trained with basics before doing it. Anybody who brings that up to keep me who lost my virginity at 14.5 years old and has schizophrenia and autism can suck a duck, and get prepared for battle as I label you a misogynist, a sexist, a racist, extremist, etc. There is nobody who was hurt in that filming and I was paid $1500 for it and it was on camera. Kiss my ass but I don't tell anybody. Feel free to if you want to, nobody cares. And its only showing tits and R rated fourplay with another female. One of the producers tried really hard to get me to make out with him for the camera, but he was repulsive and I wasn't going to do that. He was like a misogynist who wants females at his mercy just like most guys who workout and don't do much with their lives. Lets stop there, the theme song was playing on the way into the gym like I was going to get ready to hit the bags after posting that instagram of that ex coworker who had the nerve to tell me to stfu. Loser! He wasn't enough to get me there. I still have muscle memory anyways, bc Princess got out the gate and as I was unloading the light stuff the roommate left the gate open and I heard him yell, 'Princess, get over here!' and she ran over and without any other action I kicked my foot out right when she almost ran into it. But she stopped and I got her in the house. She must have saw the little kitten run away. Poor little kitty. Its so cute. It meows for food, but hisses when I get too close to it when laying the food close to her. Didn't eat food after work, the client, the grocery trip and workout prior to that, and had the drink and putting in this updated notes. Went to bed around 1030 pm after putting laundry in the dryer having a PB based burger and a couple drinks.</t>
  </si>
  <si>
    <t xml:space="preserve">Woke up at 530 am by alarm. Had to get up bc I have to get ready by 630 am. Did normal routine and folded laundry. Had a lg BM after 2nd cup of coffee and made 3rd cup of coffee and pizza rolls to eat later. Took measurements after BM. Ankles are swollen and didn't notice any spotting over night but did spot yesterday. Didn't see if they were swollen last night before bed but didn't start the day swollen. Prob the ponzu poki bowl sauce high sodium yesterday at lunch. Started out a hot morning to comfort level. At work was labor day and started a full schedule but the middle cancelled not sure if paid for it but did get an hour booked in that 90 minute spot.For lunch had 85 degrees bakery but the milk tea in the bottle upset my stomach with gas and felt burpy and later just gas but felt like I was sick with that sharp gut pain gas gives. First time drinking milk tea had about 2/3 the bottle then when the client no-showed or cancelled and the other client getting out of a facial booked an hour massage 30 minutes later because the hour started already, I had a 4th cup kpod vanilla bean coffee, it made me sweat. After work started drinking and looking at Amazon and noticed even though I ordered the books by ISBN number ID the editions were wrong so I ordered the versions by edition in kindle and downloaded the kindle app to this laptop first time at PC 5 kindle, Over ten or so years. Thank fully not more than $40 for the two kindle versions to rent until 12/22/21, but the other 2 books are the correct ISBNs and no kindle version for them to rent. So I will see. I also ordered some shower curtain rings and another clock. I don't know what I did to my other little clock. I can't find it. I know I had it at the client in Murrieta but I didn't see it in the bag or at home in the cat tree or the RF machine cart in the back or the middle console. Not sure where it is. I also ordered a stylus. All 3 arrive tomorrow according to AMazon, and my first class in the DC program is at 10 am. I am lab B, and I did see the email that all labs meet at 10 am and log into the provided zoom link. I will have to do this at 945 am or so, bc it was stated discussed to do so in orientation or somewhere that I read in orientation material. I need to make the backdrop pro and conceal my bedroom and add a pro photo if I don't want my video to be on. I only have that one 2 hour class tomorro from 10 am - 12 pm. After doing the book searches and purchases, I still need 4 books to arrive between the 9th and 21st of this month. But I ate a PB patty on oat bread with mozz/parm and pickles and 6 pcs or 1/4 the cadbury chocolate candy bar, and had a total of 3 jack daniels and ice with water on the side. Also, that indigestion made me have 2 small BMs after work bw 3 and 5 pm. I am sore today from the workouts over last few days on my legs and chest and shoulders. And triceps. My legs just my hamstrings not my quads. </t>
  </si>
  <si>
    <t>cadbury chocolate almond candy bar, 5 pcs is  serving, 3.5 pcs per bar, serving:</t>
  </si>
  <si>
    <t>Milk Tea 85 degrees bakery, 2 servings per bottle, 1 serving:</t>
  </si>
  <si>
    <t>16 pcs cheese pizza rolls totino, a serving
(210.00	8.00	2.00	5.00	31.00	1.00	320.00)
2/3 bottle 85 degrees milk tea
(493.33	21.33	21.33	0.00	85.33	0.00	6.67)
salt butter bread 85 degrees bakery
(320	17	10	6	35	0	430)
bb muffin 85 degrees bakery
(600	8	3	15	120	0	600)
6 pcs or 1/3-1/4 cadbury chocolate almond candy bar
(180	9.6	4.8	3.6	19.2	1.2	30)
EL PB patty
(100.00	6.00	4.00	8.00	2.00	0.00	280.00)
2 slices oat bread
(220.00	4.00	0.00	8.00	38.00	4.00	270.00)
1/4 cup mozz/parm
(100.00	6.00	4.00	8.00	2.00	0.00	280.00)
serving pickles
(30	0	0	0	8	1	150)
=210+493+320+600+180+100+220+100+30
=8+21+17+8+10+6+4+6+0
=2+21+10+3+5+4+0+4+0
=5+0+6+15+4+8+8+8+0
=31+85+35+120+19+2+38+2+8
=1+0+0+0+1.2+0+4+0+1
=320+7+430+600+30+280+270+280+150</t>
  </si>
  <si>
    <t xml:space="preserve">9 cheese pizza bagel bites, serving is 4 bites, a pkg has 2 1/4 servings, 1 serving: </t>
  </si>
  <si>
    <t xml:space="preserve">Thomas English muffin cinnabon
(150	1.5	0.5	5	30	1	200)
EL PB patty
(100.00	6.00	4.00	8.00	2.00	0.00	280.00)
2 slices oat bread
(220.00	4.00	0.00	8.00	38.00	4.00	270.00)
1/4 cup mozz/parm
(100.00	6.00	4.00	8.00	2.00	0.00	280.00)
serving pickles
(30	0	0	0	8	1	150)
9 cheese pizza bagel bites
(405	11.25	6.75	13.5	63	2.25	810)
3 servings baked cheetos
(360	12	1.5	6	54	3	630)
3 pcs cadbury chocolate almond candy bar
(90	4.8	2.4	1.8	9.6	0.6	15)
=150+100+220+100+30+405+360+90
=1.5+6+4+6+0+11.25+12+4.8
=0.5+4+0+4+0+6.75+1.5+2.4
=5+8+8+8+0+13.5+6+1.8
=30+2+38+2+8+63+54+9.6
=1+0+4+0+1+2.25+3+0.6
=200+280+270+280+150+810+630+15
</t>
  </si>
  <si>
    <t>Woke up at 530 by alarm but laid in bed while roommate got home and unpacked his lunch stuff from night and got out of bed by 630 alarm and did normal routine, fed Growly by oral syringe, fed babies food, made my coffee, had a reg sm BM by 2nd cup coffee vanilla bean kpod, and another small one by 3rd cup. Then took measurements. Feels more warm lately than the weather is reporting at this time. I am comfortable but usually I am cold around 60-70 degrees or colder. Was looking at how much I spent on my Amazon account for my supplies and listed it out and bought a couple more kindle versions of text books that were pricey almost the same for one hard copy and more expensive for the other hard copy of the textbooks needed for my on campus lab of the chriopractic procedures. Am using my kindle fire to take to that on campus course on Wed/Thur afternoons. My ankles didn't start out swollen but had wrinkles where normally puffy and swollen, kind of unusual. Got about 1015 pm to 530 am sleep hours of about 7 hours bc I laid in bed a bit just resting not fully asleep before 630 am. I have 18 books, 2 are purchased hard copies and kindle copies bc they will arrive after school starts by 2-3 weeks, and there are 2 kindle editions that are the later editions needed, that the ISBN numbers didn't give with the correct typed edition and they are rentals only through Dec 22nd 2021. I spent $1732.35 on only the text books, and the study aids for biology and chemistry as this will improve my understanding with the microscope and slides, pippettes, beakers, blades needed, stethoscope and BP cuff, lab kits, disposable gloves, beakers and glass measureing tubes and containers was ... $482.40. So far I have spent $2,214.75 on supplies and study aides and all the text books for this term. Hopefully these books are used again next term. My advisor texted me to make sure I am checking into first class today, which is helpful. I plan on taking multivitamins with a Thomas's English muffin cinnabon flavor. Then showering and getting ready for first zoom meeting. Maybe working out with weights later. Body still sore. Not too much though. Went through the lecture and notetaking and then the readings and took the preclass quiz 1 finished by 745 pm just before 8 pm, and looked at the other 4 classes, much reading, will definitely be doing that for a while, no due dates on the courses and wrong dates from last term in two classes. Short videos in the 1 unit course. Finished previewing by 836, and saw the readings had links to the campus library to read the first assignements. My L foot and ankle were really swollen by 5 pm and I wore my waist trimmer from about 9 am until that time 5pm, but no compression socks. From being at desk reading with them at 90 degrees for many hours. Snacked on items I got at Smart &amp; Final earlier after the lecture ended at 12 pm. Fed the babies and gave Growly his meds. Breakfast was the Thomas cinnabon english muffin, then lunch after LE in GA or gen anatomy was the EL PB patty, oat bread, pickles, mozz/parm, had 4th kpod coffee at that time before the grocery trip. When I got back, looked at the prerecorded videos for 2.5-3 hours and then read the reading for the day from online source that is provided without being on book list. Because it wasn't and I didn't order it. The lectures synthesize whats in it. Had 3 pcs of the cadbury almond chocolate and shared with babies 1 pc each, then had the 9 cheese pizza bagel bites in a pkg, then later had a serving of cheese pizza rolls, and altogether snacks of 1 serving baked cheetos with bagel bites, then 2 servings baked cheetos later while taking the preclass quiz, 2 attempts, got 4/5 1st attempt and 5/5 2nd attempt, the avg was 4.5 for me. Had 5th cup coffee before reading the GA readings for the preclass quiz and after the prerecorded 2.5-3 hour LEs. It was a kono brand kpod on sale at Smart &amp; Final tastes just like instant tasters choice brand I use occasionally. Went to bed around 915 pm tired. Woke up a bit during night and went back to sleep.</t>
  </si>
  <si>
    <t>Sweet Earth bacon burger plant based hamburger patty</t>
  </si>
  <si>
    <t>Everything Bagels poppyseed, 1 bagel</t>
  </si>
  <si>
    <t>Mozzarella fancy shredded Smart&amp;Final brand, serving is 1/3 cup</t>
  </si>
  <si>
    <t>mustard French's brand, 1 tbs is a serving</t>
  </si>
  <si>
    <t>pickle slices serving is 5 chips</t>
  </si>
  <si>
    <t xml:space="preserve">5 servings cheetos
(600	20	2.5	10	90	5	1050)
3 servings pizza cheese rolls totino
(630	24	6	15	93	3	960)
1 bag doritos ranch
(150	8	1	2	18	1	190)
1 Sweet Earth vegan bacon burger patty
(330	18	9	26	16	2	420)
1 everything bagel
(240.00	2.00	0.50	8.00	46.00	2.00	630.00)
1/3 cup mozz on bagel
(80	5	3.5	6	2	0	190)
pickles
(0	0	0	0	1	0	260)
1 tbs mustard
(0.00	0.00	0.00	0.00	0.00	0.00	55.00)
=600+630+150+330+240+80+0+0
=20+24+8+18+2+5+0+0
=2.5+6+1+9+0.5+3.5+0+0
=10+15+2+26+8+6+0+0
=90+93+18+16+46+2+1+0
=5+3+1+2+2+0+0+0
=1050+960+190+420+630+190+260+55
</t>
  </si>
  <si>
    <t>Woke up at 530 am by alarm, got out at that time, cleaned some pet messes and prepared my coffee, Growly's meds, and the babies' food while the roommate was getting back home also at that time. Then looked at my checking and credit card balances. A couple books that weren't shipped yet from Amazon were charged to my card last night both over $100 and one regular client for couples booked a massage for this Sunday. That's cool. I will see if my other client that rescheduled her 2 appts last week will do the same with this one tonight at 7 pm when returning from my first on campus chiropractic and palpation techniques course. Got about 8 hours of sleep. Went to bed around 915 pm and woke up at 1 am to pee and went back to sleep, waking a couple times for a few minutes. Had a reg BM after 2nd cup of coffee and before 3rd cup of coffee, then took measurements. Had my multivitamins with cheetos. Ankles are already slightly swollen, went to bed with white cotton socks on instead of none or the normal compression socks I wear, and woke up with marks in my lower legs above foot and a little swollen in area above wear ankle socks end. Like it pushed fluid up above ankles but left marks in skin by ankles of the cotton elastic bands. I want to shower by 7 am so that I can get ready before the course starts at 8 am but checking in at 7:45 am, then have a 2 hour general anatomy course. Then drive to Whittier for my afternoon chiropractic and palpation techniques course. I am going to airfry some pizza rolls while I am in the shower to snack on in class and bw classes. They take forever to cool down too. So it works out bc its 653 am right now. Had my morning lectures and ate a couple servings along the way and about 2 servings baked cheetos, and a bag of doritos and cheetos on the way to campus, there was some traffic after 1130 am and delayed by 15 minutes. Had the courses for chiropractic and palpation, with a kn95 mask for everyone to where indoors all the time. Three of the tallest dudes are in my group, 6'2", 6'5", and 6'8" then me and a guy that's 5'7", most the people are 5'7" and my side of the bldg had 1 girl per group of 5 guys except one group had 2 girls. Not many females in program. They were all nice and friendly. Need a gown, and know the dress code. Mostly syllabus review for all classes other then general anatomy. Took side streets home and saw that the road Grand does meet up with a Brea Rd and The road behind the campus, not Imperial Highway but starts with an L, Lambert, Was able to go home give Growly half his heart meds and a water pill, but the roommate fed them so I didn't, I gave hime that before going to campus. Left for my 7 pm MLD prepaid client in Eastvale hadn't seen in a while. Nice lady. Then got home and gave Growly the other half of his pill and made some Sweet Earth vegan bacon hamburger patties and had one burger, saved other for tomorrow. Also had 4th cup of keurig kpod coffee on way to class made in my van before leaving to walk and repark my van after seeing I parked on wrong side of campus and could park much closer, but made a mess trying to make 5th one on way home with water spilling on passenger seat because the keurig tipped over and cleaned it with the soaking up of water, luckily only  1/3 bottle and soaked up about 1/3 the paper towels in front seat. Never poured the kpod so I made it at home and chilled after arriving home and before leaving for clients. Was updating this before making her SOAP notes and receipt and letting burger cool down. It was good. The babies like the part I gave them, 1/4 the uneaten one in 1/3 pieces each for them. Put laundry in dryer. Finished SOAP notes and receipt for client after eating and then put laundry in dryer. Tons of homework to do, but most not due until next week I think. Some courses have quizzes. I will be on top of it when I wake up at 530 am tomorrow. Possibly earlier. I don't want to push it bc I drive to campus later and have a different MLD client at 7 pm but I do get out of my Chiropractic Procedures course at 3 pm tomorrow. So enough time. Side roads only took about an hour and 10 minutes to get home, we got out early from the last course because not enough time to start a new topic. Bed by 1015 pm.</t>
  </si>
  <si>
    <t>back, machine rows mid trapz/deltoids/rhomboids 3 sets 12, 40 lbs
back, lower trapz/deltoids/latts/teres minor 3 sets 12, 50 lbs
inner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shoulders/neck/triceps/pecs</t>
  </si>
  <si>
    <t>jack daniels and ice</t>
  </si>
  <si>
    <t xml:space="preserve">Andes 5pcs chocolate mints
(320	20.8	19.2	3.2	35.2	3.2	32)
1/2 sweet earth PB patty
(165	9	4.5	13	8	1	210)
1/2 everything bagel
(120	1	0.25	4	23	1	315)
1/4 mozz
(60	3.75	2.625	4.5	1.5	0	142.5)
1 serving pickles
(0	0	0	0	1	0	260)
1 tbs mustard
(0.00	0.00	0.00	0.00	0.00	0.00	55.00)
6 pizza bagel bites,burnt in airfryer and cut off most of the burnt part
(270	7.5	4.5	9	42	1.5	540)
5 servings baked cheetos
(600	20	2.5	10	90	5	1050)
1.5 servings cheese pizza rolls totino
(315	12	3	7.5	46.5	1.5	480)
=320+165+120+60+0+0+270+600+315
=20.8+9+1+3.75+0+0+7.5+20+12
=19.2+4.5+0.25+2.6+0+0+4.5+2.5+3
=3.2+13+4+4.5+0+0+9+10+7.5
=35.2+8+23+1.5+1+0+42+90+46.5
=3.2+1+1+0+0+0+1.5+5+1.5
=32+210+315+142.5+260+55+540+1050+480
</t>
  </si>
  <si>
    <t>Woke up at 530 am by alarm and laid in bed 10 minutes then did normal routine. My neck/collar bone and upper trapz/levator scapula ached and still do at almost 7 am. Gave Growly his meds by oral syringe, fed babies, had my coffee, warmed up the refrigerated one from yesterday. Then another one made in keurig and read the Langman's readings on embryology for GA but didn't finish the Wed. one and had a reg BM, then made the 3rd cup of coffee and finished the reading and decided to print the readings for the course that I could read later as pdf instead of logging onto the campus library, bc it limits the readers from 2-10 per item. And I might not get to log in to read it later. I made some pizza bites by microwave as much faster and had my vitamins with 1/2 serving of them when cooled down and my 3rd cup coffee. Still have laundry in the dryer to fold but restarted again 2x, once when waking and moving around the roommate as he got home, and then while making pizza bites. I am going to review the ppt of the 2 hour FABS course before it starts right after the 1 hour GA LE today. But want to shower and get ready by 730 am. Measurements taken after breakfast and a BM and before finishing 3rd cup of coffee around 7am. The chiropractic procedures class was cool, we got closer to physical adjustments, still going over procedures but reviewed the bony landmarks of hand and pelvis mostly sacrum area. Had 5th cup of coffee at school and 6th cup a little right before my 7 pm client and the rest at 810 pm right after that client. I got home from class today at about 410 pm, bc no IPA class at 3 pm and took side streets. Same or faster than traffic, what Waze recommended. After client's went to gym and did the leg and back workout and think I got all machines, same weight used. My R hamstring itches, probably from sitting in cleaning 409 spray I brought before it dried completely and hairs growing in when I shave a few days ago. Saw the roommate there and forgot he works out on that time every day except Sunday. He told me to stay out his way like always in past. I managed to squeeze in my routine but the gym was busy, had to leave to other parts of routine then come back to the machines in order. Did the back rows, back latt pull downs, the inner thighs, missed the outer thighs completely, went to the bench press, then to the dead lifts, squats with barbell, then the front leg extension quads, back leg curls hamstrings and left without really stretching. Did only an upper body quick stretch of Rotator cuff muscles and neck. Had a kink in my neck this morning and during the break of FA LE put some CBD and biofreeze and used massage cane on it. Worked but felt it later, And after class it felt ok, but I got tired when home, and it started hurting or aching again, and felt it during my workout some. I also felt kind of dizzy from wearing my face mask and probably not getting enough oxygen. Only afterwards and some during bench press or bending forward and getting up fast like when disinfecting machines. And when getting out of car, they closed the off ramp on 91 to Main street without a warning and had to go around, fed the kitty again. I think it must be partially blind or have poor vision, the black kitten, bc it doesn't go immediately to the food. Have an 8 am lecture in CP1 class, then the first Cell Tissue Anatomy and Physiology LE for 1.5 hours or so. from 1-230 pm. Bed time was late due to waiting to put clothes in dryer and needing to spin the wash before putting in dryer and they weren't ready at 1048 pm. I got home around 920 pm from the gym.</t>
  </si>
  <si>
    <t>First Street Spanakopita pastries, 12 pastries per pkg, 1 serving is 4 pieces:</t>
  </si>
  <si>
    <t>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 side twists, 1 set 12 reps 7.5 setting, 2 sets 12 reps 10.5 setting each side
outer thighs, 3 sets 12, 40 lbs</t>
  </si>
  <si>
    <t>vlasic pickles, serving is 2.5 pickle chips</t>
  </si>
  <si>
    <t xml:space="preserve">spanakopita pkg 12
(630	36	13.5	18	51	0	1050)
2 servings cheese pizza rolls
(420	16	4	10	62	2	640)
1 serving 8pcs Andes mint chocolates
(200	13	12	2	22	2	20)
1 everything bagel
(240.00	2.00	0.50	8.00	46.00	2.00	630.00)
1/4 cup mozzarella
(80	5	3.5	6	2	0	190)
6 of the Vlasic pickles high sodium per 2.5 pickles is 400 mg
(11.5	0	0	0	2.3	0	920)
1 tbs mustard
(0.00	0.00	0.00	0.00	0.00	0.00	55.00)
=630+420+200+240+80+11.5+0
=36+16+13+2+5+0+0
=13.5+4+12+1+3.5+0+0
=18+10+2+8+6+0+0
=51+62+22+46+2+2.3+0
=0+2+2+2+0+0+0
=1050+640+20+630+190+920+55
</t>
  </si>
  <si>
    <t xml:space="preserve">Woke up at 530 am by alarm, upper R back,neck,shoulders still ache. Stayed in bed until 6 am and got out as the roommate was unpacking his stuff from his arrival from work a few minutes after 530 am. Did normal routine with feeding Growly by syringe in mouth his meds, the babies their food, my 1st cup of coffee, checked into the smartabase covid19 app and looked at announcements in my canvas dashboard and emails and my personal email. Happy that my financial aid was direct deposited last night. That is super cool. If I need to refund my clients' their money I can do it all on my default amount instead of theirs. Homework is manageable, but homework sleep balance not so much if I really do everything when due for ideal preparation before classes. Going to eat breakfast the spinach spanakopita frozen First Street brand pastries in airfryer I got from Smart&amp;Final the other day. My lecture on virtual is CP1 for an hour then three hours to review the readings for the first CTAP course, then an hour to get ready for work. Planning on showering before first lecture, but might just review the items of readings. Measurements taken before breakfast and a BM. Had a sm reg BM before breakfast, after measurements and after 2nd cup of coffee and before 3rd cup coffee. Snacked on the spanakopita pastries, too early to eat them all 12 pcs, took my multivitamins with them. I work tonight from 5 pm to 10 pm and get up early for work a long day, first long Saturday from 8 am to 5 pm. Had the lecture that went over by an hour and almost a half, bc she recorded the 2nd topic, very informative though. Learned that men have a longer less mobile pelvis and truck drivers get SI joint pain more than females like I have but athletes that are males get the SI joint pain, bc women usually sit on one leg when sitting it kinks their neck sideways to adjust eyes to screen level to see and gives a headache to them. As one possible reason from instructor of CP1 class. Then after that course I had time to workout but didn't bc I finished the definitions and then looked at some of the pdf ppts for the 2nd course and took a nap for about 10-15 minutes before class, getting up by alarm 15 minutes before it started. Felt refreshed. Had some pizza rolls and some more at work before starting. Full schedule and had a mini break, called mom but transferred to nurse's station but couldn't speak to the nurse bc of HIPPA as she was with another patient. I wanted to make sure she is doing well and getting better. Last time I spoke to her yesterday or the day before yesterday she said she still feels really tired and feels like she is getting better only slightly and hadn't talked to Mo. I got home around 1020 pm and made a drink of Jameson over ice with a water bottle on the side. My tongue is burning from all the cheetos I ate yesterday and day before, maybe all the sodium on my tongue when driving to the labs and not enough water. I worked out befor work too, from 315 pm to 4 pm and went to work. Got there about 430 pm. Had time to spare and ate the pizza bites then. No snack on my mini. After work, Growly was really huffing and puffing for air. Princess ate his food with meds in it but I gave him meds manually with the oral syringe after finding out. Princess is fine. She took a water pill and the heart med and acts the same. She didn't pee more than normal and she doesn't sleep with her eyes open staring like Growly does with the heart meds. Shes a chihuahua miniature pinture mix. Super hyper normally and still the same. Thats  good to know. I also had a serving of the Andes chocolates in the afternoon at the last virtual class while listening to him. He made sense with the cells, and we didn't discuss the fact that ribosomes, a bunch of them in the cell are creating proteins that maintain the cell, and the RER creates proteins that are excreted out the cell in my genetics or biology courses I just took this Spring and Summer. That is a cool fact. Amazon's vendor with one of the CP1 paper copy books refunded me money but didn't say why, maybe bc I bought the digital order and they are connected or bc they just charged me 2 days ago for it that was ordered at the end of August I think or early September, and decided they don't have it. But I didn't request a refund. I messaged them asking why. Not sure if they replied. But I do have the etextbook version forever as it was available to buy. Ankles were very swollen when I took off my socks and changed into my dress to sleep in before drinking the drink I made for self. Updated this data. I had a headache earlier after the first class and it started about 1/3 to 1/2 through the 2nd virtual course. I drank some coffee the 5th cup to make it go away around 145 pm. It was a blinding vision. I checked my email and the vendor replied and said they knew it would be confusing to me to find out but they had a log error and when pulling the book it wasn't in stock so they refunded me the money. No worries. Bed by 1130 pm. </t>
  </si>
  <si>
    <t>Lunch Buddies Aldis brand snack packs fruit snacks, serving is 1 pouch:</t>
  </si>
  <si>
    <t>Clancys Apple chips Aldi brand dehydrated red apple snack, sering is 1 oz, 12 chips</t>
  </si>
  <si>
    <t>inner thighs, 3 sets 12, 40 lbs
quads leg extension/knee extension, 3 sets 12, 40 lbs
quads/glutes/hips squats barbell 3 sets 12, 55 lbs
hamstrings leg curls sitting machine, 3 sets 12, 40 lbs
stretches shoulders/neck/triceps/pecs</t>
  </si>
  <si>
    <t>Celeste cheese pizza for one, Smart&amp;Final</t>
  </si>
  <si>
    <t xml:space="preserve">1 everything bagel
(240.00	2.00	0.50	8.00	46.00	2.00	630.00)
1/4 cup mozzarella
(80	5	3.5	6	2	0	190)
3 of the Vlasic pickles high sodium per 2.5 pickles is 400 mg
(5.75	0	0	0	1.15	0	460)
1 tbs mustard
(0.00	0.00	0.00	0.00	0.00	0.00	55.00)
1 everything bagel
(240.00	2.00	0.50	8.00	46.00	2.00	630.00)
8 fruit snacks little snack packs Aldis
(640.00	0.00	0.00	8.00	152.00	0.00	160.00)
16 pcs/slices dehydrated Aldis brand apple slices
(186.67	9.33	1.33	0.00	26.67	2.67	20.00)
Celest pizza for one Smart &amp; Final serving is 1 pizza
(380.00	17.00	9.00	9.00	48.00	3.00	880.00)
Andes chocolates 3 pcs
(75	4.875	4.5	0.75	8.25	0.75	7.5)
avocado small in airfryer on top of celeste cheese pizza
(241.5	21.75	3	3	12.75	13.5	10.5)
=240+80+5.75+0+240+640+187+380+75+242
=2+5+0+02+0+9+17+5+22
=1+3.5+0+0+1+0+1+9+5+3
=8+6+0+0+8+8+0+9+1+3
=46+2+1.15+0+46+152+27+48+8+13
=2+0+0+0+2+0+3+3+1+14
=630+190+460+55+630+160+20+880+8+11
</t>
  </si>
  <si>
    <t>Woke up at 530 am and got out of bed 10 minutes later. Made my 1st cup of coffee and gave Growly his meds by oral syringe then fed babies and did the dishes from yesterday of the roommate's and after babies done eating. I woke up and went to bed with that pain in upper right trapezius levator scapula area. The coffee helps make the pain go away. But still there, not sure what it is from. I have work from 8 am to 5 pm today. Took measurements after 1st cup of coffee and before a reg sm BM and after the BM only went down by 1/8" around abdominal area to 30 3/8" at BB and 32 1/8" at 2" below BB. Made a bagel with pickles mustard and mozzarella in airfryer with cheese only and had multivitamins after 630 alarm and then got ready for work. At work on my break for an hour had an everything bagel, called Mom's hospital. Couldn't speak to her but the charge nurse said, she has blood in her stool last 2 days and they are checking on it, and needs a colonoscopy but it could be hemorhoids or diverticulitis. Also, her white blood cells dropped which is good because they are at a healthy level not fighting infection and red blood cells and hemoglobin is at a 13 instead of a 6 or 7 range and that is good. She is tired though and can't talk too much. That's good, hopefully the blood is just something that can be fixed easily with meds or treatment. Hopefully she gets better soon. Love that lady. I need to check on my pops too, he's a cool dude I love too. Was going to do that after work but got home and wanted to do some cardio on the bags for a workout, no movtivation other than to sweat. Did that for 5 rounds 3 minutes with 1 minute rests and then did the machines for legs on inner/outer/quads with leg extensions/hamstrings with leg curls and the side lifts for obliques with 20 kg. 3 sets of 10-15 depending on weight. Ankles were slightly swollen with compression socks and new shorts that are spandex like volleyball player shorts. The roommate came in right when I was finishing up with stretches at the gym and looked upset I was there and I heard him say something and bro! and sigh. Its not his gym and he should have gotten there earlier bc they close at 8 pm on Saturdays and he checked in at 720 pm. Didn't eat any more after work, but on break did get some fruit snacks and apple chips and had about 16 apple chips bw lunch and drive home from work, and 5 fruit snacks at lunch and 3 after work and 5th cup kpod coffee after work, with 4th cup at lunch. Some dude, that was doing Thai Kwon Do wanted to offer me some tips into my 3rd round while resting the minute before it. And I said no thank you to him and its funny that he didn't see me working out with a timer that I had to tell him I have my own workout and may or may not have thanked him. But he's not my hero and I'm not his fan. Everyone has a style and I was doing boxing not legs today. Had another drink for 2 total then made a celeste cheese pizza in airfryer with last unripe avocado on top in airfryer. That was around 920 pm.Listened to country music once started drinking. I also had 2-3 pieces of Andes chocolates as I grabbed 5 pcs but shared with the babies. Went to bed after watching an episode of Only Murderers in the Building on Hulu. That was 1030 pm ish.</t>
  </si>
  <si>
    <t>Woke up at 530 am by alarm, got up a couple times in night to pee and when the roommate got home I thought it was 530 am but it was after 1145 pm but before 12 am. It woke me up but I laid in bed until I went to sleep a few minutes later. Got out of bed around 540 am and did normal routine, coffee, clean pet mess, Growly meds by syringe in mouth, need more of his meds real soon a few days like 4 more of the 24 hour pill left, all meds, fed babies their normal food, restarted dryer then had a 2nd cup of coffee. My roommate put a book on my desk in the morning that I didn't to check to see if it arrived. It was the last expected book as one book was refunded by vendor for not having it. I have it on kindle but would like the physical book. After 2nd cup of coffee put away clothes and made 3rd cup of coffee, had a BM, slightly diarhea a med amt. Then updated this database and took measurements before breakfast and vitamins. Then showered to get ready for work. Work 9am-5pm. Then a couples at 7 pm. Regular clients didn't see last month, they usually get massages on Friday at 5 pm. My availability changed bc of school and thats cool they could work with my schedule. Ankles were slightly swollen in the morning. Had about 11-13 cheese pizza rolls of course sharing with Princess. But microwaved to take multivitamins with. Washed the covers on bed too. But enough hot water to shower. Then at work for lunch had a double salmon poki bowl with brown rice, ginger, wasabi, masago, cucumbers, and ponzu sauce and cream cheese. Didn't taste the best, had that fish taste. But just ate more meninge burning wasabe in each bite. Had my 4th cup of kpod coffee at lunch and no 5th cup by the time I left work to go to my 6 pm couples massage in South Corona. I had 5 fruit snacks on the way there, and 1 more on the way back home from the couples massage and Target to get big headbands that could keep more of my stray hairs out my face and ears and eyes. After work had 2 Jameson whiskey on ice and 20 cheese pizza rolls microwaved. Had laundry in wash by 1030 pm, and finished pizza rolls by 1140 pm. Did the receipts for clients, and had 2 clients I massaged before want to book a massage, but I am busy with homework and keeping on top my studies. I can't take on more appointments. Like I said, busy when I need time to study, and slow AF when not in school or doing anything other than work. Went to bed at 1230 am and the roommate got home and made a little noise later around 1 am.</t>
  </si>
  <si>
    <t>Plain bagels, First Street Smart&amp;Final brand</t>
  </si>
  <si>
    <t>31 pizza rolls cheese totino
(420	16	4	10	62	2	640)
6 fruit snacks
(480	0	0	6	114	0	120)
2 servings apple chips
(280	14	2	0	40	4	30)
double salmon poke bowl with cucumbers, ginger, brown rice, ponzu sauce, masago
(578.5	11.075	2.15	17.7	101.75	8.25	1731)
cream cheese 1/8th a pkg in poke bowl
(51	5.1	3.2	1.1	0.4	0	43)
=420+480+280+579+51
=16+0+14+11+5
=4+0+2+2+3
=10+6+0+18+1
=62+114+40+102+0.4
=2+0+4+8+0
=640+120+30+1731+43</t>
  </si>
  <si>
    <t>battered zucchini sticks, Anchor Smart &amp; Final brand frozen foods, serving 5 pcs/sticks</t>
  </si>
  <si>
    <t>quads squats barbl +20, pec maj/ant delt milt prs +10, triceps chair dip body weight 147, triceps over head dumbell 20 lbs, deltoids shoulder flys lateral lifts dumbells +3 lbs, hamstrings deadlift +10 lbs dumbells</t>
  </si>
  <si>
    <t xml:space="preserve">quads squats barbell 1 set 12 reps 65 lbs, 2 sets 12 reps 85 lbs, +20 lbs
bicep curls 3 sets 12 reps 15 lbs each arm
tricep kick backs, 3 sets 12 reps 15 lbs each arm
deltoids side lifts, 3 sets 12 reps 8 lbs each arm, +3 lbs each deltoid
upper deltoids pectoralis major military press, 3 sets 12 reps 20 lbs each arm,+10 lbs total
deltoids upper trapz shoulder shrugs, 3 sets 12 reps 20 lbs each arm, +10 lbs total
hamstrings deadlifts dumbells, 3 sets/12 reps 40 lbs, +10 lbs 
rhomboids/lwr trapezius back row machine 40 lbs
lattisimus dorsi back pull down machine 1 set/12 reps 50 lbs, 2 sets/12 reps 60 lbs,+10 lbs
</t>
  </si>
  <si>
    <t xml:space="preserve">Woke up at 530 am by alarm but stayed in bed until 6 am tired. Got 5 hours sleep, did normal routine, need to get more wet cat food had 2 cans left after feeding babies will do on my break. First class at 10 am, texted Dad to ask how he was doing and tell him about Mom around 720 am. Gave Growly his meds first thing in the morning, and fed babies, folded laundry, sent out receipt and SOAP notes before that. Last night took my M-Th schedule for biz off availability. Because more clients are booking. I don't have the time to keep up, it takes time to get there, do the massage, time to pack up and get back home that takes from studying and doing well in my DC coursework. I am thankful to have them, but they can book on the weekend and the MLD pkg clients can get a refund. This is exactly why I plan to not take any more pkg clients bc of not having time right now. Last night I got back from clients and Target at around 1030 to 1045 pm. I got to the Target only 2 miles from them at 945 pm. It could have been earlier but my Square app wasn't working and this happened after logging off the client's wifi network. I was able to read a phone update about apps and check to use mobile data then go into range of a mobile data out front for Tmobile, but it took about 10-15 minutes extra time. Today after 2 cups of coffee and while doing the desk notes to clients and reviewing some emails and the school announcements, I had a reg BM, then made 3rd cup of coffee folded the linens and laundry, put the pillow and other blanket in dryer and started the roommate's laundry. I put the pillow and other blanket on the bed in the wash after the linens from client's before bed to wash last night. For breakfast had an airfryed plain bagel with 1/4 cup mozz over it in airfryer. Worked on the 3rd cup of coffee with the bagel and took my multivitamins with the bagel. Might work out today, since it would be a great habit/routine to start doing again. Would be back and arms or close to it and squats missed last workout. It will likely be after 3 pm if I do workout as my courses end but study time begins after 230 pm. I also have a break bw 12 pm and 130 pm bw FABS and CTAP courses for the day's LEs. Took measurements after a BM and after the breakfast and multivitamins about 20 minutes afterwards. Did the dishes then showered and got ready for the day. Was tired during 2nd LE of CTAP course and almost fell asleep but stayed in with camera off till last half hour. Worked out at gym bw 315-420 pm and added a few exercises I forgot about. Mostly arms, back, and quads/hams minimal. Added a few lbs to workout routines. Not busy but started getting busy near the end of my workout. Also, I forgot that I developed some sort of fungal foot infection of dermis between big toe and two little toes. Not sure when I got it and not sure if the shower sharing with the roommate or the sketchers shoes with open ankles that I wore without disinfecting with out socks that I bought about a month ago. I didn't find any athletes spray but went to my van and put some teatree oil with coconut oil on it 24 drops per 1 oz or so oil on it and it stopped itching but made a mess on my linens where I put my foot to put the teatree oil on it. I did that this morning after the shower. It feels better. I need to start doing that every morning and see if it helps it go away or makes it go away or at least the symptoms. I have it on my desk next to my vitamins, lotion, and books and clock. It didn't, it itched badly once I took my socks off, bc the tea tree oil was under light whole time and deactivated in oil, so I went to van and got the one that is essential oil not mixed in carrier oil and put on toes scratching them and kept it in drawer of desk, waited a while to stop itching, put on compression socks, ankles super swollen and itching low legs. Watched the pre-recorded video to take class quiz tomorrow on PNS in 2nd half of part 1 video of human birth defects carried over from week 1. This is now week 2 or module 2. Took notes, waited for itching in legs to go away but the toes stopped itching. I then made a grilled cheese in airfryer with serving of 3 Vlasic pickle chips and mustard with mozz cheese on a brioche bun from Smart&amp;Final. Then I watched the video for our assignment due in intro to phys assessment due tomorrow by 12 pm. Answered questions 4 while watching but didn't see/hear the answers from the Physician on Ted Talk. Got 2/4 right, but tbh one question was multiple check boxes and I picked one extra one but got 2 right, and didn't know that or hear that the guy that discovered percussion or invented it or used it was in Paris. I honestly listened 2x and didn't hear it come up, but that was a question. The assignment said only 1 attempt allowed, but the video asked to retake quiz so I did, and it picked my highest score after giving me the answers on the 1st quiz. So not sure if the highest score will be kept. Mine was a 4/4 on 2nd attempt and a 2/4 on 1st attempt. I had a Jameson and water when looking at the video a 2nd time and it made it more interesting to pay attention to. Was done by 9:45 pm. </t>
  </si>
  <si>
    <t>brioche Artesano brand Smart&amp;Final hamburger buns</t>
  </si>
  <si>
    <t xml:space="preserve">about 24 pizza rolls cheese totino
(315	12	3	7.5	46.5	1.5	480)
1 plain bagel
(230	1	0.5	8	46	2	400)
1/4 cup mozz
(60	3.75	2.625	4.5	1.5	0	142.5)
3 fruit snacks
(240	0	0	3	57	0	60)
2 servings fried zucchini sticks
(300	12	2	4	40	2	720)
1/4 cup mozzarella
(80	5	3.5	6	2	0	190)
3 of the Vlasic pickles high sodium per 2.5 pickles is 400 mg
(5.75	0	0	0	1.15	0	460)
1 tbs mustard
(0.00	0.00	0.00	0.00	0.00	0.00	55.00)
brioche bun
(220	4.5	2.5	7	39	1	280)
=315+230+60+240+300+80+6+0+220
=12+1+4+0+12+5+0+0+4.5
=3+1+3+0+2+3.5+0+0+2.5
=8+8+5+3+4+6+0+0+7
=47+46+2+57+40+2+1+0+39
=1.5+2+0+0+2+0+0+0+1
=480+400+143+60+720+190+460+55+280
</t>
  </si>
  <si>
    <t xml:space="preserve">Woke up at 530 am by alarm but went to bed until 630 alarm and got up and out of bed. Got about 6.5 hours sleep bc I went to bed at around 11 pm last night. Did normal routine in am, my coffee, pets pee outside, clean pet messes, Growly's meds, feed babies, had a reg BM after 1st cup of coffee and while starting the 2nd cup of coffee. Bw that time was looking at emails and making payments and checking orders and sent my older sister a birthday gift with gift receipt through Amazon that arrives tonight by 10 pm but her birthday is Monday. Also, noted in emails that I have 2 FABS quizzes next week. Time to start studying up and I already cleared my weekday availability but have an appointment today at 7 that is local thankfully but will drag my machine into it in an apartment complex by my gym. And one tomorrow at 7 pm. Actually, I keep her on rotation weekly. Bc I can park right in front of her house and she lives right off the fwy and I do too, and it takes just as long to get to her house as the apt nearby taking side streets and she tips me good every time. As of the moment I haven't decided to let anyone interfere with that schedule. Another great client wanted to add a family massage today, but not able to, it takes too long, practically all day. That is valuable study, relaxing, organizing, working out time. Took my measurements around 8 am after a reg BM and halfway through 2nd coffee. Want to shower before my 10 am class. I was able to prep for the LE material last night thankfully. Ankles weren't too swollen when I got up but by time I took measurements and looked at weight scale they started getting swollen right below the malleolas both legs. Finished 2nd cup coffee and had the 3rd cup and my 3 multivitatmin gummies while making and eating a plain bagel with mozz, mustard, pickles, and a beyond meat patty I made in airfryer for 20 minutes while doing the dishes and with its pair. 2 per pkg. Then fed the cats outside but was lazy and didn't bring gate key with me, when I was sliding the can uder the fence, the bigger cat crowded out the kitten or smaller one and tried to pull the cat food can towards her or him and accidentally caught my index finger on the side or lateral edge and gave me a little cut that bled. I cleaned it up with rubbing alcohol immediately then gave another can of wet cat food to the smaller cat under fence. I shared some of my burger with the babies. I am not eating while in GA1 again, bc last time I didn't eat my burger bc the LE included images of birth defects and genitalia when hormones in system of female like testosterone or androgens when pregnant from a adrenal gland tumor and labia shaped like testes were shown in an image I turned away not to see bc he said thats what it was. Ruined my appetite. That's why I didn't eat all of the burger and threw away 1/4 of it left when it was the 3/4 burger left over from night before as I shared 1/4 with babies the night before and only ate 1/2 of it that day during LE on Wed or Thur. Got my ear pods last night and charging them. They will be useful while working out as long as they don't fall out of my ear, and also at work to prevent my stray hairs from curling into my ear canal and making it itch/tickle uncomfortably while massaging someone. Raising my shoulder to deflect the hairs NEVER works. Always have to wipe my hands or use bottom sheet to pull hair aside. Its so annoying while massaging a client. Looked at my notes on prerecorded LE for today's class at 10 am then showered and got ready for the day.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</si>
</sst>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82"/>
  <sheetViews>
    <sheetView workbookViewId="0">
      <pane ySplit="1" topLeftCell="A570" activePane="bottomLeft" state="frozen"/>
      <selection pane="bottomLeft" activeCell="B582" sqref="B582:H582"/>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1191</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1192</v>
      </c>
      <c r="B546">
        <v>410</v>
      </c>
      <c r="C546">
        <v>15</v>
      </c>
      <c r="D546">
        <v>9</v>
      </c>
      <c r="E546">
        <v>10</v>
      </c>
      <c r="F546">
        <v>55</v>
      </c>
      <c r="G546">
        <v>0</v>
      </c>
      <c r="H546">
        <v>650</v>
      </c>
    </row>
    <row r="547" spans="1:8" x14ac:dyDescent="0.3">
      <c r="A547" s="16" t="s">
        <v>1193</v>
      </c>
      <c r="B547">
        <v>100</v>
      </c>
      <c r="C547">
        <v>9</v>
      </c>
      <c r="D547">
        <v>6</v>
      </c>
      <c r="E547">
        <v>2</v>
      </c>
      <c r="F547">
        <v>2</v>
      </c>
      <c r="G547">
        <v>0</v>
      </c>
      <c r="H547">
        <v>150</v>
      </c>
    </row>
    <row r="548" spans="1:8" x14ac:dyDescent="0.3">
      <c r="A548" s="16" t="s">
        <v>1194</v>
      </c>
      <c r="B548">
        <v>70</v>
      </c>
      <c r="C548">
        <v>3.5</v>
      </c>
      <c r="D548">
        <v>0</v>
      </c>
      <c r="E548">
        <v>1</v>
      </c>
      <c r="F548">
        <v>9</v>
      </c>
      <c r="G548">
        <v>1</v>
      </c>
      <c r="H548">
        <v>110</v>
      </c>
    </row>
    <row r="549" spans="1:8" x14ac:dyDescent="0.3">
      <c r="A549" s="16" t="s">
        <v>1199</v>
      </c>
      <c r="B549">
        <v>1040</v>
      </c>
      <c r="C549">
        <v>32</v>
      </c>
      <c r="D549">
        <v>12</v>
      </c>
      <c r="E549">
        <v>44</v>
      </c>
      <c r="F549">
        <v>144</v>
      </c>
      <c r="G549">
        <v>16</v>
      </c>
      <c r="H549">
        <v>1360</v>
      </c>
    </row>
    <row r="550" spans="1:8" x14ac:dyDescent="0.3">
      <c r="A550" s="16" t="s">
        <v>1200</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1203</v>
      </c>
      <c r="B551">
        <f>4*350</f>
        <v>1400</v>
      </c>
      <c r="C551">
        <f>4*15</f>
        <v>60</v>
      </c>
      <c r="D551">
        <f>4*8</f>
        <v>32</v>
      </c>
      <c r="E551">
        <f>4*17</f>
        <v>68</v>
      </c>
      <c r="F551">
        <f>4*37</f>
        <v>148</v>
      </c>
      <c r="G551">
        <f>4*3</f>
        <v>12</v>
      </c>
      <c r="H551">
        <f>4*780</f>
        <v>3120</v>
      </c>
    </row>
    <row r="552" spans="1:8" x14ac:dyDescent="0.3">
      <c r="A552" s="16" t="s">
        <v>1208</v>
      </c>
      <c r="B552">
        <v>150</v>
      </c>
      <c r="C552">
        <v>11</v>
      </c>
      <c r="D552">
        <v>4.5</v>
      </c>
      <c r="E552">
        <v>2</v>
      </c>
      <c r="F552">
        <v>14</v>
      </c>
      <c r="G552">
        <v>1</v>
      </c>
      <c r="H552">
        <v>220</v>
      </c>
    </row>
    <row r="553" spans="1:8" x14ac:dyDescent="0.3">
      <c r="A553" s="16" t="s">
        <v>1209</v>
      </c>
      <c r="B553">
        <v>100</v>
      </c>
      <c r="C553">
        <v>1</v>
      </c>
      <c r="D553">
        <v>0</v>
      </c>
      <c r="E553">
        <v>16</v>
      </c>
      <c r="F553">
        <v>6</v>
      </c>
      <c r="G553">
        <v>4</v>
      </c>
      <c r="H553">
        <v>320</v>
      </c>
    </row>
    <row r="554" spans="1:8" x14ac:dyDescent="0.3">
      <c r="A554" s="16" t="s">
        <v>1210</v>
      </c>
      <c r="B554">
        <v>160</v>
      </c>
      <c r="C554">
        <v>9</v>
      </c>
      <c r="D554">
        <v>2</v>
      </c>
      <c r="E554">
        <v>2</v>
      </c>
      <c r="F554">
        <v>15</v>
      </c>
      <c r="G554">
        <v>1</v>
      </c>
      <c r="H554">
        <v>180</v>
      </c>
    </row>
    <row r="555" spans="1:8" x14ac:dyDescent="0.3">
      <c r="A555" s="16" t="s">
        <v>1217</v>
      </c>
      <c r="B555">
        <f>B519*3+B40+B117+B50*3</f>
        <v>1027</v>
      </c>
      <c r="C555">
        <f t="shared" ref="C555:H555" si="125">C519*3+C40+C117+C50*3</f>
        <v>69.599999999999994</v>
      </c>
      <c r="D555">
        <f t="shared" si="125"/>
        <v>18.100000000000001</v>
      </c>
      <c r="E555">
        <f t="shared" si="125"/>
        <v>66.099999999999994</v>
      </c>
      <c r="F555">
        <f t="shared" si="125"/>
        <v>32.799999999999997</v>
      </c>
      <c r="G555">
        <f t="shared" si="125"/>
        <v>7.8</v>
      </c>
      <c r="H555">
        <f t="shared" si="125"/>
        <v>1355.4</v>
      </c>
    </row>
    <row r="556" spans="1:8" x14ac:dyDescent="0.3">
      <c r="A556" s="16" t="s">
        <v>1218</v>
      </c>
      <c r="B556">
        <v>130</v>
      </c>
      <c r="C556">
        <v>7</v>
      </c>
      <c r="D556">
        <v>1</v>
      </c>
      <c r="E556">
        <v>2</v>
      </c>
      <c r="F556">
        <v>17</v>
      </c>
      <c r="G556">
        <v>1</v>
      </c>
      <c r="H556">
        <v>450</v>
      </c>
    </row>
    <row r="557" spans="1:8" x14ac:dyDescent="0.3">
      <c r="A557" s="16" t="s">
        <v>1219</v>
      </c>
      <c r="B557">
        <v>80</v>
      </c>
      <c r="C557">
        <v>0</v>
      </c>
      <c r="D557">
        <v>0</v>
      </c>
      <c r="E557">
        <v>0</v>
      </c>
      <c r="F557">
        <v>19</v>
      </c>
      <c r="G557">
        <v>0</v>
      </c>
      <c r="H557">
        <v>30</v>
      </c>
    </row>
    <row r="558" spans="1:8" x14ac:dyDescent="0.3">
      <c r="A558" s="16" t="s">
        <v>1220</v>
      </c>
      <c r="B558">
        <v>120</v>
      </c>
      <c r="C558">
        <v>4</v>
      </c>
      <c r="D558">
        <v>0.5</v>
      </c>
      <c r="E558">
        <v>2</v>
      </c>
      <c r="F558">
        <v>18</v>
      </c>
      <c r="G558">
        <v>1</v>
      </c>
      <c r="H558">
        <v>210</v>
      </c>
    </row>
    <row r="559" spans="1:8" x14ac:dyDescent="0.3">
      <c r="A559" s="16" t="s">
        <v>1221</v>
      </c>
      <c r="B559">
        <v>80</v>
      </c>
      <c r="C559">
        <v>5</v>
      </c>
      <c r="D559">
        <v>1</v>
      </c>
      <c r="E559">
        <v>2</v>
      </c>
      <c r="F559">
        <v>7</v>
      </c>
      <c r="G559">
        <v>1</v>
      </c>
      <c r="H559">
        <v>120</v>
      </c>
    </row>
    <row r="560" spans="1:8" x14ac:dyDescent="0.3">
      <c r="A560" s="16" t="s">
        <v>1223</v>
      </c>
      <c r="B560" s="17">
        <v>140</v>
      </c>
      <c r="C560" s="17">
        <v>9</v>
      </c>
      <c r="D560" s="17">
        <v>1.5</v>
      </c>
      <c r="E560" s="17">
        <v>2</v>
      </c>
      <c r="F560" s="17">
        <v>14</v>
      </c>
      <c r="G560" s="17">
        <v>1</v>
      </c>
      <c r="H560" s="17">
        <v>230</v>
      </c>
    </row>
    <row r="561" spans="1:8" x14ac:dyDescent="0.3">
      <c r="A561" s="16" t="s">
        <v>1224</v>
      </c>
      <c r="B561">
        <v>150</v>
      </c>
      <c r="C561">
        <v>8</v>
      </c>
      <c r="D561">
        <v>1</v>
      </c>
      <c r="E561">
        <v>2</v>
      </c>
      <c r="F561">
        <v>18</v>
      </c>
      <c r="G561">
        <v>1</v>
      </c>
      <c r="H561">
        <v>190</v>
      </c>
    </row>
    <row r="562" spans="1:8" x14ac:dyDescent="0.3">
      <c r="A562" s="16" t="s">
        <v>1225</v>
      </c>
      <c r="B562">
        <v>150</v>
      </c>
      <c r="C562">
        <v>8</v>
      </c>
      <c r="D562">
        <v>1</v>
      </c>
      <c r="E562">
        <v>2</v>
      </c>
      <c r="F562">
        <v>18</v>
      </c>
      <c r="G562">
        <v>1</v>
      </c>
      <c r="H562">
        <v>210</v>
      </c>
    </row>
    <row r="563" spans="1:8" x14ac:dyDescent="0.3">
      <c r="A563" s="16" t="s">
        <v>1230</v>
      </c>
      <c r="B563">
        <v>110</v>
      </c>
      <c r="C563">
        <v>3</v>
      </c>
      <c r="D563">
        <v>0</v>
      </c>
      <c r="E563">
        <v>2</v>
      </c>
      <c r="F563">
        <v>19</v>
      </c>
      <c r="G563">
        <v>1</v>
      </c>
      <c r="H563">
        <v>125</v>
      </c>
    </row>
    <row r="564" spans="1:8" x14ac:dyDescent="0.3">
      <c r="A564" s="16" t="s">
        <v>1231</v>
      </c>
      <c r="B564">
        <v>110</v>
      </c>
      <c r="C564">
        <v>3</v>
      </c>
      <c r="D564">
        <v>0</v>
      </c>
      <c r="E564">
        <v>2</v>
      </c>
      <c r="F564">
        <v>19</v>
      </c>
      <c r="G564">
        <v>1</v>
      </c>
      <c r="H564">
        <v>220</v>
      </c>
    </row>
    <row r="565" spans="1:8" x14ac:dyDescent="0.3">
      <c r="A565" s="16" t="s">
        <v>1232</v>
      </c>
      <c r="B565">
        <v>160</v>
      </c>
      <c r="C565">
        <v>10</v>
      </c>
      <c r="D565">
        <v>1.5</v>
      </c>
      <c r="E565">
        <v>2</v>
      </c>
      <c r="F565">
        <v>15</v>
      </c>
      <c r="G565">
        <v>1</v>
      </c>
      <c r="H565">
        <v>250</v>
      </c>
    </row>
    <row r="566" spans="1:8" x14ac:dyDescent="0.3">
      <c r="A566" s="16" t="s">
        <v>1236</v>
      </c>
      <c r="B566">
        <v>150</v>
      </c>
      <c r="C566">
        <v>1.5</v>
      </c>
      <c r="D566">
        <v>0.5</v>
      </c>
      <c r="E566">
        <v>5</v>
      </c>
      <c r="F566">
        <v>30</v>
      </c>
      <c r="G566">
        <v>1</v>
      </c>
      <c r="H566">
        <v>200</v>
      </c>
    </row>
    <row r="567" spans="1:8" x14ac:dyDescent="0.3">
      <c r="A567" s="16" t="s">
        <v>1247</v>
      </c>
      <c r="B567" s="17">
        <v>150</v>
      </c>
      <c r="C567" s="17">
        <v>8</v>
      </c>
      <c r="D567" s="17">
        <v>4</v>
      </c>
      <c r="E567" s="17">
        <v>3</v>
      </c>
      <c r="F567" s="17">
        <v>16</v>
      </c>
      <c r="G567" s="17">
        <v>1</v>
      </c>
      <c r="H567" s="17">
        <v>25</v>
      </c>
    </row>
    <row r="568" spans="1:8" x14ac:dyDescent="0.3">
      <c r="A568" s="16" t="s">
        <v>1248</v>
      </c>
      <c r="B568">
        <v>370</v>
      </c>
      <c r="C568">
        <v>16</v>
      </c>
      <c r="D568">
        <v>16</v>
      </c>
      <c r="E568">
        <v>0</v>
      </c>
      <c r="F568">
        <v>64</v>
      </c>
      <c r="G568">
        <v>0</v>
      </c>
      <c r="H568">
        <v>5</v>
      </c>
    </row>
    <row r="569" spans="1:8" x14ac:dyDescent="0.3">
      <c r="A569" s="16" t="s">
        <v>1250</v>
      </c>
      <c r="B569" s="17">
        <v>180</v>
      </c>
      <c r="C569" s="17">
        <v>5</v>
      </c>
      <c r="D569" s="17">
        <v>3</v>
      </c>
      <c r="E569" s="17">
        <v>6</v>
      </c>
      <c r="F569" s="17">
        <v>28</v>
      </c>
      <c r="G569" s="17">
        <v>1</v>
      </c>
      <c r="H569" s="17">
        <v>360</v>
      </c>
    </row>
    <row r="570" spans="1:8" x14ac:dyDescent="0.3">
      <c r="A570" s="16" t="s">
        <v>1253</v>
      </c>
      <c r="B570">
        <v>330</v>
      </c>
      <c r="C570">
        <v>18</v>
      </c>
      <c r="D570">
        <v>9</v>
      </c>
      <c r="E570">
        <v>26</v>
      </c>
      <c r="F570">
        <v>16</v>
      </c>
      <c r="G570">
        <v>2</v>
      </c>
      <c r="H570">
        <v>420</v>
      </c>
    </row>
    <row r="571" spans="1:8" x14ac:dyDescent="0.3">
      <c r="A571" s="16" t="s">
        <v>1254</v>
      </c>
      <c r="B571" s="17">
        <v>240</v>
      </c>
      <c r="C571" s="17">
        <v>2</v>
      </c>
      <c r="D571" s="17">
        <v>0.5</v>
      </c>
      <c r="E571" s="17">
        <v>8</v>
      </c>
      <c r="F571" s="17">
        <v>46</v>
      </c>
      <c r="G571" s="17">
        <v>2</v>
      </c>
      <c r="H571" s="17">
        <v>630</v>
      </c>
    </row>
    <row r="572" spans="1:8" x14ac:dyDescent="0.3">
      <c r="A572" s="16" t="s">
        <v>1255</v>
      </c>
      <c r="B572">
        <v>80</v>
      </c>
      <c r="C572">
        <v>5</v>
      </c>
      <c r="D572">
        <v>3.5</v>
      </c>
      <c r="E572">
        <v>6</v>
      </c>
      <c r="F572">
        <v>2</v>
      </c>
      <c r="G572">
        <v>0</v>
      </c>
      <c r="H572">
        <v>190</v>
      </c>
    </row>
    <row r="573" spans="1:8" x14ac:dyDescent="0.3">
      <c r="A573" s="16" t="s">
        <v>1256</v>
      </c>
      <c r="B573" s="17">
        <v>0</v>
      </c>
      <c r="C573" s="17">
        <v>0</v>
      </c>
      <c r="D573" s="17">
        <v>0</v>
      </c>
      <c r="E573" s="17">
        <v>0</v>
      </c>
      <c r="F573" s="17">
        <v>0</v>
      </c>
      <c r="G573" s="17">
        <v>0</v>
      </c>
      <c r="H573" s="17">
        <v>55</v>
      </c>
    </row>
    <row r="574" spans="1:8" x14ac:dyDescent="0.3">
      <c r="A574" s="16" t="s">
        <v>1257</v>
      </c>
      <c r="B574">
        <v>0</v>
      </c>
      <c r="C574">
        <v>0</v>
      </c>
      <c r="D574">
        <v>0</v>
      </c>
      <c r="E574">
        <v>0</v>
      </c>
      <c r="F574">
        <v>1</v>
      </c>
      <c r="G574">
        <v>0</v>
      </c>
      <c r="H574">
        <v>260</v>
      </c>
    </row>
    <row r="575" spans="1:8" x14ac:dyDescent="0.3">
      <c r="A575" s="16" t="s">
        <v>1264</v>
      </c>
      <c r="B575">
        <v>210</v>
      </c>
      <c r="C575">
        <v>12</v>
      </c>
      <c r="D575">
        <v>4.5</v>
      </c>
      <c r="E575">
        <v>6</v>
      </c>
      <c r="F575">
        <v>17</v>
      </c>
      <c r="G575">
        <v>0</v>
      </c>
      <c r="H575">
        <v>350</v>
      </c>
    </row>
    <row r="576" spans="1:8" x14ac:dyDescent="0.3">
      <c r="A576" s="16" t="s">
        <v>1266</v>
      </c>
      <c r="B576">
        <v>5</v>
      </c>
      <c r="C576">
        <v>0</v>
      </c>
      <c r="D576">
        <v>0</v>
      </c>
      <c r="E576">
        <v>0</v>
      </c>
      <c r="F576">
        <v>1</v>
      </c>
      <c r="G576">
        <v>0</v>
      </c>
      <c r="H576">
        <v>400</v>
      </c>
    </row>
    <row r="577" spans="1:8" x14ac:dyDescent="0.3">
      <c r="A577" s="16" t="s">
        <v>1269</v>
      </c>
      <c r="B577">
        <v>80</v>
      </c>
      <c r="C577">
        <v>0</v>
      </c>
      <c r="D577">
        <v>0</v>
      </c>
      <c r="E577">
        <v>1</v>
      </c>
      <c r="F577">
        <v>19</v>
      </c>
      <c r="G577">
        <v>0</v>
      </c>
      <c r="H577">
        <v>20</v>
      </c>
    </row>
    <row r="578" spans="1:8" x14ac:dyDescent="0.3">
      <c r="A578" s="16" t="s">
        <v>1270</v>
      </c>
      <c r="B578">
        <v>140</v>
      </c>
      <c r="C578">
        <v>7</v>
      </c>
      <c r="D578">
        <v>1</v>
      </c>
      <c r="E578">
        <v>0</v>
      </c>
      <c r="F578">
        <v>20</v>
      </c>
      <c r="G578">
        <v>2</v>
      </c>
      <c r="H578">
        <v>15</v>
      </c>
    </row>
    <row r="579" spans="1:8" x14ac:dyDescent="0.3">
      <c r="A579" s="16" t="s">
        <v>1272</v>
      </c>
      <c r="B579" s="17">
        <v>380</v>
      </c>
      <c r="C579" s="17">
        <v>17</v>
      </c>
      <c r="D579" s="17">
        <v>9</v>
      </c>
      <c r="E579" s="17">
        <v>9</v>
      </c>
      <c r="F579" s="17">
        <v>48</v>
      </c>
      <c r="G579" s="17">
        <v>3</v>
      </c>
      <c r="H579" s="17">
        <v>880</v>
      </c>
    </row>
    <row r="580" spans="1:8" x14ac:dyDescent="0.3">
      <c r="A580" s="16" t="s">
        <v>1276</v>
      </c>
      <c r="B580">
        <v>230</v>
      </c>
      <c r="C580">
        <v>1</v>
      </c>
      <c r="D580">
        <v>0.5</v>
      </c>
      <c r="E580">
        <v>8</v>
      </c>
      <c r="F580">
        <v>46</v>
      </c>
      <c r="G580">
        <v>2</v>
      </c>
      <c r="H580">
        <v>400</v>
      </c>
    </row>
    <row r="581" spans="1:8" x14ac:dyDescent="0.3">
      <c r="A581" s="16" t="s">
        <v>1278</v>
      </c>
      <c r="B581">
        <v>150</v>
      </c>
      <c r="C581">
        <v>6</v>
      </c>
      <c r="D581">
        <v>1</v>
      </c>
      <c r="E581">
        <v>2</v>
      </c>
      <c r="F581">
        <v>20</v>
      </c>
      <c r="G581">
        <v>1</v>
      </c>
      <c r="H581">
        <v>360</v>
      </c>
    </row>
    <row r="582" spans="1:8" x14ac:dyDescent="0.3">
      <c r="A582" s="16" t="s">
        <v>1282</v>
      </c>
      <c r="B582">
        <v>220</v>
      </c>
      <c r="C582">
        <v>4.5</v>
      </c>
      <c r="D582">
        <v>2.5</v>
      </c>
      <c r="E582">
        <v>7</v>
      </c>
      <c r="F582">
        <v>39</v>
      </c>
      <c r="G582">
        <v>1</v>
      </c>
      <c r="H582">
        <v>280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48"/>
  <sheetViews>
    <sheetView tabSelected="1" topLeftCell="P1" zoomScale="74" zoomScaleNormal="85" workbookViewId="0">
      <pane ySplit="1" topLeftCell="A239" activePane="bottomLeft" state="frozen"/>
      <selection activeCell="O1" sqref="O1"/>
      <selection pane="bottomLeft" activeCell="Z244" sqref="Z244"/>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43" si="400">$AC215/$AB215</f>
        <v>4.5635805911879532E-2</v>
      </c>
      <c r="AJ215" s="6">
        <f t="shared" ref="AJ215:AJ243" si="401">$AD215/$AB215</f>
        <v>1.1503067484662576E-2</v>
      </c>
      <c r="AK215" s="6">
        <f t="shared" ref="AK215:AK243" si="402">$AE215/$AB215</f>
        <v>3.1999442275515898E-2</v>
      </c>
      <c r="AL215" s="6">
        <f t="shared" ref="AL215:AL243" si="403">$AF215/$AB215</f>
        <v>0.12529280535415505</v>
      </c>
      <c r="AM215" s="6">
        <f t="shared" ref="AM215:AM243" si="404">$AG215/$AB215</f>
        <v>1.5184049079754602E-2</v>
      </c>
      <c r="AN215" s="6">
        <f t="shared" ref="AN215:AN243"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10">
        <v>0</v>
      </c>
      <c r="AS217" s="7">
        <v>0</v>
      </c>
      <c r="AT217" s="7">
        <v>0</v>
      </c>
      <c r="AU217" s="7">
        <v>0</v>
      </c>
      <c r="AV217" s="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7">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10">
        <v>0</v>
      </c>
      <c r="AS218" s="7">
        <v>0</v>
      </c>
      <c r="AT218" s="7">
        <v>0</v>
      </c>
      <c r="AU218" s="7">
        <v>0</v>
      </c>
      <c r="AV218" s="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7">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10">
        <v>0</v>
      </c>
      <c r="AS219" s="7">
        <v>0</v>
      </c>
      <c r="AT219" s="7">
        <v>0</v>
      </c>
      <c r="AU219" s="7">
        <v>0</v>
      </c>
      <c r="AV219" s="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7">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10">
        <v>0</v>
      </c>
      <c r="AS220" s="7">
        <v>0</v>
      </c>
      <c r="AT220" s="7">
        <v>0</v>
      </c>
      <c r="AU220" s="7">
        <v>0</v>
      </c>
      <c r="AV220" s="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7">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10">
        <v>0</v>
      </c>
      <c r="AS221" s="7">
        <v>0</v>
      </c>
      <c r="AT221" s="7">
        <v>0</v>
      </c>
      <c r="AU221" s="7">
        <v>0</v>
      </c>
      <c r="AV221" s="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7">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1189</v>
      </c>
      <c r="AA222" s="10" t="s">
        <v>1190</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10">
        <v>0</v>
      </c>
      <c r="AS222" s="7">
        <v>0</v>
      </c>
      <c r="AT222" s="7">
        <v>0</v>
      </c>
      <c r="AU222" s="7">
        <v>0</v>
      </c>
      <c r="AV222" s="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7">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1197</v>
      </c>
      <c r="AA223" s="10" t="s">
        <v>1195</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10">
        <v>0</v>
      </c>
      <c r="AS223" s="7">
        <v>0</v>
      </c>
      <c r="AT223" s="7">
        <v>0</v>
      </c>
      <c r="AU223" s="7">
        <v>0</v>
      </c>
      <c r="AV223" s="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1196</v>
      </c>
      <c r="BM223" s="7">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1198</v>
      </c>
      <c r="AA224" s="10" t="s">
        <v>1201</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10">
        <v>0</v>
      </c>
      <c r="AS224" s="7">
        <v>0</v>
      </c>
      <c r="AT224" s="7">
        <v>0</v>
      </c>
      <c r="AU224" s="7">
        <v>0</v>
      </c>
      <c r="AV224" s="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1202</v>
      </c>
      <c r="BM224" s="7">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1205</v>
      </c>
      <c r="AA225" s="10" t="s">
        <v>1206</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10">
        <v>0</v>
      </c>
      <c r="AS225" s="7">
        <v>0</v>
      </c>
      <c r="AT225" s="7">
        <v>0</v>
      </c>
      <c r="AU225" s="7">
        <v>0</v>
      </c>
      <c r="AV225" s="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1204</v>
      </c>
      <c r="BM225" s="7">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1207</v>
      </c>
      <c r="AA226" s="10" t="s">
        <v>1211</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10">
        <v>0</v>
      </c>
      <c r="AS226" s="7">
        <v>0</v>
      </c>
      <c r="AT226" s="7">
        <v>0</v>
      </c>
      <c r="AU226" s="7">
        <v>0</v>
      </c>
      <c r="AV226" s="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1202</v>
      </c>
      <c r="BM226" s="7">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1213</v>
      </c>
      <c r="AA227" s="10" t="s">
        <v>1212</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7">
        <v>4</v>
      </c>
      <c r="AP227" s="7">
        <v>1</v>
      </c>
      <c r="AQ227" s="7">
        <v>0</v>
      </c>
      <c r="AR227" s="10">
        <v>0</v>
      </c>
      <c r="AS227" s="7">
        <v>0</v>
      </c>
      <c r="AT227" s="7">
        <v>0</v>
      </c>
      <c r="AU227" s="7">
        <v>0</v>
      </c>
      <c r="AV227" s="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1202</v>
      </c>
      <c r="BM227" s="7">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1214</v>
      </c>
      <c r="AA228" s="10" t="s">
        <v>1215</v>
      </c>
      <c r="AB228" s="5">
        <f>180+300+360+260+190+480</f>
        <v>1770</v>
      </c>
      <c r="AC228" s="6">
        <f>6+0+24+18+2+27</f>
        <v>77</v>
      </c>
      <c r="AD228" s="6">
        <f>3+0+10+5+0.5+6</f>
        <v>24.5</v>
      </c>
      <c r="AE228" s="6">
        <f>14+0+8+20+6+6</f>
        <v>54</v>
      </c>
      <c r="AF228" s="6">
        <f>19+69+28+5+36+45</f>
        <v>202</v>
      </c>
      <c r="AG228" s="6">
        <f>0+0+4+2+1+3</f>
        <v>10</v>
      </c>
      <c r="AH228" s="6">
        <f>50+15+40+350+380+540</f>
        <v>1375</v>
      </c>
      <c r="AI228" s="6">
        <f t="shared" si="400"/>
        <v>4.3502824858757061E-2</v>
      </c>
      <c r="AJ228" s="6">
        <f t="shared" si="401"/>
        <v>1.384180790960452E-2</v>
      </c>
      <c r="AK228" s="6">
        <f t="shared" si="402"/>
        <v>3.0508474576271188E-2</v>
      </c>
      <c r="AL228" s="6">
        <f t="shared" si="403"/>
        <v>0.11412429378531073</v>
      </c>
      <c r="AM228" s="6">
        <f t="shared" si="404"/>
        <v>5.6497175141242938E-3</v>
      </c>
      <c r="AN228" s="6">
        <f t="shared" si="405"/>
        <v>0.7768361581920904</v>
      </c>
      <c r="AO228" s="7">
        <v>4</v>
      </c>
      <c r="AP228" s="7">
        <v>1</v>
      </c>
      <c r="AQ228" s="7">
        <v>0</v>
      </c>
      <c r="AR228" s="10">
        <v>0</v>
      </c>
      <c r="AS228" s="7">
        <v>0</v>
      </c>
      <c r="AT228" s="7">
        <v>0</v>
      </c>
      <c r="AU228" s="7">
        <v>0</v>
      </c>
      <c r="AV228" s="7">
        <v>0</v>
      </c>
      <c r="AW228" s="7">
        <v>31</v>
      </c>
      <c r="AX228" s="7">
        <v>1</v>
      </c>
      <c r="AY228" s="5">
        <v>5.5</v>
      </c>
      <c r="AZ228" s="7">
        <v>0</v>
      </c>
      <c r="BA228" s="7">
        <v>0</v>
      </c>
      <c r="BB228" s="7">
        <v>0</v>
      </c>
      <c r="BC228" s="7">
        <v>1</v>
      </c>
      <c r="BD228" s="7">
        <v>1</v>
      </c>
      <c r="BE228" s="7">
        <v>0</v>
      </c>
      <c r="BF228" s="7">
        <v>0</v>
      </c>
      <c r="BG228" s="7">
        <v>0</v>
      </c>
      <c r="BH228" s="7">
        <v>0</v>
      </c>
      <c r="BI228" s="7">
        <v>0</v>
      </c>
      <c r="BJ228" s="7">
        <v>0</v>
      </c>
      <c r="BK228" s="11">
        <v>1.5</v>
      </c>
      <c r="BL228" s="7" t="s">
        <v>1216</v>
      </c>
      <c r="BM228" s="7">
        <v>1</v>
      </c>
    </row>
    <row r="229" spans="1:65" ht="19.95" customHeight="1" x14ac:dyDescent="0.3">
      <c r="A229" s="3" t="s">
        <v>15</v>
      </c>
      <c r="B229" s="3">
        <v>0</v>
      </c>
      <c r="C229" s="8">
        <v>44438</v>
      </c>
      <c r="D229" s="9">
        <v>0.30486111111111108</v>
      </c>
      <c r="E229" s="4">
        <v>69</v>
      </c>
      <c r="F229" s="3">
        <v>0</v>
      </c>
      <c r="G229" s="3">
        <v>0</v>
      </c>
      <c r="H229" s="3">
        <v>0</v>
      </c>
      <c r="I229" s="3">
        <v>0</v>
      </c>
      <c r="J229" s="9">
        <v>0.36249999999999999</v>
      </c>
      <c r="K229" s="3">
        <v>143.19999999999999</v>
      </c>
      <c r="L229" s="11">
        <f t="shared" ref="L229" si="431">K229-K228</f>
        <v>-1.2000000000000171</v>
      </c>
      <c r="M229" s="5">
        <f t="shared" ref="M229" si="432">AB228</f>
        <v>1770</v>
      </c>
      <c r="N229" s="11">
        <v>30</v>
      </c>
      <c r="O229" s="11">
        <v>31.5</v>
      </c>
      <c r="P229" s="11">
        <v>10.875</v>
      </c>
      <c r="Q229" s="11">
        <v>10.75</v>
      </c>
      <c r="R229" s="11">
        <v>19.875</v>
      </c>
      <c r="S229" s="11">
        <v>20</v>
      </c>
      <c r="T229" s="11">
        <v>16</v>
      </c>
      <c r="U229" s="11">
        <v>17</v>
      </c>
      <c r="V229" s="11">
        <v>16</v>
      </c>
      <c r="W229" s="11">
        <v>14</v>
      </c>
      <c r="X229" s="11">
        <v>7</v>
      </c>
      <c r="Y229" s="11">
        <v>7</v>
      </c>
      <c r="Z229" s="3" t="s">
        <v>1222</v>
      </c>
      <c r="AA229" s="10" t="s">
        <v>1226</v>
      </c>
      <c r="AB229" s="5">
        <f>64+130+400+180+80+120+640+280+150+120+80+150+342+140+30</f>
        <v>2906</v>
      </c>
      <c r="AC229" s="6">
        <f>4.4+7+0+6+5+4+0+18+8+4+5+8+23+7+0</f>
        <v>99.4</v>
      </c>
      <c r="AD229" s="6">
        <f>1+1+0+3+1+1+0+3+1+1+1+1+6+1+0</f>
        <v>21</v>
      </c>
      <c r="AE229" s="6">
        <f>4+2+0+14+2+2+0+4+2+2+2+2+22+2+0</f>
        <v>60</v>
      </c>
      <c r="AF229" s="6">
        <f>2+17+95+19+7+18+152+28+18+18+7+18+7+18+11+16+8</f>
        <v>459</v>
      </c>
      <c r="AG229" s="6">
        <f>0.5+1+0+0+1+1+0+2+1+1+1+1+3+1+1</f>
        <v>14.5</v>
      </c>
      <c r="AH229" s="6">
        <f>85+450+150+50+120+210+240+460+190+210+120+210+452+80+150</f>
        <v>3177</v>
      </c>
      <c r="AI229" s="6">
        <f t="shared" si="400"/>
        <v>3.420509291121817E-2</v>
      </c>
      <c r="AJ229" s="6">
        <f t="shared" si="401"/>
        <v>7.2264280798348245E-3</v>
      </c>
      <c r="AK229" s="6">
        <f t="shared" si="402"/>
        <v>2.0646937370956641E-2</v>
      </c>
      <c r="AL229" s="6">
        <f t="shared" si="403"/>
        <v>0.15794907088781832</v>
      </c>
      <c r="AM229" s="6">
        <f t="shared" si="404"/>
        <v>4.9896765313145221E-3</v>
      </c>
      <c r="AN229" s="6">
        <f t="shared" si="405"/>
        <v>1.0932553337921542</v>
      </c>
      <c r="AO229" s="7">
        <v>4</v>
      </c>
      <c r="AP229" s="7">
        <v>1</v>
      </c>
      <c r="AQ229" s="7">
        <v>1</v>
      </c>
      <c r="AR229" s="10">
        <v>0</v>
      </c>
      <c r="AS229" s="7">
        <v>0</v>
      </c>
      <c r="AT229" s="7">
        <v>0</v>
      </c>
      <c r="AU229" s="7">
        <v>0</v>
      </c>
      <c r="AV229" s="7">
        <v>0</v>
      </c>
      <c r="AW229" s="7">
        <v>31</v>
      </c>
      <c r="AX229" s="7">
        <v>1</v>
      </c>
      <c r="AY229" s="5">
        <v>7.5</v>
      </c>
      <c r="AZ229" s="7">
        <v>0</v>
      </c>
      <c r="BA229" s="7">
        <v>0</v>
      </c>
      <c r="BB229" s="7">
        <v>0</v>
      </c>
      <c r="BC229" s="7">
        <v>1</v>
      </c>
      <c r="BD229" s="7">
        <v>1</v>
      </c>
      <c r="BE229" s="7">
        <v>0</v>
      </c>
      <c r="BF229" s="7">
        <v>0</v>
      </c>
      <c r="BG229" s="7">
        <v>0</v>
      </c>
      <c r="BH229" s="7">
        <v>0</v>
      </c>
      <c r="BI229" s="7">
        <v>0</v>
      </c>
      <c r="BJ229" s="7">
        <v>1</v>
      </c>
      <c r="BK229" s="11">
        <v>1</v>
      </c>
      <c r="BL229" s="7" t="s">
        <v>1216</v>
      </c>
      <c r="BM229" s="7">
        <v>1</v>
      </c>
    </row>
    <row r="230" spans="1:65" ht="19.95" customHeight="1" x14ac:dyDescent="0.3">
      <c r="A230" s="3" t="s">
        <v>16</v>
      </c>
      <c r="B230" s="3">
        <v>1</v>
      </c>
      <c r="C230" s="8">
        <v>44439</v>
      </c>
      <c r="D230" s="9">
        <v>0.44305555555555554</v>
      </c>
      <c r="E230" s="4">
        <v>71</v>
      </c>
      <c r="F230" s="3">
        <v>0</v>
      </c>
      <c r="G230" s="3">
        <v>0</v>
      </c>
      <c r="H230" s="3">
        <v>0</v>
      </c>
      <c r="I230" s="3">
        <v>0</v>
      </c>
      <c r="J230" s="9">
        <v>0.45</v>
      </c>
      <c r="K230" s="3">
        <v>145.80000000000001</v>
      </c>
      <c r="L230" s="11">
        <f t="shared" ref="L230" si="433">K230-K229</f>
        <v>2.6000000000000227</v>
      </c>
      <c r="M230" s="5">
        <f t="shared" ref="M230" si="434">AB229</f>
        <v>2906</v>
      </c>
      <c r="N230" s="11">
        <v>31.125</v>
      </c>
      <c r="O230" s="11">
        <v>32.875</v>
      </c>
      <c r="P230" s="11">
        <v>10.625</v>
      </c>
      <c r="Q230" s="11">
        <v>10.625</v>
      </c>
      <c r="R230" s="11">
        <v>19.625</v>
      </c>
      <c r="S230" s="11">
        <v>19.875</v>
      </c>
      <c r="T230" s="11">
        <v>15</v>
      </c>
      <c r="U230" s="11">
        <v>15</v>
      </c>
      <c r="V230" s="11">
        <v>16</v>
      </c>
      <c r="W230" s="11">
        <v>13</v>
      </c>
      <c r="X230" s="11">
        <v>7</v>
      </c>
      <c r="Y230" s="11">
        <v>7</v>
      </c>
      <c r="Z230" s="3" t="s">
        <v>1228</v>
      </c>
      <c r="AA230" s="10" t="s">
        <v>1227</v>
      </c>
      <c r="AB230" s="5">
        <f>342+140+30+289+322+160+160+450+540+342+140+30+160+140</f>
        <v>3245</v>
      </c>
      <c r="AC230" s="6">
        <f>23+7+0+11+29+10+0+0+36+23+7+0+0+9</f>
        <v>155</v>
      </c>
      <c r="AD230" s="6">
        <f>6+1+0+3+4+2+0+0+15+6+1+0+0+2</f>
        <v>40</v>
      </c>
      <c r="AE230" s="6">
        <f>22+2+0+7+4+4+0+9+12+22+2+0+0+2</f>
        <v>86</v>
      </c>
      <c r="AF230" s="6">
        <f>11+16+8+43+17+14+38+104+42+11+16+8+38+14</f>
        <v>380</v>
      </c>
      <c r="AG230" s="6">
        <f>3+1+1+1+18+2+0+63+6+3+1+1+0+1</f>
        <v>101</v>
      </c>
      <c r="AH230" s="6">
        <f>452+80+150+440+14+240+60+22.5+60+452+80+150+60+230</f>
        <v>2490.5</v>
      </c>
      <c r="AI230" s="6">
        <f t="shared" si="400"/>
        <v>4.7765793528505393E-2</v>
      </c>
      <c r="AJ230" s="6">
        <f t="shared" si="401"/>
        <v>1.2326656394453005E-2</v>
      </c>
      <c r="AK230" s="6">
        <f t="shared" si="402"/>
        <v>2.6502311248073961E-2</v>
      </c>
      <c r="AL230" s="6">
        <f t="shared" si="403"/>
        <v>0.11710323574730354</v>
      </c>
      <c r="AM230" s="6">
        <f t="shared" si="404"/>
        <v>3.1124807395993836E-2</v>
      </c>
      <c r="AN230" s="6">
        <f t="shared" si="405"/>
        <v>0.76748844375963021</v>
      </c>
      <c r="AO230" s="7">
        <v>4</v>
      </c>
      <c r="AP230" s="7">
        <v>1</v>
      </c>
      <c r="AQ230" s="7">
        <v>1</v>
      </c>
      <c r="AR230" s="10">
        <v>0</v>
      </c>
      <c r="AS230" s="7">
        <v>0</v>
      </c>
      <c r="AT230" s="7">
        <v>0</v>
      </c>
      <c r="AU230" s="7">
        <v>0</v>
      </c>
      <c r="AV230" s="7">
        <v>0</v>
      </c>
      <c r="AW230" s="7">
        <v>0</v>
      </c>
      <c r="AX230" s="7">
        <v>0</v>
      </c>
      <c r="AY230" s="5">
        <v>6.75</v>
      </c>
      <c r="AZ230" s="7">
        <v>0</v>
      </c>
      <c r="BA230" s="7">
        <v>0</v>
      </c>
      <c r="BB230" s="7">
        <v>0</v>
      </c>
      <c r="BC230" s="7">
        <v>1</v>
      </c>
      <c r="BD230" s="7">
        <v>1</v>
      </c>
      <c r="BE230" s="7">
        <v>0</v>
      </c>
      <c r="BF230" s="7">
        <v>1</v>
      </c>
      <c r="BG230" s="7">
        <v>20</v>
      </c>
      <c r="BH230" s="7">
        <v>0</v>
      </c>
      <c r="BI230" s="7">
        <v>0</v>
      </c>
      <c r="BJ230" s="7">
        <v>1</v>
      </c>
      <c r="BK230" s="11">
        <v>1</v>
      </c>
      <c r="BL230" s="7" t="s">
        <v>1216</v>
      </c>
      <c r="BM230" s="7">
        <v>1</v>
      </c>
    </row>
    <row r="231" spans="1:65" ht="30" customHeight="1" x14ac:dyDescent="0.3">
      <c r="A231" s="3" t="s">
        <v>17</v>
      </c>
      <c r="B231" s="3">
        <v>2</v>
      </c>
      <c r="C231" s="8">
        <v>44440</v>
      </c>
      <c r="D231" s="9">
        <v>0.3034722222222222</v>
      </c>
      <c r="E231" s="4">
        <v>67</v>
      </c>
      <c r="F231" s="3">
        <v>0</v>
      </c>
      <c r="G231" s="3">
        <v>0</v>
      </c>
      <c r="H231" s="3">
        <v>0</v>
      </c>
      <c r="I231" s="3">
        <v>0</v>
      </c>
      <c r="J231" s="9">
        <v>0.2986111111111111</v>
      </c>
      <c r="K231" s="3">
        <v>145.80000000000001</v>
      </c>
      <c r="L231" s="11">
        <f t="shared" ref="L231" si="435">K231-K230</f>
        <v>0</v>
      </c>
      <c r="M231" s="5">
        <f t="shared" ref="M231" si="436">AB230</f>
        <v>3245</v>
      </c>
      <c r="N231" s="11">
        <v>31</v>
      </c>
      <c r="O231" s="11">
        <v>32.5</v>
      </c>
      <c r="P231" s="11">
        <v>10.75</v>
      </c>
      <c r="Q231" s="11">
        <v>11</v>
      </c>
      <c r="R231" s="11">
        <v>20</v>
      </c>
      <c r="S231" s="11">
        <v>20</v>
      </c>
      <c r="T231" s="11">
        <v>14</v>
      </c>
      <c r="U231" s="11">
        <v>13</v>
      </c>
      <c r="V231" s="11">
        <v>16</v>
      </c>
      <c r="W231" s="11">
        <v>14</v>
      </c>
      <c r="X231" s="11">
        <v>7</v>
      </c>
      <c r="Y231" s="11">
        <v>7</v>
      </c>
      <c r="Z231" s="3" t="s">
        <v>1234</v>
      </c>
      <c r="AA231" s="10" t="s">
        <v>1233</v>
      </c>
      <c r="AB231" s="5">
        <f>630+400+241.5+110+110+480+112.5</f>
        <v>2084</v>
      </c>
      <c r="AC231" s="6">
        <f>24+0+21.75+3+3+30+0</f>
        <v>81.75</v>
      </c>
      <c r="AD231" s="6">
        <f>6+0+3+0+0+4.5+0</f>
        <v>13.5</v>
      </c>
      <c r="AE231" s="6">
        <f>15+0+3+2+2+6+0</f>
        <v>28</v>
      </c>
      <c r="AF231" s="6">
        <f>93+95+12.75+19+19+45+31.25</f>
        <v>315</v>
      </c>
      <c r="AG231" s="6">
        <f>3+0+13.5+1+1+3+0</f>
        <v>21.5</v>
      </c>
      <c r="AH231" s="6">
        <f>960+150+10.5+125+220+750+37.5</f>
        <v>2253</v>
      </c>
      <c r="AI231" s="6">
        <f t="shared" si="400"/>
        <v>3.9227447216890594E-2</v>
      </c>
      <c r="AJ231" s="6">
        <f t="shared" si="401"/>
        <v>6.4779270633397315E-3</v>
      </c>
      <c r="AK231" s="6">
        <f t="shared" si="402"/>
        <v>1.3435700575815739E-2</v>
      </c>
      <c r="AL231" s="6">
        <f t="shared" si="403"/>
        <v>0.15115163147792707</v>
      </c>
      <c r="AM231" s="6">
        <f t="shared" si="404"/>
        <v>1.0316698656429943E-2</v>
      </c>
      <c r="AN231" s="6">
        <f t="shared" si="405"/>
        <v>1.0810940499040307</v>
      </c>
      <c r="AO231" s="7">
        <v>4</v>
      </c>
      <c r="AP231" s="7">
        <v>1</v>
      </c>
      <c r="AQ231" s="7">
        <v>1</v>
      </c>
      <c r="AR231" s="10">
        <v>0</v>
      </c>
      <c r="AS231" s="7">
        <v>0</v>
      </c>
      <c r="AT231" s="7">
        <v>0</v>
      </c>
      <c r="AU231" s="7">
        <v>0</v>
      </c>
      <c r="AV231" s="7">
        <v>0</v>
      </c>
      <c r="AW231" s="7">
        <v>31</v>
      </c>
      <c r="AX231" s="7">
        <v>1</v>
      </c>
      <c r="AY231" s="5">
        <v>7</v>
      </c>
      <c r="AZ231" s="7">
        <v>0</v>
      </c>
      <c r="BA231" s="7">
        <v>0</v>
      </c>
      <c r="BB231" s="7">
        <v>0</v>
      </c>
      <c r="BC231" s="7">
        <v>1</v>
      </c>
      <c r="BD231" s="7">
        <v>1</v>
      </c>
      <c r="BE231" s="7">
        <v>0</v>
      </c>
      <c r="BF231" s="7">
        <v>0</v>
      </c>
      <c r="BG231" s="7">
        <v>0</v>
      </c>
      <c r="BH231" s="7">
        <v>0</v>
      </c>
      <c r="BI231" s="7">
        <v>0</v>
      </c>
      <c r="BJ231" s="7">
        <v>1</v>
      </c>
      <c r="BK231" s="11">
        <v>3</v>
      </c>
      <c r="BL231" s="7" t="s">
        <v>1229</v>
      </c>
      <c r="BM231" s="7">
        <v>1</v>
      </c>
    </row>
    <row r="232" spans="1:65" ht="30" customHeight="1" x14ac:dyDescent="0.3">
      <c r="A232" s="3" t="s">
        <v>18</v>
      </c>
      <c r="B232" s="3">
        <v>3</v>
      </c>
      <c r="C232" s="8">
        <v>44441</v>
      </c>
      <c r="D232" s="9">
        <v>0.36736111111111108</v>
      </c>
      <c r="E232" s="4">
        <v>66</v>
      </c>
      <c r="F232" s="3">
        <v>0</v>
      </c>
      <c r="G232" s="3">
        <v>0</v>
      </c>
      <c r="H232" s="3">
        <v>0</v>
      </c>
      <c r="I232" s="3">
        <v>0</v>
      </c>
      <c r="J232" s="9">
        <v>0.36805555555555558</v>
      </c>
      <c r="K232" s="3">
        <v>145</v>
      </c>
      <c r="L232" s="11">
        <f t="shared" ref="L232" si="437">K232-K231</f>
        <v>-0.80000000000001137</v>
      </c>
      <c r="M232" s="5">
        <f t="shared" ref="M232" si="438">AB231</f>
        <v>2084</v>
      </c>
      <c r="N232" s="11">
        <v>30.75</v>
      </c>
      <c r="O232" s="11">
        <v>32.5</v>
      </c>
      <c r="P232" s="11">
        <v>11</v>
      </c>
      <c r="Q232" s="11">
        <v>11</v>
      </c>
      <c r="R232" s="11">
        <v>20</v>
      </c>
      <c r="S232" s="11">
        <v>20.25</v>
      </c>
      <c r="T232" s="11">
        <v>14</v>
      </c>
      <c r="U232" s="11">
        <v>14</v>
      </c>
      <c r="V232" s="11">
        <v>16</v>
      </c>
      <c r="W232" s="11">
        <v>16</v>
      </c>
      <c r="X232" s="11">
        <v>7</v>
      </c>
      <c r="Y232" s="11">
        <v>7</v>
      </c>
      <c r="Z232" s="3" t="s">
        <v>1235</v>
      </c>
      <c r="AA232" s="10" t="s">
        <v>1237</v>
      </c>
      <c r="AB232" s="5">
        <f>180+315+260+322+240+150+30+110+160+150+90</f>
        <v>2007</v>
      </c>
      <c r="AC232" s="6">
        <f>6+12+14+29+14+1.5+0+3+10+8+0</f>
        <v>97.5</v>
      </c>
      <c r="AD232" s="6">
        <f>3+3+2+4+8+0.5+0+0+1.5+1+0</f>
        <v>23</v>
      </c>
      <c r="AE232" s="6">
        <f>14+7.5+4+4+19+5+0+2+2+2+0</f>
        <v>59.5</v>
      </c>
      <c r="AF232" s="6">
        <f>19+46.5+34+17+9+30+8+19+15+18+25</f>
        <v>240.5</v>
      </c>
      <c r="AG232" s="6">
        <f>0+1.5+2+18+3+1+1+1+1+1+0</f>
        <v>29.5</v>
      </c>
      <c r="AH232" s="6">
        <f>50+480+900+14+370+200+150+220+250+210+30</f>
        <v>2874</v>
      </c>
      <c r="AI232" s="6">
        <f t="shared" si="400"/>
        <v>4.8579970104633781E-2</v>
      </c>
      <c r="AJ232" s="6">
        <f t="shared" si="401"/>
        <v>1.14598903836572E-2</v>
      </c>
      <c r="AK232" s="6">
        <f t="shared" si="402"/>
        <v>2.9646238166417538E-2</v>
      </c>
      <c r="AL232" s="6">
        <f t="shared" si="403"/>
        <v>0.11983059292476334</v>
      </c>
      <c r="AM232" s="6">
        <f t="shared" si="404"/>
        <v>1.4698555057299452E-2</v>
      </c>
      <c r="AN232" s="6">
        <f t="shared" si="405"/>
        <v>1.4319880418535127</v>
      </c>
      <c r="AO232" s="7">
        <v>4</v>
      </c>
      <c r="AP232" s="7">
        <v>1</v>
      </c>
      <c r="AQ232" s="7">
        <v>1</v>
      </c>
      <c r="AR232" s="10">
        <v>0</v>
      </c>
      <c r="AS232" s="7">
        <v>0</v>
      </c>
      <c r="AT232" s="7">
        <v>0</v>
      </c>
      <c r="AU232" s="7">
        <v>0</v>
      </c>
      <c r="AV232" s="7">
        <v>0</v>
      </c>
      <c r="AW232" s="7">
        <v>0</v>
      </c>
      <c r="AX232" s="7">
        <v>0</v>
      </c>
      <c r="AY232" s="5">
        <v>7.25</v>
      </c>
      <c r="AZ232" s="7">
        <v>0</v>
      </c>
      <c r="BA232" s="7">
        <v>0</v>
      </c>
      <c r="BB232" s="7">
        <v>0</v>
      </c>
      <c r="BC232" s="7">
        <v>1</v>
      </c>
      <c r="BD232" s="7">
        <v>1</v>
      </c>
      <c r="BE232" s="7">
        <v>0</v>
      </c>
      <c r="BF232" s="7">
        <v>0</v>
      </c>
      <c r="BG232" s="7">
        <v>0</v>
      </c>
      <c r="BH232" s="7">
        <v>0</v>
      </c>
      <c r="BI232" s="7">
        <v>0</v>
      </c>
      <c r="BJ232" s="7">
        <v>1</v>
      </c>
      <c r="BK232" s="11">
        <v>2</v>
      </c>
      <c r="BL232" s="7" t="s">
        <v>1229</v>
      </c>
      <c r="BM232" s="7">
        <v>1</v>
      </c>
    </row>
    <row r="233" spans="1:65" ht="30" customHeight="1" x14ac:dyDescent="0.3">
      <c r="A233" s="3" t="s">
        <v>137</v>
      </c>
      <c r="B233" s="3">
        <v>4</v>
      </c>
      <c r="C233" s="8">
        <v>44442</v>
      </c>
      <c r="D233" s="9">
        <v>0.3</v>
      </c>
      <c r="E233" s="4">
        <v>62</v>
      </c>
      <c r="F233" s="3">
        <v>0</v>
      </c>
      <c r="G233" s="3">
        <v>0</v>
      </c>
      <c r="H233" s="3">
        <v>0</v>
      </c>
      <c r="I233" s="3">
        <v>0</v>
      </c>
      <c r="J233" s="9">
        <v>0.31388888888888888</v>
      </c>
      <c r="K233" s="3">
        <v>142.80000000000001</v>
      </c>
      <c r="L233" s="11">
        <f t="shared" ref="L233" si="439">K233-K232</f>
        <v>-2.1999999999999886</v>
      </c>
      <c r="M233" s="5">
        <f t="shared" ref="M233" si="440">AB232</f>
        <v>2007</v>
      </c>
      <c r="N233" s="11">
        <v>30.75</v>
      </c>
      <c r="O233" s="11">
        <v>32.5</v>
      </c>
      <c r="P233" s="11">
        <v>10.625</v>
      </c>
      <c r="Q233" s="11">
        <v>10.75</v>
      </c>
      <c r="R233" s="11">
        <v>19.75</v>
      </c>
      <c r="S233" s="11">
        <v>20.25</v>
      </c>
      <c r="T233" s="11">
        <v>14</v>
      </c>
      <c r="U233" s="11">
        <v>12</v>
      </c>
      <c r="V233" s="11">
        <v>15</v>
      </c>
      <c r="W233" s="11">
        <v>15</v>
      </c>
      <c r="X233" s="11">
        <v>7</v>
      </c>
      <c r="Y233" s="11">
        <v>7</v>
      </c>
      <c r="Z233" s="3" t="s">
        <v>1238</v>
      </c>
      <c r="AA233" s="10" t="s">
        <v>1240</v>
      </c>
      <c r="AB233" s="5">
        <f>110+300+320+150+472.5+241.5+130+2025</f>
        <v>3749</v>
      </c>
      <c r="AC233" s="6">
        <f>3+16+20+8+18+21.75+7+0</f>
        <v>93.75</v>
      </c>
      <c r="AD233" s="6">
        <f>0+2+3+1+4.5+3+1+0</f>
        <v>14.5</v>
      </c>
      <c r="AE233" s="6">
        <f>2+4+4+2+11.25+3+2+40.5</f>
        <v>68.75</v>
      </c>
      <c r="AF233" s="6">
        <f>19+36+30+18+69.75+12.75+17+465.75</f>
        <v>668.25</v>
      </c>
      <c r="AG233" s="6">
        <f>1+2+2+1+2.25+13.5+1+0</f>
        <v>22.75</v>
      </c>
      <c r="AH233" s="6">
        <f>125+420+500+190+720+10.5+450+101.25</f>
        <v>2516.75</v>
      </c>
      <c r="AI233" s="6">
        <f t="shared" si="400"/>
        <v>2.5006668444918646E-2</v>
      </c>
      <c r="AJ233" s="6">
        <f t="shared" si="401"/>
        <v>3.8676980528140835E-3</v>
      </c>
      <c r="AK233" s="6">
        <f t="shared" si="402"/>
        <v>1.8338223526273675E-2</v>
      </c>
      <c r="AL233" s="6">
        <f t="shared" si="403"/>
        <v>0.1782475326753801</v>
      </c>
      <c r="AM233" s="6">
        <f t="shared" si="404"/>
        <v>6.0682848759669242E-3</v>
      </c>
      <c r="AN233" s="6">
        <f t="shared" si="405"/>
        <v>0.67131234995998934</v>
      </c>
      <c r="AO233" s="7">
        <v>4</v>
      </c>
      <c r="AP233" s="7">
        <v>1</v>
      </c>
      <c r="AQ233" s="7">
        <v>1</v>
      </c>
      <c r="AR233" s="10">
        <v>0</v>
      </c>
      <c r="AS233" s="7">
        <v>0</v>
      </c>
      <c r="AT233" s="7">
        <v>0</v>
      </c>
      <c r="AU233" s="7">
        <v>0</v>
      </c>
      <c r="AV233" s="7">
        <v>0</v>
      </c>
      <c r="AW233" s="7">
        <v>31</v>
      </c>
      <c r="AX233" s="7">
        <v>1</v>
      </c>
      <c r="AY233" s="5">
        <v>7.5</v>
      </c>
      <c r="AZ233" s="7">
        <v>0</v>
      </c>
      <c r="BA233" s="7">
        <v>0</v>
      </c>
      <c r="BB233" s="7">
        <v>0</v>
      </c>
      <c r="BC233" s="7">
        <v>1</v>
      </c>
      <c r="BD233" s="7">
        <v>1</v>
      </c>
      <c r="BE233" s="7">
        <v>0</v>
      </c>
      <c r="BF233" s="7">
        <v>0</v>
      </c>
      <c r="BG233" s="7">
        <v>0</v>
      </c>
      <c r="BH233" s="7">
        <v>0</v>
      </c>
      <c r="BI233" s="7">
        <v>0</v>
      </c>
      <c r="BJ233" s="7">
        <v>1</v>
      </c>
      <c r="BK233" s="11">
        <v>2</v>
      </c>
      <c r="BL233" s="7" t="s">
        <v>1229</v>
      </c>
      <c r="BM233" s="7">
        <v>1</v>
      </c>
    </row>
    <row r="234" spans="1:65" ht="30" customHeight="1" x14ac:dyDescent="0.3">
      <c r="A234" s="3" t="s">
        <v>19</v>
      </c>
      <c r="B234" s="3">
        <v>5</v>
      </c>
      <c r="C234" s="8">
        <v>44443</v>
      </c>
      <c r="D234" s="9">
        <v>0.58333333333333337</v>
      </c>
      <c r="E234" s="4">
        <v>99</v>
      </c>
      <c r="F234" s="3">
        <v>0</v>
      </c>
      <c r="G234" s="3">
        <v>0</v>
      </c>
      <c r="H234" s="3">
        <v>0</v>
      </c>
      <c r="I234" s="3">
        <v>0.75</v>
      </c>
      <c r="J234" s="9">
        <v>0.28194444444444444</v>
      </c>
      <c r="K234" s="3">
        <v>144.6</v>
      </c>
      <c r="L234" s="11">
        <f t="shared" ref="L234" si="441">K234-K233</f>
        <v>1.7999999999999829</v>
      </c>
      <c r="M234" s="5">
        <f t="shared" ref="M234" si="442">AB233</f>
        <v>3749</v>
      </c>
      <c r="N234" s="11">
        <v>30.625</v>
      </c>
      <c r="O234" s="11">
        <v>32.25</v>
      </c>
      <c r="P234" s="11">
        <v>10.75</v>
      </c>
      <c r="Q234" s="11">
        <v>11</v>
      </c>
      <c r="R234" s="11">
        <v>20</v>
      </c>
      <c r="S234" s="11">
        <v>20.25</v>
      </c>
      <c r="T234" s="11">
        <v>15</v>
      </c>
      <c r="U234" s="11">
        <v>17</v>
      </c>
      <c r="V234" s="11">
        <v>18</v>
      </c>
      <c r="W234" s="11">
        <v>16</v>
      </c>
      <c r="X234" s="11">
        <v>7</v>
      </c>
      <c r="Y234" s="11">
        <v>7</v>
      </c>
      <c r="Z234" s="3" t="s">
        <v>1242</v>
      </c>
      <c r="AA234" s="10" t="s">
        <v>1241</v>
      </c>
      <c r="AB234" s="5">
        <f>110+240+240+150+30+100+150+30+120+110+262.5</f>
        <v>1542.5</v>
      </c>
      <c r="AC234" s="6">
        <f>3+8+14+1.5+0+6+1.5+0+4+3+10</f>
        <v>51</v>
      </c>
      <c r="AD234" s="6">
        <f>0+1+8+0.5+0+4+0.5+0+0.5+0+2.5</f>
        <v>17</v>
      </c>
      <c r="AE234" s="6">
        <f>2+4+19+5+0+8+5+0+2+2+6.25</f>
        <v>53.25</v>
      </c>
      <c r="AF234" s="6">
        <f>19+36+9+30+8+2+30+8+18+19+38.75</f>
        <v>217.75</v>
      </c>
      <c r="AG234" s="6">
        <f>1+2+3+1+1+0+1+1+1+1+1.25</f>
        <v>13.25</v>
      </c>
      <c r="AH234" s="6">
        <f>220+420+370+200+150+280+200+150+210+125+400</f>
        <v>2725</v>
      </c>
      <c r="AI234" s="6">
        <f t="shared" si="400"/>
        <v>3.3063209076175042E-2</v>
      </c>
      <c r="AJ234" s="6">
        <f t="shared" si="401"/>
        <v>1.1021069692058346E-2</v>
      </c>
      <c r="AK234" s="6">
        <f t="shared" si="402"/>
        <v>3.452188006482982E-2</v>
      </c>
      <c r="AL234" s="6">
        <f t="shared" si="403"/>
        <v>0.14116693679092382</v>
      </c>
      <c r="AM234" s="6">
        <f t="shared" si="404"/>
        <v>8.5899513776337109E-3</v>
      </c>
      <c r="AN234" s="6">
        <f t="shared" si="405"/>
        <v>1.766612641815235</v>
      </c>
      <c r="AO234" s="7">
        <v>4</v>
      </c>
      <c r="AP234" s="7">
        <v>1</v>
      </c>
      <c r="AQ234" s="7">
        <v>1</v>
      </c>
      <c r="AR234" s="10" t="s">
        <v>1239</v>
      </c>
      <c r="AS234" s="7">
        <v>0</v>
      </c>
      <c r="AT234" s="7">
        <v>0</v>
      </c>
      <c r="AU234" s="7">
        <v>0</v>
      </c>
      <c r="AV234" s="7">
        <v>0</v>
      </c>
      <c r="AW234" s="7">
        <v>31</v>
      </c>
      <c r="AX234" s="7">
        <v>1</v>
      </c>
      <c r="AY234" s="5">
        <v>5.5</v>
      </c>
      <c r="AZ234" s="7">
        <v>0</v>
      </c>
      <c r="BA234" s="7">
        <v>0</v>
      </c>
      <c r="BB234" s="7">
        <v>0</v>
      </c>
      <c r="BC234" s="7">
        <v>1</v>
      </c>
      <c r="BD234" s="7">
        <v>1</v>
      </c>
      <c r="BE234" s="7">
        <v>0</v>
      </c>
      <c r="BF234" s="7">
        <v>0</v>
      </c>
      <c r="BG234" s="7">
        <v>0</v>
      </c>
      <c r="BH234" s="7">
        <v>0</v>
      </c>
      <c r="BI234" s="7">
        <v>0</v>
      </c>
      <c r="BJ234" s="7">
        <v>1</v>
      </c>
      <c r="BK234" s="11">
        <v>2</v>
      </c>
      <c r="BL234" s="7" t="s">
        <v>1229</v>
      </c>
      <c r="BM234" s="7">
        <v>1</v>
      </c>
    </row>
    <row r="235" spans="1:65" ht="30" customHeight="1" x14ac:dyDescent="0.3">
      <c r="A235" s="3" t="s">
        <v>23</v>
      </c>
      <c r="B235" s="3">
        <v>6</v>
      </c>
      <c r="C235" s="8">
        <v>44444</v>
      </c>
      <c r="D235" s="9">
        <v>0.76041666666666663</v>
      </c>
      <c r="E235" s="4">
        <v>103</v>
      </c>
      <c r="F235" s="3">
        <v>0</v>
      </c>
      <c r="G235" s="3">
        <v>0</v>
      </c>
      <c r="H235" s="3">
        <v>0</v>
      </c>
      <c r="I235" s="3">
        <v>0.25</v>
      </c>
      <c r="J235" s="9">
        <v>0.3125</v>
      </c>
      <c r="K235" s="3">
        <v>143.80000000000001</v>
      </c>
      <c r="L235" s="11">
        <f t="shared" ref="L235" si="443">K235-K234</f>
        <v>-0.79999999999998295</v>
      </c>
      <c r="M235" s="5">
        <f t="shared" ref="M235" si="444">AB234</f>
        <v>1542.5</v>
      </c>
      <c r="N235" s="11">
        <v>30.5</v>
      </c>
      <c r="O235" s="11">
        <v>32.25</v>
      </c>
      <c r="P235" s="11">
        <v>10.875</v>
      </c>
      <c r="Q235" s="11">
        <v>10.875</v>
      </c>
      <c r="R235" s="11">
        <v>20</v>
      </c>
      <c r="S235" s="11">
        <v>20.125</v>
      </c>
      <c r="T235" s="11">
        <v>16</v>
      </c>
      <c r="U235" s="11">
        <v>14</v>
      </c>
      <c r="V235" s="11">
        <v>16</v>
      </c>
      <c r="W235" s="11">
        <v>15</v>
      </c>
      <c r="X235" s="11">
        <v>7</v>
      </c>
      <c r="Y235" s="11">
        <v>7</v>
      </c>
      <c r="Z235" s="3" t="s">
        <v>1245</v>
      </c>
      <c r="AA235" s="10" t="s">
        <v>1244</v>
      </c>
      <c r="AB235" s="5">
        <f>110+315+605.5+100+220+100+30+110</f>
        <v>1590.5</v>
      </c>
      <c r="AC235" s="6">
        <f>3+12+16.28+6+4+6+0+3</f>
        <v>50.28</v>
      </c>
      <c r="AD235" s="6">
        <f>0+3+5.35+4+0+4+0+0</f>
        <v>16.350000000000001</v>
      </c>
      <c r="AE235" s="6">
        <f>2+7.5+18.9+8+8+8+0+2</f>
        <v>54.4</v>
      </c>
      <c r="AF235" s="6">
        <f>19+46.5+96.95+2+38+2+8+19</f>
        <v>231.45</v>
      </c>
      <c r="AG235" s="6">
        <f>1+1.5+8.35+0+4+0+1+1</f>
        <v>16.850000000000001</v>
      </c>
      <c r="AH235" s="6">
        <f>220+480+944+280+270+280+150+125</f>
        <v>2749</v>
      </c>
      <c r="AI235" s="6">
        <f t="shared" si="400"/>
        <v>3.1612700408676517E-2</v>
      </c>
      <c r="AJ235" s="6">
        <f t="shared" si="401"/>
        <v>1.0279786230745049E-2</v>
      </c>
      <c r="AK235" s="6">
        <f t="shared" si="402"/>
        <v>3.4203080792203709E-2</v>
      </c>
      <c r="AL235" s="6">
        <f t="shared" si="403"/>
        <v>0.14552027664256523</v>
      </c>
      <c r="AM235" s="6">
        <f t="shared" si="404"/>
        <v>1.0594152782143981E-2</v>
      </c>
      <c r="AN235" s="6">
        <f t="shared" si="405"/>
        <v>1.7283872995913234</v>
      </c>
      <c r="AO235" s="7">
        <v>4</v>
      </c>
      <c r="AP235" s="7">
        <v>1</v>
      </c>
      <c r="AQ235" s="7">
        <v>1</v>
      </c>
      <c r="AR235" s="10" t="s">
        <v>1243</v>
      </c>
      <c r="AS235" s="7">
        <v>0</v>
      </c>
      <c r="AT235" s="7">
        <v>0</v>
      </c>
      <c r="AU235" s="7">
        <v>0</v>
      </c>
      <c r="AV235" s="7">
        <v>0</v>
      </c>
      <c r="AW235" s="7">
        <v>31</v>
      </c>
      <c r="AX235" s="7">
        <v>1</v>
      </c>
      <c r="AY235" s="5">
        <v>6.5</v>
      </c>
      <c r="AZ235" s="7">
        <v>0</v>
      </c>
      <c r="BA235" s="7">
        <v>0</v>
      </c>
      <c r="BB235" s="7">
        <v>0</v>
      </c>
      <c r="BC235" s="7">
        <v>1</v>
      </c>
      <c r="BD235" s="7">
        <v>1</v>
      </c>
      <c r="BE235" s="7">
        <v>0</v>
      </c>
      <c r="BF235" s="7">
        <v>0</v>
      </c>
      <c r="BG235" s="7">
        <v>0</v>
      </c>
      <c r="BH235" s="7">
        <v>0</v>
      </c>
      <c r="BI235" s="7">
        <v>0</v>
      </c>
      <c r="BJ235" s="7">
        <v>1</v>
      </c>
      <c r="BK235" s="11">
        <v>2</v>
      </c>
      <c r="BL235" s="7" t="s">
        <v>1261</v>
      </c>
      <c r="BM235" s="7">
        <v>1</v>
      </c>
    </row>
    <row r="236" spans="1:65" ht="30" customHeight="1" x14ac:dyDescent="0.3">
      <c r="A236" s="3" t="s">
        <v>15</v>
      </c>
      <c r="B236" s="3">
        <v>7</v>
      </c>
      <c r="C236" s="8">
        <v>44445</v>
      </c>
      <c r="D236" s="9">
        <v>0.28333333333333333</v>
      </c>
      <c r="E236" s="4">
        <v>69</v>
      </c>
      <c r="F236" s="3">
        <v>0</v>
      </c>
      <c r="G236" s="3">
        <v>0</v>
      </c>
      <c r="H236" s="3">
        <v>0</v>
      </c>
      <c r="I236" s="3">
        <v>0</v>
      </c>
      <c r="J236" s="9">
        <v>0.28055555555555556</v>
      </c>
      <c r="K236" s="3">
        <v>144.80000000000001</v>
      </c>
      <c r="L236" s="11">
        <f t="shared" ref="L236" si="445">K236-K235</f>
        <v>1</v>
      </c>
      <c r="M236" s="5">
        <f t="shared" ref="M236" si="446">AB235</f>
        <v>1590.5</v>
      </c>
      <c r="N236" s="11">
        <v>30.25</v>
      </c>
      <c r="O236" s="11">
        <v>32</v>
      </c>
      <c r="P236" s="11">
        <v>11</v>
      </c>
      <c r="Q236" s="11">
        <v>11</v>
      </c>
      <c r="R236" s="11">
        <v>21</v>
      </c>
      <c r="S236" s="11">
        <v>20.25</v>
      </c>
      <c r="T236" s="11">
        <v>14</v>
      </c>
      <c r="U236" s="11">
        <v>14</v>
      </c>
      <c r="V236" s="11">
        <v>18</v>
      </c>
      <c r="W236" s="11">
        <v>15</v>
      </c>
      <c r="X236" s="11">
        <v>7</v>
      </c>
      <c r="Y236" s="11">
        <v>7</v>
      </c>
      <c r="Z236" s="3" t="s">
        <v>1246</v>
      </c>
      <c r="AA236" s="10" t="s">
        <v>1249</v>
      </c>
      <c r="AB236" s="5">
        <f>210+493+320+600+180+100+220+100+30</f>
        <v>2253</v>
      </c>
      <c r="AC236" s="6">
        <f>8+21+17+8+10+6+4+6+0</f>
        <v>80</v>
      </c>
      <c r="AD236" s="6">
        <f>2+21+10+3+5+4+0+4+0</f>
        <v>49</v>
      </c>
      <c r="AE236" s="6">
        <f>5+0+6+15+4+8+8+8+0</f>
        <v>54</v>
      </c>
      <c r="AF236" s="6">
        <f>31+85+35+120+19+2+38+2+8</f>
        <v>340</v>
      </c>
      <c r="AG236" s="6">
        <f>1+0+0+0+1.2+0+4+0+1</f>
        <v>7.2</v>
      </c>
      <c r="AH236" s="6">
        <f>320+7+430+600+30+280+270+280+150</f>
        <v>2367</v>
      </c>
      <c r="AI236" s="6">
        <f t="shared" si="400"/>
        <v>3.5508211273857081E-2</v>
      </c>
      <c r="AJ236" s="6">
        <f t="shared" si="401"/>
        <v>2.1748779405237461E-2</v>
      </c>
      <c r="AK236" s="6">
        <f t="shared" si="402"/>
        <v>2.3968042609853527E-2</v>
      </c>
      <c r="AL236" s="6">
        <f t="shared" si="403"/>
        <v>0.15090989791389259</v>
      </c>
      <c r="AM236" s="6">
        <f t="shared" si="404"/>
        <v>3.1957390146471372E-3</v>
      </c>
      <c r="AN236" s="6">
        <f t="shared" si="405"/>
        <v>1.0505992010652463</v>
      </c>
      <c r="AO236" s="7">
        <v>4</v>
      </c>
      <c r="AP236" s="7">
        <v>3</v>
      </c>
      <c r="AQ236" s="7">
        <v>0</v>
      </c>
      <c r="AR236" s="10">
        <v>0</v>
      </c>
      <c r="AS236" s="7">
        <v>0</v>
      </c>
      <c r="AT236" s="7">
        <v>0</v>
      </c>
      <c r="AU236" s="7">
        <v>0</v>
      </c>
      <c r="AV236" s="7">
        <v>0</v>
      </c>
      <c r="AW236" s="7">
        <v>31</v>
      </c>
      <c r="AX236" s="7">
        <v>1</v>
      </c>
      <c r="AY236" s="5">
        <v>6</v>
      </c>
      <c r="AZ236" s="7">
        <v>0</v>
      </c>
      <c r="BA236" s="7">
        <v>0</v>
      </c>
      <c r="BB236" s="7">
        <v>0</v>
      </c>
      <c r="BC236" s="7">
        <v>1</v>
      </c>
      <c r="BD236" s="7">
        <v>1</v>
      </c>
      <c r="BE236" s="7">
        <v>0</v>
      </c>
      <c r="BF236" s="7">
        <v>0</v>
      </c>
      <c r="BG236" s="7">
        <v>0</v>
      </c>
      <c r="BH236" s="7">
        <v>0</v>
      </c>
      <c r="BI236" s="7">
        <v>0</v>
      </c>
      <c r="BJ236" s="7">
        <v>1</v>
      </c>
      <c r="BK236" s="11">
        <v>3</v>
      </c>
      <c r="BL236" s="7" t="s">
        <v>1261</v>
      </c>
      <c r="BM236" s="7">
        <v>1</v>
      </c>
    </row>
    <row r="237" spans="1:65" ht="30" customHeight="1" x14ac:dyDescent="0.3">
      <c r="A237" s="3" t="s">
        <v>16</v>
      </c>
      <c r="B237" s="3">
        <v>8</v>
      </c>
      <c r="C237" s="8">
        <v>44446</v>
      </c>
      <c r="D237" s="9">
        <v>0.33402777777777781</v>
      </c>
      <c r="E237" s="4">
        <v>69</v>
      </c>
      <c r="F237" s="3">
        <v>0</v>
      </c>
      <c r="G237" s="3">
        <v>0</v>
      </c>
      <c r="H237" s="3">
        <v>0</v>
      </c>
      <c r="I237" s="3">
        <v>0</v>
      </c>
      <c r="J237" s="9">
        <v>0.3354166666666667</v>
      </c>
      <c r="K237" s="3">
        <v>144.80000000000001</v>
      </c>
      <c r="L237" s="11">
        <f t="shared" ref="L237" si="447">K237-K236</f>
        <v>0</v>
      </c>
      <c r="M237" s="5">
        <f t="shared" ref="M237" si="448">AB236</f>
        <v>2253</v>
      </c>
      <c r="N237" s="11">
        <v>30.25</v>
      </c>
      <c r="O237" s="11">
        <v>32.375</v>
      </c>
      <c r="P237" s="11">
        <v>10.875</v>
      </c>
      <c r="Q237" s="11">
        <v>11.125</v>
      </c>
      <c r="R237" s="11">
        <v>20</v>
      </c>
      <c r="S237" s="11">
        <v>20</v>
      </c>
      <c r="T237" s="11">
        <v>16</v>
      </c>
      <c r="U237" s="11">
        <v>14</v>
      </c>
      <c r="V237" s="11">
        <v>17</v>
      </c>
      <c r="W237" s="11">
        <v>15</v>
      </c>
      <c r="X237" s="11">
        <v>7</v>
      </c>
      <c r="Y237" s="11">
        <v>7</v>
      </c>
      <c r="Z237" s="3" t="s">
        <v>1252</v>
      </c>
      <c r="AA237" s="10" t="s">
        <v>1251</v>
      </c>
      <c r="AB237" s="5">
        <f>150+100+220+100+30+405+360+90</f>
        <v>1455</v>
      </c>
      <c r="AC237" s="6">
        <f>1.5+6+4+6+0+11.25+12+4.8</f>
        <v>45.55</v>
      </c>
      <c r="AD237" s="6">
        <f>0.5+4+0+4+0+6.75+1.5+2.4</f>
        <v>19.149999999999999</v>
      </c>
      <c r="AE237" s="6">
        <f>5+8+8+8+0+13.5+6+1.8</f>
        <v>50.3</v>
      </c>
      <c r="AF237" s="6">
        <f>30+2+38+2+8+63+54+9.6</f>
        <v>206.6</v>
      </c>
      <c r="AG237" s="6">
        <f>1+0+4+0+1+2.25+3+0.6</f>
        <v>11.85</v>
      </c>
      <c r="AH237" s="6">
        <f>200+280+270+280+150+810+630+15</f>
        <v>2635</v>
      </c>
      <c r="AI237" s="6">
        <f t="shared" si="400"/>
        <v>3.1305841924398621E-2</v>
      </c>
      <c r="AJ237" s="6">
        <f t="shared" si="401"/>
        <v>1.3161512027491409E-2</v>
      </c>
      <c r="AK237" s="6">
        <f t="shared" si="402"/>
        <v>3.4570446735395187E-2</v>
      </c>
      <c r="AL237" s="6">
        <f t="shared" si="403"/>
        <v>0.14199312714776632</v>
      </c>
      <c r="AM237" s="6">
        <f t="shared" si="404"/>
        <v>8.1443298969072157E-3</v>
      </c>
      <c r="AN237" s="6">
        <f t="shared" si="405"/>
        <v>1.8109965635738832</v>
      </c>
      <c r="AO237" s="7">
        <v>5</v>
      </c>
      <c r="AP237" s="7">
        <v>2</v>
      </c>
      <c r="AQ237" s="7">
        <v>0</v>
      </c>
      <c r="AR237" s="10">
        <v>0</v>
      </c>
      <c r="AS237" s="7">
        <v>0</v>
      </c>
      <c r="AT237" s="7">
        <v>0</v>
      </c>
      <c r="AU237" s="7">
        <v>0</v>
      </c>
      <c r="AV237" s="7">
        <v>0</v>
      </c>
      <c r="AW237" s="7">
        <v>31</v>
      </c>
      <c r="AX237" s="7">
        <v>0</v>
      </c>
      <c r="AY237" s="5">
        <v>7</v>
      </c>
      <c r="AZ237" s="7">
        <v>0</v>
      </c>
      <c r="BA237" s="7">
        <v>1</v>
      </c>
      <c r="BB237" s="7">
        <v>0</v>
      </c>
      <c r="BC237" s="7">
        <v>1</v>
      </c>
      <c r="BD237" s="7">
        <v>1</v>
      </c>
      <c r="BE237" s="7">
        <v>0</v>
      </c>
      <c r="BF237" s="7">
        <v>0</v>
      </c>
      <c r="BG237" s="7">
        <v>0</v>
      </c>
      <c r="BH237" s="7">
        <v>0</v>
      </c>
      <c r="BI237" s="7">
        <v>0</v>
      </c>
      <c r="BJ237" s="7">
        <v>1</v>
      </c>
      <c r="BK237" s="11">
        <v>0</v>
      </c>
      <c r="BL237" s="7">
        <v>0</v>
      </c>
      <c r="BM237" s="7">
        <v>1</v>
      </c>
    </row>
    <row r="238" spans="1:65" ht="30" customHeight="1" x14ac:dyDescent="0.3">
      <c r="A238" s="3" t="s">
        <v>17</v>
      </c>
      <c r="B238" s="3">
        <v>9</v>
      </c>
      <c r="C238" s="8">
        <v>44447</v>
      </c>
      <c r="D238" s="9">
        <v>0.25555555555555559</v>
      </c>
      <c r="E238" s="4">
        <v>68</v>
      </c>
      <c r="F238" s="3">
        <v>0</v>
      </c>
      <c r="G238" s="3">
        <v>0</v>
      </c>
      <c r="H238" s="3">
        <v>0</v>
      </c>
      <c r="I238" s="3">
        <v>0</v>
      </c>
      <c r="J238" s="9">
        <v>0.28194444444444444</v>
      </c>
      <c r="K238" s="3">
        <v>144.80000000000001</v>
      </c>
      <c r="L238" s="11">
        <f t="shared" ref="L238" si="449">K238-K237</f>
        <v>0</v>
      </c>
      <c r="M238" s="5">
        <f t="shared" ref="M238" si="450">AB237</f>
        <v>1455</v>
      </c>
      <c r="N238" s="11">
        <v>30.75</v>
      </c>
      <c r="O238" s="11">
        <v>32.25</v>
      </c>
      <c r="P238" s="11">
        <v>10.875</v>
      </c>
      <c r="Q238" s="11">
        <v>10.875</v>
      </c>
      <c r="R238" s="11">
        <v>20</v>
      </c>
      <c r="S238" s="11">
        <v>20.625</v>
      </c>
      <c r="T238" s="11">
        <v>16</v>
      </c>
      <c r="U238" s="11">
        <v>13</v>
      </c>
      <c r="V238" s="11">
        <v>16</v>
      </c>
      <c r="W238" s="11">
        <v>13</v>
      </c>
      <c r="X238" s="11">
        <v>7</v>
      </c>
      <c r="Y238" s="11">
        <v>7</v>
      </c>
      <c r="Z238" s="3" t="s">
        <v>1259</v>
      </c>
      <c r="AA238" s="10" t="s">
        <v>1258</v>
      </c>
      <c r="AB238" s="5">
        <f>600+630+150+330+240+80+0+0</f>
        <v>2030</v>
      </c>
      <c r="AC238" s="6">
        <f>20+24+8+18+2+5+0+0</f>
        <v>77</v>
      </c>
      <c r="AD238" s="6">
        <f>2.5+6+1+9+0.5+3.5+0+0</f>
        <v>22.5</v>
      </c>
      <c r="AE238" s="6">
        <f>10+15+2+26+8+6+0+0</f>
        <v>67</v>
      </c>
      <c r="AF238" s="6">
        <f>90+93+18+16+46+2+1+0</f>
        <v>266</v>
      </c>
      <c r="AG238" s="6">
        <f>5+3+1+2+2+0+0+0</f>
        <v>13</v>
      </c>
      <c r="AH238" s="6">
        <f>1050+960+190+420+630+190+260+55</f>
        <v>3755</v>
      </c>
      <c r="AI238" s="6">
        <f t="shared" si="400"/>
        <v>3.793103448275862E-2</v>
      </c>
      <c r="AJ238" s="6">
        <f t="shared" si="401"/>
        <v>1.1083743842364532E-2</v>
      </c>
      <c r="AK238" s="6">
        <f t="shared" si="402"/>
        <v>3.3004926108374383E-2</v>
      </c>
      <c r="AL238" s="6">
        <f t="shared" si="403"/>
        <v>0.1310344827586207</v>
      </c>
      <c r="AM238" s="6">
        <f t="shared" si="404"/>
        <v>6.4039408866995075E-3</v>
      </c>
      <c r="AN238" s="6">
        <f t="shared" si="405"/>
        <v>1.8497536945812807</v>
      </c>
      <c r="AO238" s="7">
        <v>4</v>
      </c>
      <c r="AP238" s="7">
        <v>1</v>
      </c>
      <c r="AQ238" s="7">
        <v>0</v>
      </c>
      <c r="AR238" s="10">
        <v>0</v>
      </c>
      <c r="AS238" s="7">
        <v>0</v>
      </c>
      <c r="AT238" s="7">
        <v>0</v>
      </c>
      <c r="AU238" s="7">
        <v>0</v>
      </c>
      <c r="AV238" s="7">
        <v>0</v>
      </c>
      <c r="AW238" s="7">
        <v>31</v>
      </c>
      <c r="AX238" s="7">
        <v>1</v>
      </c>
      <c r="AY238" s="5">
        <v>8</v>
      </c>
      <c r="AZ238" s="7">
        <v>0</v>
      </c>
      <c r="BA238" s="7">
        <v>1</v>
      </c>
      <c r="BB238" s="7">
        <v>0</v>
      </c>
      <c r="BC238" s="7">
        <v>1</v>
      </c>
      <c r="BD238" s="7">
        <v>1</v>
      </c>
      <c r="BE238" s="7">
        <v>0</v>
      </c>
      <c r="BF238" s="7">
        <v>0</v>
      </c>
      <c r="BG238" s="7">
        <v>0</v>
      </c>
      <c r="BH238" s="7">
        <v>0</v>
      </c>
      <c r="BI238" s="7">
        <v>0</v>
      </c>
      <c r="BJ238" s="7">
        <v>1</v>
      </c>
      <c r="BK238" s="11">
        <v>0</v>
      </c>
      <c r="BL238" s="7">
        <v>0</v>
      </c>
      <c r="BM238" s="7">
        <v>1</v>
      </c>
    </row>
    <row r="239" spans="1:65" ht="30" customHeight="1" x14ac:dyDescent="0.3">
      <c r="A239" s="3" t="s">
        <v>18</v>
      </c>
      <c r="B239" s="3">
        <v>10</v>
      </c>
      <c r="C239" s="8">
        <v>44448</v>
      </c>
      <c r="D239" s="9">
        <v>0.84375</v>
      </c>
      <c r="E239" s="4">
        <v>83</v>
      </c>
      <c r="F239" s="3">
        <v>0</v>
      </c>
      <c r="G239" s="3">
        <v>0</v>
      </c>
      <c r="H239" s="3">
        <v>0</v>
      </c>
      <c r="I239" s="3">
        <v>0.75</v>
      </c>
      <c r="J239" s="9">
        <v>0.2951388888888889</v>
      </c>
      <c r="K239" s="3">
        <v>144</v>
      </c>
      <c r="L239" s="11">
        <f t="shared" ref="L239" si="451">K239-K238</f>
        <v>-0.80000000000001137</v>
      </c>
      <c r="M239" s="5">
        <f t="shared" ref="M239" si="452">AB238</f>
        <v>2030</v>
      </c>
      <c r="N239" s="11">
        <v>30.75</v>
      </c>
      <c r="O239" s="11">
        <v>32.875</v>
      </c>
      <c r="P239" s="11">
        <v>11</v>
      </c>
      <c r="Q239" s="11">
        <v>10.875</v>
      </c>
      <c r="R239" s="11">
        <v>20</v>
      </c>
      <c r="S239" s="11">
        <v>20.125</v>
      </c>
      <c r="T239" s="11">
        <v>15</v>
      </c>
      <c r="U239" s="11">
        <v>16</v>
      </c>
      <c r="V239" s="11">
        <v>15</v>
      </c>
      <c r="W239" s="11">
        <v>15</v>
      </c>
      <c r="X239" s="11">
        <v>7</v>
      </c>
      <c r="Y239" s="11">
        <v>7</v>
      </c>
      <c r="Z239" s="3" t="s">
        <v>1263</v>
      </c>
      <c r="AA239" s="10" t="s">
        <v>1262</v>
      </c>
      <c r="AB239" s="5">
        <f>320+165+120+60+0+0+270+600+315</f>
        <v>1850</v>
      </c>
      <c r="AC239" s="6">
        <f>20.8+9+1+3.75+0+0+7.5+20+12</f>
        <v>74.05</v>
      </c>
      <c r="AD239" s="6">
        <f>4.5+0.25+2.6+0+0+4.5+2.5+3</f>
        <v>17.350000000000001</v>
      </c>
      <c r="AE239" s="6">
        <f>3.2+13+4+4.5+0+0+9+10+7.5</f>
        <v>51.2</v>
      </c>
      <c r="AF239" s="6">
        <f>35.2+8+23+1.5+1+0+42+90+46.5</f>
        <v>247.2</v>
      </c>
      <c r="AG239" s="6">
        <f>3.2+1+1+0+0+0+1.5+5+1.5</f>
        <v>13.2</v>
      </c>
      <c r="AH239" s="6">
        <f>32+210+315+142.5+260+55+540+1050+480</f>
        <v>3084.5</v>
      </c>
      <c r="AI239" s="6">
        <f t="shared" si="400"/>
        <v>4.0027027027027026E-2</v>
      </c>
      <c r="AJ239" s="6">
        <f t="shared" si="401"/>
        <v>9.3783783783783787E-3</v>
      </c>
      <c r="AK239" s="6">
        <f t="shared" si="402"/>
        <v>2.7675675675675679E-2</v>
      </c>
      <c r="AL239" s="6">
        <f t="shared" si="403"/>
        <v>0.13362162162162161</v>
      </c>
      <c r="AM239" s="6">
        <f t="shared" si="404"/>
        <v>7.1351351351351348E-3</v>
      </c>
      <c r="AN239" s="6">
        <f t="shared" si="405"/>
        <v>1.6672972972972973</v>
      </c>
      <c r="AO239" s="7">
        <v>6</v>
      </c>
      <c r="AP239" s="7">
        <v>1</v>
      </c>
      <c r="AQ239" s="7">
        <v>0</v>
      </c>
      <c r="AR239" s="10" t="s">
        <v>1260</v>
      </c>
      <c r="AS239" s="7">
        <v>0</v>
      </c>
      <c r="AT239" s="7">
        <v>0</v>
      </c>
      <c r="AU239" s="7">
        <v>0</v>
      </c>
      <c r="AV239" s="7">
        <v>0</v>
      </c>
      <c r="AW239" s="7">
        <v>31</v>
      </c>
      <c r="AX239" s="7">
        <v>0</v>
      </c>
      <c r="AY239" s="5">
        <v>7.5</v>
      </c>
      <c r="AZ239" s="7">
        <v>0</v>
      </c>
      <c r="BA239" s="7">
        <v>0</v>
      </c>
      <c r="BB239" s="7">
        <v>0</v>
      </c>
      <c r="BC239" s="7">
        <v>1</v>
      </c>
      <c r="BD239" s="7">
        <v>1</v>
      </c>
      <c r="BE239" s="7">
        <v>0</v>
      </c>
      <c r="BF239" s="7">
        <v>0</v>
      </c>
      <c r="BG239" s="7">
        <v>0</v>
      </c>
      <c r="BH239" s="7">
        <v>0</v>
      </c>
      <c r="BI239" s="7">
        <v>0</v>
      </c>
      <c r="BJ239" s="7">
        <v>1</v>
      </c>
      <c r="BK239" s="11">
        <v>1</v>
      </c>
      <c r="BL239" s="7" t="s">
        <v>1129</v>
      </c>
      <c r="BM239" s="7">
        <v>1</v>
      </c>
    </row>
    <row r="240" spans="1:65" ht="30" customHeight="1" x14ac:dyDescent="0.3">
      <c r="A240" s="3" t="s">
        <v>137</v>
      </c>
      <c r="B240" s="3">
        <v>11</v>
      </c>
      <c r="C240" s="8">
        <v>44449</v>
      </c>
      <c r="D240" s="9">
        <v>0.63541666666666663</v>
      </c>
      <c r="E240" s="4">
        <v>93</v>
      </c>
      <c r="F240" s="3">
        <v>0</v>
      </c>
      <c r="G240" s="3">
        <v>0</v>
      </c>
      <c r="H240" s="3">
        <v>0</v>
      </c>
      <c r="I240" s="3">
        <v>0.25</v>
      </c>
      <c r="J240" s="9">
        <v>0.30694444444444441</v>
      </c>
      <c r="K240" s="3">
        <v>145.4</v>
      </c>
      <c r="L240" s="11">
        <f t="shared" ref="L240" si="453">K240-K239</f>
        <v>1.4000000000000057</v>
      </c>
      <c r="M240" s="5">
        <f t="shared" ref="M240" si="454">AB239</f>
        <v>1850</v>
      </c>
      <c r="N240" s="11">
        <v>31.125</v>
      </c>
      <c r="O240" s="11">
        <v>32.875</v>
      </c>
      <c r="P240" s="11">
        <v>11</v>
      </c>
      <c r="Q240" s="11">
        <v>11</v>
      </c>
      <c r="R240" s="11">
        <v>20.25</v>
      </c>
      <c r="S240" s="11">
        <v>20.25</v>
      </c>
      <c r="T240" s="11">
        <v>17</v>
      </c>
      <c r="U240" s="11">
        <v>17</v>
      </c>
      <c r="V240" s="11">
        <v>16</v>
      </c>
      <c r="W240" s="11">
        <v>15</v>
      </c>
      <c r="X240" s="11">
        <v>7</v>
      </c>
      <c r="Y240" s="11">
        <v>7</v>
      </c>
      <c r="Z240" s="3" t="s">
        <v>1268</v>
      </c>
      <c r="AA240" s="10" t="s">
        <v>1267</v>
      </c>
      <c r="AB240" s="12">
        <f>630+420+200+240+80+11.5+0</f>
        <v>1581.5</v>
      </c>
      <c r="AC240" s="6">
        <f>36+16+13+2+5+0+0</f>
        <v>72</v>
      </c>
      <c r="AD240" s="6">
        <f>13.5+4+12+1+3.5+0+0</f>
        <v>34</v>
      </c>
      <c r="AE240" s="6">
        <f>18+10+2+8+6+0+0</f>
        <v>44</v>
      </c>
      <c r="AF240" s="6">
        <f>51+62+22+46+2+2.3+0</f>
        <v>185.3</v>
      </c>
      <c r="AG240" s="6">
        <f>0+2+2+2+0+0+0</f>
        <v>6</v>
      </c>
      <c r="AH240" s="6">
        <f>1050+640+20+630+190+920+55</f>
        <v>3505</v>
      </c>
      <c r="AI240" s="6">
        <f t="shared" si="400"/>
        <v>4.5526398988302241E-2</v>
      </c>
      <c r="AJ240" s="6">
        <f t="shared" si="401"/>
        <v>2.1498577300031615E-2</v>
      </c>
      <c r="AK240" s="6">
        <f t="shared" si="402"/>
        <v>2.7821688270629148E-2</v>
      </c>
      <c r="AL240" s="6">
        <f t="shared" si="403"/>
        <v>0.11716724628517231</v>
      </c>
      <c r="AM240" s="6">
        <f t="shared" si="404"/>
        <v>3.7938665823585203E-3</v>
      </c>
      <c r="AN240" s="6">
        <f t="shared" si="405"/>
        <v>2.2162503951944355</v>
      </c>
      <c r="AO240" s="7">
        <v>5</v>
      </c>
      <c r="AP240" s="7">
        <v>1</v>
      </c>
      <c r="AQ240" s="7">
        <v>0</v>
      </c>
      <c r="AR240" s="10" t="s">
        <v>1265</v>
      </c>
      <c r="AS240" s="7">
        <v>0</v>
      </c>
      <c r="AT240" s="7">
        <v>0</v>
      </c>
      <c r="AU240" s="7">
        <v>0</v>
      </c>
      <c r="AV240" s="7">
        <v>0</v>
      </c>
      <c r="AW240" s="7">
        <v>31</v>
      </c>
      <c r="AX240" s="7">
        <v>1</v>
      </c>
      <c r="AY240" s="5">
        <v>6.25</v>
      </c>
      <c r="AZ240" s="7">
        <v>0</v>
      </c>
      <c r="BA240" s="7">
        <v>0</v>
      </c>
      <c r="BB240" s="7">
        <v>0</v>
      </c>
      <c r="BC240" s="7">
        <v>1</v>
      </c>
      <c r="BD240" s="7">
        <v>1</v>
      </c>
      <c r="BE240" s="7">
        <v>0</v>
      </c>
      <c r="BF240" s="7">
        <v>1</v>
      </c>
      <c r="BG240" s="7">
        <v>15</v>
      </c>
      <c r="BH240" s="7">
        <v>0</v>
      </c>
      <c r="BI240" s="7">
        <v>0</v>
      </c>
      <c r="BJ240" s="7">
        <v>1</v>
      </c>
      <c r="BK240" s="11">
        <v>1</v>
      </c>
      <c r="BL240" s="7" t="s">
        <v>1129</v>
      </c>
      <c r="BM240" s="7">
        <v>1</v>
      </c>
    </row>
    <row r="241" spans="1:65" ht="30" customHeight="1" x14ac:dyDescent="0.3">
      <c r="A241" s="3" t="s">
        <v>19</v>
      </c>
      <c r="B241" s="3">
        <v>12</v>
      </c>
      <c r="C241" s="8">
        <v>44450</v>
      </c>
      <c r="D241" s="9">
        <v>0.76041666666666663</v>
      </c>
      <c r="E241" s="4">
        <v>92</v>
      </c>
      <c r="F241" s="3">
        <v>5</v>
      </c>
      <c r="G241" s="3">
        <v>3</v>
      </c>
      <c r="H241" s="3">
        <v>15</v>
      </c>
      <c r="I241" s="3">
        <v>0.25</v>
      </c>
      <c r="J241" s="9">
        <v>0.26597222222222222</v>
      </c>
      <c r="K241" s="3">
        <v>145.6</v>
      </c>
      <c r="L241" s="11">
        <f t="shared" ref="L241" si="455">K241-K240</f>
        <v>0.19999999999998863</v>
      </c>
      <c r="M241" s="5">
        <f t="shared" ref="M241" si="456">AB240</f>
        <v>1581.5</v>
      </c>
      <c r="N241" s="11">
        <v>30.5</v>
      </c>
      <c r="O241" s="11">
        <v>32.25</v>
      </c>
      <c r="P241" s="11">
        <v>10.875</v>
      </c>
      <c r="Q241" s="11">
        <v>11.125</v>
      </c>
      <c r="R241" s="11">
        <v>20.125</v>
      </c>
      <c r="S241" s="11">
        <v>20.375</v>
      </c>
      <c r="T241" s="11">
        <v>15</v>
      </c>
      <c r="U241" s="11">
        <v>16</v>
      </c>
      <c r="V241" s="11">
        <v>15</v>
      </c>
      <c r="W241" s="11">
        <v>15</v>
      </c>
      <c r="X241" s="11">
        <v>7</v>
      </c>
      <c r="Y241" s="11">
        <v>7</v>
      </c>
      <c r="Z241" s="3" t="s">
        <v>1274</v>
      </c>
      <c r="AA241" s="10" t="s">
        <v>1273</v>
      </c>
      <c r="AB241" s="5">
        <f>240+80+5.75+0+240+640+187+380+75+242</f>
        <v>2089.75</v>
      </c>
      <c r="AC241" s="6">
        <f>2+5+0+2+0+9+17+5+22</f>
        <v>62</v>
      </c>
      <c r="AD241" s="6">
        <f>1+3.5+0+0+1+0+1+9+5+3</f>
        <v>23.5</v>
      </c>
      <c r="AE241" s="6">
        <f>8+6+0+0+8+8+0+9+1+3</f>
        <v>43</v>
      </c>
      <c r="AF241" s="6">
        <f>46+2+1.15+0+46+152+27+48+8+13</f>
        <v>343.15</v>
      </c>
      <c r="AG241" s="6">
        <f>2+0+0+0+2+0+3+3+1+14</f>
        <v>25</v>
      </c>
      <c r="AH241" s="6">
        <f>630+190+460+55+630+160+20+880+8+11</f>
        <v>3044</v>
      </c>
      <c r="AI241" s="6">
        <f t="shared" si="400"/>
        <v>2.9668620648402918E-2</v>
      </c>
      <c r="AJ241" s="6">
        <f t="shared" si="401"/>
        <v>1.1245364278023686E-2</v>
      </c>
      <c r="AK241" s="6">
        <f t="shared" si="402"/>
        <v>2.0576623998085894E-2</v>
      </c>
      <c r="AL241" s="6">
        <f t="shared" si="403"/>
        <v>0.16420624476612034</v>
      </c>
      <c r="AM241" s="6">
        <f t="shared" si="404"/>
        <v>1.1963153487259242E-2</v>
      </c>
      <c r="AN241" s="6">
        <f t="shared" si="405"/>
        <v>1.4566335686086853</v>
      </c>
      <c r="AO241" s="7">
        <v>5</v>
      </c>
      <c r="AP241" s="7">
        <v>1</v>
      </c>
      <c r="AQ241" s="7">
        <v>0</v>
      </c>
      <c r="AR241" s="10" t="s">
        <v>1271</v>
      </c>
      <c r="AS241" s="7">
        <v>0</v>
      </c>
      <c r="AT241" s="7">
        <v>0</v>
      </c>
      <c r="AU241" s="7">
        <v>0</v>
      </c>
      <c r="AV241" s="7">
        <v>0</v>
      </c>
      <c r="AW241" s="7">
        <v>31</v>
      </c>
      <c r="AX241" s="7">
        <v>1</v>
      </c>
      <c r="AY241" s="5">
        <v>5.75</v>
      </c>
      <c r="AZ241" s="7">
        <v>0</v>
      </c>
      <c r="BA241" s="7">
        <v>0</v>
      </c>
      <c r="BB241" s="7">
        <v>0</v>
      </c>
      <c r="BC241" s="7">
        <v>1</v>
      </c>
      <c r="BD241" s="7">
        <v>1</v>
      </c>
      <c r="BE241" s="7">
        <v>0</v>
      </c>
      <c r="BF241" s="7">
        <v>0</v>
      </c>
      <c r="BG241" s="7">
        <v>0</v>
      </c>
      <c r="BH241" s="7">
        <v>0</v>
      </c>
      <c r="BI241" s="7">
        <v>0</v>
      </c>
      <c r="BJ241" s="7">
        <v>1</v>
      </c>
      <c r="BK241" s="11">
        <v>2</v>
      </c>
      <c r="BL241" s="7" t="s">
        <v>1129</v>
      </c>
      <c r="BM241" s="7">
        <v>1</v>
      </c>
    </row>
    <row r="242" spans="1:65" ht="30" customHeight="1" x14ac:dyDescent="0.3">
      <c r="A242" s="3" t="s">
        <v>23</v>
      </c>
      <c r="B242" s="3">
        <v>13</v>
      </c>
      <c r="C242" s="8">
        <v>44451</v>
      </c>
      <c r="D242" s="9">
        <v>0.2986111111111111</v>
      </c>
      <c r="E242" s="4">
        <v>72</v>
      </c>
      <c r="F242" s="3">
        <v>0</v>
      </c>
      <c r="G242" s="3">
        <v>0</v>
      </c>
      <c r="H242" s="3">
        <v>0</v>
      </c>
      <c r="I242" s="3">
        <v>0</v>
      </c>
      <c r="J242" s="9">
        <v>0.30902777777777779</v>
      </c>
      <c r="K242" s="3">
        <v>145.4</v>
      </c>
      <c r="L242" s="11">
        <f t="shared" ref="L242" si="457">K242-K241</f>
        <v>-0.19999999999998863</v>
      </c>
      <c r="M242" s="5">
        <f t="shared" ref="M242" si="458">AB241</f>
        <v>2089.75</v>
      </c>
      <c r="N242" s="11">
        <v>30.625</v>
      </c>
      <c r="O242" s="11">
        <v>32.625</v>
      </c>
      <c r="P242" s="11">
        <v>11</v>
      </c>
      <c r="Q242" s="11">
        <v>11</v>
      </c>
      <c r="R242" s="11">
        <v>20.25</v>
      </c>
      <c r="S242" s="11">
        <v>20.125</v>
      </c>
      <c r="T242" s="11">
        <v>15</v>
      </c>
      <c r="U242" s="11">
        <v>16</v>
      </c>
      <c r="V242" s="11">
        <v>17</v>
      </c>
      <c r="W242" s="11">
        <v>17</v>
      </c>
      <c r="X242" s="11">
        <v>7</v>
      </c>
      <c r="Y242" s="11">
        <v>7</v>
      </c>
      <c r="Z242" s="3" t="s">
        <v>1275</v>
      </c>
      <c r="AA242" s="10" t="s">
        <v>1277</v>
      </c>
      <c r="AB242" s="5">
        <f>420+480+280+579+51</f>
        <v>1810</v>
      </c>
      <c r="AC242" s="6">
        <f>16+0+14+11+5</f>
        <v>46</v>
      </c>
      <c r="AD242" s="6">
        <f>4+0+2+2+3</f>
        <v>11</v>
      </c>
      <c r="AE242" s="6">
        <f>10+6+0+18+1</f>
        <v>35</v>
      </c>
      <c r="AF242" s="6">
        <f>62+114+40+102+0.4</f>
        <v>318.39999999999998</v>
      </c>
      <c r="AG242" s="6">
        <f>2+0+4+8+0</f>
        <v>14</v>
      </c>
      <c r="AH242" s="6">
        <f>640+120+30+1731+43</f>
        <v>2564</v>
      </c>
      <c r="AI242" s="6">
        <f t="shared" si="400"/>
        <v>2.541436464088398E-2</v>
      </c>
      <c r="AJ242" s="6">
        <f t="shared" si="401"/>
        <v>6.0773480662983425E-3</v>
      </c>
      <c r="AK242" s="6">
        <f t="shared" si="402"/>
        <v>1.9337016574585635E-2</v>
      </c>
      <c r="AL242" s="6">
        <f t="shared" si="403"/>
        <v>0.17591160220994473</v>
      </c>
      <c r="AM242" s="6">
        <f t="shared" si="404"/>
        <v>7.7348066298342545E-3</v>
      </c>
      <c r="AN242" s="6">
        <f t="shared" si="405"/>
        <v>1.4165745856353591</v>
      </c>
      <c r="AO242" s="7">
        <v>4</v>
      </c>
      <c r="AP242" s="7">
        <v>1</v>
      </c>
      <c r="AQ242" s="7">
        <v>0</v>
      </c>
      <c r="AR242" s="7">
        <v>0</v>
      </c>
      <c r="AS242" s="7">
        <v>0</v>
      </c>
      <c r="AT242" s="7">
        <v>0</v>
      </c>
      <c r="AU242" s="7">
        <v>0</v>
      </c>
      <c r="AV242" s="7">
        <v>0</v>
      </c>
      <c r="AW242" s="7">
        <v>31</v>
      </c>
      <c r="AX242" s="7">
        <v>1</v>
      </c>
      <c r="AY242" s="5">
        <v>6.5</v>
      </c>
      <c r="AZ242" s="7">
        <v>0</v>
      </c>
      <c r="BA242" s="7">
        <v>0</v>
      </c>
      <c r="BB242" s="7">
        <v>0</v>
      </c>
      <c r="BC242" s="7">
        <v>1</v>
      </c>
      <c r="BD242" s="7">
        <v>1</v>
      </c>
      <c r="BE242" s="7">
        <v>0</v>
      </c>
      <c r="BF242" s="7">
        <v>0</v>
      </c>
      <c r="BG242" s="7">
        <v>0</v>
      </c>
      <c r="BH242" s="7">
        <v>0</v>
      </c>
      <c r="BI242" s="7">
        <v>0</v>
      </c>
      <c r="BJ242" s="7">
        <v>1</v>
      </c>
      <c r="BK242" s="11">
        <v>2</v>
      </c>
      <c r="BL242" s="7" t="s">
        <v>1129</v>
      </c>
      <c r="BM242" s="7">
        <v>1</v>
      </c>
    </row>
    <row r="243" spans="1:65" ht="30" customHeight="1" x14ac:dyDescent="0.3">
      <c r="A243" s="3" t="s">
        <v>15</v>
      </c>
      <c r="B243" s="3">
        <v>14</v>
      </c>
      <c r="C243" s="8">
        <v>44452</v>
      </c>
      <c r="D243" s="9">
        <v>0.63541666666666663</v>
      </c>
      <c r="E243" s="4">
        <v>100</v>
      </c>
      <c r="F243" s="3">
        <v>0</v>
      </c>
      <c r="G243" s="3">
        <v>0</v>
      </c>
      <c r="H243" s="3">
        <v>0</v>
      </c>
      <c r="I243" s="3">
        <v>0.5</v>
      </c>
      <c r="J243" s="9">
        <v>0.34236111111111112</v>
      </c>
      <c r="K243" s="3">
        <v>147.19999999999999</v>
      </c>
      <c r="L243" s="11">
        <f t="shared" ref="L243" si="459">K243-K242</f>
        <v>1.7999999999999829</v>
      </c>
      <c r="M243" s="5">
        <f t="shared" ref="M243" si="460">AB242</f>
        <v>1810</v>
      </c>
      <c r="N243" s="11">
        <v>31</v>
      </c>
      <c r="O243" s="11">
        <v>32.5</v>
      </c>
      <c r="P243" s="11">
        <v>10.75</v>
      </c>
      <c r="Q243" s="11">
        <v>11</v>
      </c>
      <c r="R243" s="11">
        <v>20.375</v>
      </c>
      <c r="S243" s="11">
        <v>20.375</v>
      </c>
      <c r="T243" s="11">
        <v>17</v>
      </c>
      <c r="U243" s="11">
        <v>16</v>
      </c>
      <c r="V243" s="11">
        <v>17</v>
      </c>
      <c r="W243" s="11">
        <v>15</v>
      </c>
      <c r="X243" s="11">
        <v>7</v>
      </c>
      <c r="Y243" s="11">
        <v>7</v>
      </c>
      <c r="Z243" s="3" t="s">
        <v>1281</v>
      </c>
      <c r="AA243" s="10" t="s">
        <v>1283</v>
      </c>
      <c r="AB243" s="5">
        <f>315+230+60+240+300+80+6+0+220</f>
        <v>1451</v>
      </c>
      <c r="AC243" s="6">
        <f>12+1+4+0+12+5+0+0+4.5</f>
        <v>38.5</v>
      </c>
      <c r="AD243" s="6">
        <f>3+1+3+0+2+3.5+0+0+2.5</f>
        <v>15</v>
      </c>
      <c r="AE243" s="6">
        <f>8+8+5+3+4+6+0+0+7</f>
        <v>41</v>
      </c>
      <c r="AF243" s="6">
        <f>47+46+2+57+40+2+1+0+39</f>
        <v>234</v>
      </c>
      <c r="AG243" s="6">
        <f>1.5+2+0+0+2+0+0+0+1</f>
        <v>6.5</v>
      </c>
      <c r="AH243" s="6">
        <f>480+400+143+60+720+190+460+55+280</f>
        <v>2788</v>
      </c>
      <c r="AI243" s="6">
        <f t="shared" si="400"/>
        <v>2.653342522398346E-2</v>
      </c>
      <c r="AJ243" s="6">
        <f t="shared" si="401"/>
        <v>1.0337698139214336E-2</v>
      </c>
      <c r="AK243" s="6">
        <f t="shared" si="402"/>
        <v>2.8256374913852515E-2</v>
      </c>
      <c r="AL243" s="6">
        <f t="shared" si="403"/>
        <v>0.16126809097174363</v>
      </c>
      <c r="AM243" s="6">
        <f t="shared" si="404"/>
        <v>4.4796691936595454E-3</v>
      </c>
      <c r="AN243" s="6">
        <f t="shared" si="405"/>
        <v>1.9214334941419711</v>
      </c>
      <c r="AO243" s="7">
        <v>5</v>
      </c>
      <c r="AP243" s="7">
        <v>1</v>
      </c>
      <c r="AQ243" s="7">
        <v>0</v>
      </c>
      <c r="AR243" s="10" t="s">
        <v>1280</v>
      </c>
      <c r="AS243" s="7" t="s">
        <v>1279</v>
      </c>
      <c r="AT243" s="7">
        <v>0</v>
      </c>
      <c r="AU243" s="7">
        <f>20+10+3+5+10</f>
        <v>48</v>
      </c>
      <c r="AV243" s="7">
        <v>0</v>
      </c>
      <c r="AW243" s="7">
        <v>31</v>
      </c>
      <c r="AX243" s="7">
        <v>1</v>
      </c>
      <c r="AY243" s="5">
        <v>5</v>
      </c>
      <c r="AZ243" s="7">
        <v>0</v>
      </c>
      <c r="BA243" s="7">
        <v>0</v>
      </c>
      <c r="BB243" s="7">
        <v>0</v>
      </c>
      <c r="BC243" s="7">
        <v>1</v>
      </c>
      <c r="BD243" s="7">
        <v>1</v>
      </c>
      <c r="BE243" s="7">
        <v>0</v>
      </c>
      <c r="BF243" s="7">
        <v>0</v>
      </c>
      <c r="BG243" s="7">
        <v>0</v>
      </c>
      <c r="BH243" s="7">
        <v>0</v>
      </c>
      <c r="BI243" s="7">
        <v>0</v>
      </c>
      <c r="BJ243" s="7">
        <v>1</v>
      </c>
      <c r="BK243" s="11">
        <v>1</v>
      </c>
      <c r="BL243" s="7" t="s">
        <v>1129</v>
      </c>
      <c r="BM243" s="7">
        <v>1</v>
      </c>
    </row>
    <row r="244" spans="1:65" ht="30" customHeight="1" x14ac:dyDescent="0.3">
      <c r="A244" s="3" t="s">
        <v>16</v>
      </c>
      <c r="B244" s="3">
        <v>15</v>
      </c>
      <c r="C244" s="8">
        <v>44453</v>
      </c>
      <c r="D244" s="9">
        <v>0.34236111111111112</v>
      </c>
      <c r="E244" s="4">
        <v>65</v>
      </c>
      <c r="F244" s="3">
        <v>0</v>
      </c>
      <c r="G244" s="3">
        <v>0</v>
      </c>
      <c r="H244" s="3">
        <v>0</v>
      </c>
      <c r="I244" s="3">
        <v>0</v>
      </c>
      <c r="J244" s="9">
        <v>0.3347222222222222</v>
      </c>
      <c r="K244" s="3">
        <v>145.80000000000001</v>
      </c>
      <c r="L244" s="11">
        <f t="shared" ref="L244" si="461">K244-K243</f>
        <v>-1.3999999999999773</v>
      </c>
      <c r="M244" s="5">
        <f t="shared" ref="M244" si="462">AB243</f>
        <v>1451</v>
      </c>
      <c r="N244" s="11">
        <v>30.5</v>
      </c>
      <c r="O244" s="11">
        <v>32.75</v>
      </c>
      <c r="P244" s="11">
        <v>10.875</v>
      </c>
      <c r="Q244" s="11">
        <v>10.875</v>
      </c>
      <c r="R244" s="11">
        <v>19.625</v>
      </c>
      <c r="S244" s="11">
        <v>20.125</v>
      </c>
      <c r="T244" s="11">
        <v>17</v>
      </c>
      <c r="U244" s="11">
        <v>17</v>
      </c>
      <c r="V244" s="11">
        <v>17</v>
      </c>
      <c r="W244" s="11">
        <v>17</v>
      </c>
      <c r="X244" s="11">
        <v>7</v>
      </c>
      <c r="Y244" s="11">
        <v>7</v>
      </c>
      <c r="Z244" s="3" t="s">
        <v>1284</v>
      </c>
      <c r="AO244" s="7">
        <v>5</v>
      </c>
      <c r="AP244" s="7">
        <v>1</v>
      </c>
      <c r="AQ244" s="7">
        <v>0</v>
      </c>
      <c r="AW244" s="7">
        <v>31</v>
      </c>
      <c r="AX244" s="7">
        <v>1</v>
      </c>
      <c r="AY244" s="5">
        <v>6.5</v>
      </c>
      <c r="AZ244" s="7">
        <v>0</v>
      </c>
      <c r="BA244" s="7">
        <v>1</v>
      </c>
      <c r="BB244" s="7">
        <v>0</v>
      </c>
      <c r="BC244" s="7">
        <v>1</v>
      </c>
      <c r="BD244" s="7">
        <v>1</v>
      </c>
      <c r="BE244" s="7">
        <v>0</v>
      </c>
      <c r="BF244" s="7">
        <v>0</v>
      </c>
      <c r="BG244" s="7">
        <v>0</v>
      </c>
      <c r="BH244" s="7">
        <v>0</v>
      </c>
      <c r="BI244" s="7">
        <v>0</v>
      </c>
      <c r="BJ244" s="7">
        <v>1</v>
      </c>
      <c r="BK244" s="11">
        <v>0</v>
      </c>
      <c r="BL244" s="7">
        <v>0</v>
      </c>
    </row>
    <row r="245" spans="1:65" ht="30" customHeight="1" x14ac:dyDescent="0.3"/>
    <row r="246" spans="1:65" ht="30" customHeight="1" x14ac:dyDescent="0.3"/>
    <row r="247" spans="1:65" ht="30" customHeight="1" x14ac:dyDescent="0.3"/>
    <row r="248" spans="1:65" ht="30"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087D-762F-4B12-B905-BA55329DE4CE}">
  <dimension ref="A1:C24"/>
  <sheetViews>
    <sheetView topLeftCell="A5" workbookViewId="0">
      <selection activeCell="C24" sqref="C24"/>
    </sheetView>
  </sheetViews>
  <sheetFormatPr defaultRowHeight="14.4" x14ac:dyDescent="0.3"/>
  <sheetData>
    <row r="1" spans="1:3" x14ac:dyDescent="0.3">
      <c r="A1">
        <v>12</v>
      </c>
    </row>
    <row r="2" spans="1:3" x14ac:dyDescent="0.3">
      <c r="A2">
        <v>1</v>
      </c>
    </row>
    <row r="3" spans="1:3" x14ac:dyDescent="0.3">
      <c r="A3">
        <v>2</v>
      </c>
    </row>
    <row r="4" spans="1:3" x14ac:dyDescent="0.3">
      <c r="A4">
        <v>3</v>
      </c>
    </row>
    <row r="5" spans="1:3" x14ac:dyDescent="0.3">
      <c r="A5">
        <v>4</v>
      </c>
    </row>
    <row r="6" spans="1:3" x14ac:dyDescent="0.3">
      <c r="A6">
        <v>5</v>
      </c>
    </row>
    <row r="7" spans="1:3" x14ac:dyDescent="0.3">
      <c r="A7">
        <v>6</v>
      </c>
      <c r="B7" t="s">
        <v>1188</v>
      </c>
      <c r="C7" t="s">
        <v>1188</v>
      </c>
    </row>
    <row r="8" spans="1:3" x14ac:dyDescent="0.3">
      <c r="A8">
        <v>7</v>
      </c>
    </row>
    <row r="9" spans="1:3" x14ac:dyDescent="0.3">
      <c r="A9">
        <v>8</v>
      </c>
    </row>
    <row r="10" spans="1:3" x14ac:dyDescent="0.3">
      <c r="A10">
        <v>9</v>
      </c>
    </row>
    <row r="11" spans="1:3" x14ac:dyDescent="0.3">
      <c r="A11">
        <v>10</v>
      </c>
    </row>
    <row r="12" spans="1:3" x14ac:dyDescent="0.3">
      <c r="A12">
        <v>11</v>
      </c>
    </row>
    <row r="13" spans="1:3" x14ac:dyDescent="0.3">
      <c r="A13">
        <v>12</v>
      </c>
    </row>
    <row r="14" spans="1:3" x14ac:dyDescent="0.3">
      <c r="A14">
        <v>1</v>
      </c>
    </row>
    <row r="15" spans="1:3" x14ac:dyDescent="0.3">
      <c r="A15">
        <v>2</v>
      </c>
      <c r="B15" t="s">
        <v>1188</v>
      </c>
      <c r="C15" t="s">
        <v>1188</v>
      </c>
    </row>
    <row r="16" spans="1:3" x14ac:dyDescent="0.3">
      <c r="A16">
        <v>3</v>
      </c>
    </row>
    <row r="17" spans="1:3" x14ac:dyDescent="0.3">
      <c r="A17">
        <v>4</v>
      </c>
    </row>
    <row r="18" spans="1:3" x14ac:dyDescent="0.3">
      <c r="A18">
        <v>5</v>
      </c>
    </row>
    <row r="19" spans="1:3" x14ac:dyDescent="0.3">
      <c r="A19">
        <v>6</v>
      </c>
    </row>
    <row r="20" spans="1:3" x14ac:dyDescent="0.3">
      <c r="A20">
        <v>7</v>
      </c>
    </row>
    <row r="21" spans="1:3" x14ac:dyDescent="0.3">
      <c r="A21">
        <v>8</v>
      </c>
    </row>
    <row r="22" spans="1:3" x14ac:dyDescent="0.3">
      <c r="A22">
        <v>9</v>
      </c>
    </row>
    <row r="23" spans="1:3" x14ac:dyDescent="0.3">
      <c r="A23">
        <v>10</v>
      </c>
      <c r="B23" t="s">
        <v>1188</v>
      </c>
      <c r="C23" t="s">
        <v>1188</v>
      </c>
    </row>
    <row r="24" spans="1:3" x14ac:dyDescent="0.3">
      <c r="A24">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NutritionalData</vt:lpstr>
      <vt:lpstr>researchMeasures</vt:lpstr>
      <vt:lpstr>Sheet1</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2021-09-14T16:08:46Z</dcterms:modified>
</cp:coreProperties>
</file>